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CAFE1BD6-5715-415A-A0E5-7C6E87BEC628}" xr6:coauthVersionLast="44" xr6:coauthVersionMax="44" xr10:uidLastSave="{00000000-0000-0000-0000-000000000000}"/>
  <workbookProtection workbookAlgorithmName="SHA-512" workbookHashValue="iM0ZRcSJ8FUtuhB+UaWy8y6MHxMGMiMUOrHaVivsXFQYMoxpo5f213Oywm72vxxcgn2txdOzRE4YuRxb436nnA==" workbookSaltValue="zUfd0bGGOTuekXInau6kyg==" workbookSpinCount="100000" lockStructure="1"/>
  <bookViews>
    <workbookView xWindow="-19210" yWindow="20" windowWidth="15370" windowHeight="5580" tabRatio="939" firstSheet="9" activeTab="25"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I49" i="68" l="1"/>
  <c r="G56" i="78"/>
  <c r="G125" i="78"/>
  <c r="S120" i="78"/>
  <c r="G120" i="78"/>
  <c r="S22" i="78"/>
  <c r="G22" i="78"/>
  <c r="S56" i="78" l="1"/>
  <c r="G30" i="78"/>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Q2039" i="94" s="1"/>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Q1969" i="94" s="1"/>
  <c r="O1966" i="94"/>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L1815" i="94" s="1"/>
  <c r="M1815" i="94" s="1"/>
  <c r="T1815" i="94" s="1"/>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L1757" i="94" s="1"/>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Q1736" i="94" s="1"/>
  <c r="O1735" i="94"/>
  <c r="Q1735" i="94" s="1"/>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M1654" i="94" s="1"/>
  <c r="P2088" i="94"/>
  <c r="Q2079" i="94"/>
  <c r="L2070" i="94"/>
  <c r="P2068" i="94"/>
  <c r="M2052" i="94"/>
  <c r="S2034" i="94"/>
  <c r="R2034" i="94"/>
  <c r="P2032" i="94"/>
  <c r="J2032" i="94"/>
  <c r="P2017" i="94"/>
  <c r="L2007" i="94"/>
  <c r="I2007" i="94"/>
  <c r="G1999" i="94"/>
  <c r="G1991" i="94"/>
  <c r="P1990" i="94"/>
  <c r="P2098" i="94" s="1"/>
  <c r="P1982" i="94"/>
  <c r="P1978" i="94"/>
  <c r="P1984" i="94" s="1"/>
  <c r="Q1970" i="94"/>
  <c r="Q1966" i="94"/>
  <c r="L1966" i="94"/>
  <c r="Q1965" i="94"/>
  <c r="L1965" i="94"/>
  <c r="L1955" i="94"/>
  <c r="J1955" i="94"/>
  <c r="L1954" i="94"/>
  <c r="U1948" i="94"/>
  <c r="U1947" i="94"/>
  <c r="P1946" i="94"/>
  <c r="K1941" i="94"/>
  <c r="P1936" i="94"/>
  <c r="M1930" i="94"/>
  <c r="G1928" i="94"/>
  <c r="J1927" i="94"/>
  <c r="L1884" i="94"/>
  <c r="K1884" i="94"/>
  <c r="K1882" i="94"/>
  <c r="L1880" i="94"/>
  <c r="L1870" i="94"/>
  <c r="I1861" i="94"/>
  <c r="J1859" i="94"/>
  <c r="Q1858" i="94"/>
  <c r="L1858" i="94"/>
  <c r="L1857" i="94"/>
  <c r="L1856" i="94"/>
  <c r="Q1855" i="94"/>
  <c r="L1855" i="94"/>
  <c r="P1853" i="94"/>
  <c r="J1830" i="94"/>
  <c r="J1829" i="94"/>
  <c r="J1828" i="94"/>
  <c r="K1826" i="94"/>
  <c r="H1826" i="94"/>
  <c r="T1820" i="94"/>
  <c r="F1808" i="94"/>
  <c r="Q1770" i="94"/>
  <c r="Q1763" i="94"/>
  <c r="L1763" i="94"/>
  <c r="Q1757" i="94"/>
  <c r="J1757" i="94"/>
  <c r="F1746" i="94"/>
  <c r="Q1745" i="94"/>
  <c r="Q1744" i="94"/>
  <c r="F1738" i="94"/>
  <c r="J1720"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1816" i="94" l="1"/>
  <c r="M1816" i="94" s="1"/>
  <c r="L1814" i="94"/>
  <c r="M1814" i="94" s="1"/>
  <c r="T1814" i="94" s="1"/>
  <c r="L2034" i="94"/>
  <c r="K1969" i="94"/>
  <c r="L2039" i="94"/>
  <c r="T1816" i="94"/>
  <c r="H1736" i="94"/>
  <c r="M1947" i="94"/>
  <c r="N1548" i="94"/>
  <c r="L1465" i="94"/>
  <c r="F1325" i="94"/>
  <c r="I1325" i="94"/>
  <c r="H1325" i="94"/>
  <c r="K1325" i="94"/>
  <c r="P1819" i="94"/>
  <c r="P1801" i="94" s="1"/>
  <c r="R2068" i="94"/>
  <c r="Q1929" i="94"/>
  <c r="L2059" i="94"/>
  <c r="J2052" i="94"/>
  <c r="L1785" i="94"/>
  <c r="L1700" i="94"/>
  <c r="U1814"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GN774" i="94" s="1"/>
  <c r="P774" i="94"/>
  <c r="M775" i="94"/>
  <c r="N775" i="94"/>
  <c r="O775" i="94"/>
  <c r="P775" i="94"/>
  <c r="M776" i="94"/>
  <c r="N776" i="94"/>
  <c r="O776" i="94"/>
  <c r="HW776" i="94" s="1"/>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KE773" i="94" s="1"/>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DI777" i="94" s="1"/>
  <c r="C778" i="94"/>
  <c r="AJ778" i="94" s="1"/>
  <c r="D778" i="94"/>
  <c r="E778" i="94"/>
  <c r="F778" i="94"/>
  <c r="G778" i="94"/>
  <c r="H778" i="94"/>
  <c r="J778" i="94"/>
  <c r="C779" i="94"/>
  <c r="EG779" i="94" s="1"/>
  <c r="D779" i="94"/>
  <c r="E779" i="94"/>
  <c r="F779" i="94"/>
  <c r="G779" i="94"/>
  <c r="H779" i="94"/>
  <c r="J779" i="94"/>
  <c r="C780" i="94"/>
  <c r="D780" i="94"/>
  <c r="E780" i="94"/>
  <c r="F780" i="94"/>
  <c r="G780" i="94"/>
  <c r="H780" i="94"/>
  <c r="J780" i="94"/>
  <c r="C781" i="94"/>
  <c r="GE781" i="94" s="1"/>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FY784" i="94" s="1"/>
  <c r="C785" i="94"/>
  <c r="D785" i="94"/>
  <c r="E785" i="94"/>
  <c r="F785" i="94"/>
  <c r="G785" i="94"/>
  <c r="H785" i="94"/>
  <c r="J785" i="94"/>
  <c r="DR785" i="94" s="1"/>
  <c r="C786" i="94"/>
  <c r="AM786" i="94" s="1"/>
  <c r="D786" i="94"/>
  <c r="E786" i="94"/>
  <c r="F786" i="94"/>
  <c r="G786" i="94"/>
  <c r="H786" i="94"/>
  <c r="J786" i="94"/>
  <c r="C787" i="94"/>
  <c r="IC787" i="94" s="1"/>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GE793" i="94" s="1"/>
  <c r="D793" i="94"/>
  <c r="E793" i="94"/>
  <c r="F793" i="94"/>
  <c r="G793" i="94"/>
  <c r="H793" i="94"/>
  <c r="J793" i="94"/>
  <c r="BK793" i="94" s="1"/>
  <c r="C794" i="94"/>
  <c r="HR794" i="94" s="1"/>
  <c r="D794" i="94"/>
  <c r="E794" i="94"/>
  <c r="F794" i="94"/>
  <c r="G794" i="94"/>
  <c r="H794" i="94"/>
  <c r="J794" i="94"/>
  <c r="C795" i="94"/>
  <c r="IB795" i="94" s="1"/>
  <c r="D795" i="94"/>
  <c r="E795" i="94"/>
  <c r="F795" i="94"/>
  <c r="G795" i="94"/>
  <c r="H795" i="94"/>
  <c r="J795" i="94"/>
  <c r="C796" i="94"/>
  <c r="D796" i="94"/>
  <c r="E796" i="94"/>
  <c r="F796" i="94"/>
  <c r="G796" i="94"/>
  <c r="H796" i="94"/>
  <c r="J796" i="94"/>
  <c r="C797" i="94"/>
  <c r="GA797" i="94" s="1"/>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EJ802" i="94" s="1"/>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B774" i="94"/>
  <c r="B775" i="94"/>
  <c r="B776" i="94"/>
  <c r="LI776" i="94" s="1"/>
  <c r="B777" i="94"/>
  <c r="EJ777" i="94" s="1"/>
  <c r="B778" i="94"/>
  <c r="LI778" i="94" s="1"/>
  <c r="B779" i="94"/>
  <c r="B780" i="94"/>
  <c r="B781" i="94"/>
  <c r="B782" i="94"/>
  <c r="B783" i="94"/>
  <c r="B784" i="94"/>
  <c r="B785" i="94"/>
  <c r="Z785" i="94" s="1"/>
  <c r="B786" i="94"/>
  <c r="B787" i="94"/>
  <c r="B788" i="94"/>
  <c r="B789" i="94"/>
  <c r="B790" i="94"/>
  <c r="B791" i="94"/>
  <c r="B792" i="94"/>
  <c r="B793" i="94"/>
  <c r="LM793" i="94" s="1"/>
  <c r="B794" i="94"/>
  <c r="LJ794" i="94" s="1"/>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GB808" i="94"/>
  <c r="MA802" i="94"/>
  <c r="LH794" i="94"/>
  <c r="FU794" i="94"/>
  <c r="FG794" i="94"/>
  <c r="EQ794" i="94"/>
  <c r="BG794" i="94"/>
  <c r="AS794" i="94"/>
  <c r="AC794" i="94"/>
  <c r="IC793" i="94"/>
  <c r="HY793" i="94"/>
  <c r="GC793" i="94"/>
  <c r="FJ793" i="94"/>
  <c r="EW793" i="94"/>
  <c r="EE793" i="94"/>
  <c r="CD793" i="94"/>
  <c r="BW793" i="94"/>
  <c r="JS789" i="94"/>
  <c r="IC789" i="94"/>
  <c r="IB789" i="94"/>
  <c r="IA789" i="94"/>
  <c r="HZ789" i="94"/>
  <c r="HY789" i="94"/>
  <c r="JE787" i="94"/>
  <c r="IB787" i="94"/>
  <c r="FS787" i="94"/>
  <c r="FQ787" i="94"/>
  <c r="FD787" i="94"/>
  <c r="FC787" i="94"/>
  <c r="EO787" i="94"/>
  <c r="EM787" i="94"/>
  <c r="DW787" i="94"/>
  <c r="DU787" i="94"/>
  <c r="DH787" i="94"/>
  <c r="DG787" i="94"/>
  <c r="CS787" i="94"/>
  <c r="CQ787" i="94"/>
  <c r="CA787" i="94"/>
  <c r="BY787" i="94"/>
  <c r="BL787" i="94"/>
  <c r="BK787" i="94"/>
  <c r="AW787" i="94"/>
  <c r="AU787" i="94"/>
  <c r="AE787" i="94"/>
  <c r="AC787" i="94"/>
  <c r="FN785" i="94"/>
  <c r="GE784" i="94"/>
  <c r="GD784" i="94"/>
  <c r="GC784" i="94"/>
  <c r="GB784" i="94"/>
  <c r="GA784" i="94"/>
  <c r="EG784" i="94"/>
  <c r="EF784" i="94"/>
  <c r="EE784" i="94"/>
  <c r="ED784" i="94"/>
  <c r="EC784" i="94"/>
  <c r="LG782" i="94"/>
  <c r="HS782" i="94"/>
  <c r="GR782" i="94"/>
  <c r="FP782" i="94"/>
  <c r="EF782" i="94"/>
  <c r="AH782" i="94"/>
  <c r="Z782" i="94"/>
  <c r="GB779" i="94"/>
  <c r="GA779" i="94"/>
  <c r="FQ778"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FJ777" i="94"/>
  <c r="GD776" i="94"/>
  <c r="GC776" i="94"/>
  <c r="EG776" i="94"/>
  <c r="EE776" i="94"/>
  <c r="ED776" i="94"/>
  <c r="EC775" i="94"/>
  <c r="IA774" i="94"/>
  <c r="HV774" i="94"/>
  <c r="GZ774" i="94"/>
  <c r="GB774" i="94"/>
  <c r="FP774" i="94"/>
  <c r="FD774" i="94"/>
  <c r="ER774" i="94"/>
  <c r="EF774" i="94"/>
  <c r="DT774" i="94"/>
  <c r="DH774" i="94"/>
  <c r="CV774" i="94"/>
  <c r="CJ774" i="94"/>
  <c r="BX774" i="94"/>
  <c r="BL774" i="94"/>
  <c r="AZ774" i="94"/>
  <c r="AN774" i="94"/>
  <c r="AB774" i="94"/>
  <c r="KG773" i="94"/>
  <c r="IK773" i="94"/>
  <c r="ED773"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J590" i="94"/>
  <c r="J589" i="94"/>
  <c r="J588" i="94"/>
  <c r="J587" i="94"/>
  <c r="J586" i="94"/>
  <c r="J585" i="94"/>
  <c r="H597" i="94"/>
  <c r="R597" i="94"/>
  <c r="T610" i="94"/>
  <c r="G574" i="94"/>
  <c r="G573" i="94"/>
  <c r="S574" i="94"/>
  <c r="S573" i="94"/>
  <c r="J574" i="94"/>
  <c r="J573" i="94"/>
  <c r="M574" i="94"/>
  <c r="M573" i="94"/>
  <c r="P574" i="94"/>
  <c r="P573" i="94"/>
  <c r="P570" i="94"/>
  <c r="P569" i="94"/>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U555" i="94" s="1"/>
  <c r="C549" i="94"/>
  <c r="C548" i="94"/>
  <c r="U548" i="94" s="1"/>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J483" i="94" s="1"/>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U461" i="94" s="1"/>
  <c r="G480" i="94"/>
  <c r="M470" i="94"/>
  <c r="M472" i="94" s="1"/>
  <c r="P470" i="94"/>
  <c r="P472" i="94" s="1"/>
  <c r="M466" i="94"/>
  <c r="G464" i="94"/>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F464" i="94"/>
  <c r="W463" i="94"/>
  <c r="O463" i="94"/>
  <c r="W452" i="94"/>
  <c r="O452" i="94"/>
  <c r="V450" i="94"/>
  <c r="D450" i="94"/>
  <c r="A446" i="94"/>
  <c r="W446" i="94" s="1"/>
  <c r="LV778" i="94" l="1"/>
  <c r="GC779" i="94"/>
  <c r="FA786" i="94"/>
  <c r="AI787" i="94"/>
  <c r="AY787" i="94"/>
  <c r="BM787" i="94"/>
  <c r="CE787" i="94"/>
  <c r="CU787" i="94"/>
  <c r="DI787" i="94"/>
  <c r="EA787" i="94"/>
  <c r="EQ787" i="94"/>
  <c r="FE787" i="94"/>
  <c r="FW787" i="94"/>
  <c r="LG787" i="94"/>
  <c r="CK793" i="94"/>
  <c r="AG794" i="94"/>
  <c r="AU794" i="94"/>
  <c r="EE794" i="94"/>
  <c r="EU794" i="94"/>
  <c r="FI794" i="94"/>
  <c r="GG794" i="94"/>
  <c r="LL794" i="94"/>
  <c r="AE794" i="94"/>
  <c r="ES794" i="94"/>
  <c r="LY774" i="94"/>
  <c r="AB777" i="94"/>
  <c r="LX778" i="94"/>
  <c r="GD779" i="94"/>
  <c r="HB786" i="94"/>
  <c r="AK787" i="94"/>
  <c r="AZ787" i="94"/>
  <c r="BO787" i="94"/>
  <c r="CG787" i="94"/>
  <c r="CV787" i="94"/>
  <c r="DK787" i="94"/>
  <c r="EC787" i="94"/>
  <c r="ER787" i="94"/>
  <c r="FG787" i="94"/>
  <c r="FY787" i="94"/>
  <c r="LH787" i="94"/>
  <c r="CX793" i="94"/>
  <c r="AH794" i="94"/>
  <c r="AW794" i="94"/>
  <c r="EG794" i="94"/>
  <c r="EV794" i="94"/>
  <c r="FK794" i="94"/>
  <c r="GO794" i="94"/>
  <c r="LM794" i="94"/>
  <c r="CR779" i="94"/>
  <c r="FW792" i="94"/>
  <c r="LZ786" i="94"/>
  <c r="LU774" i="94"/>
  <c r="BI794" i="94"/>
  <c r="V483" i="94"/>
  <c r="V486" i="94" s="1"/>
  <c r="BB777" i="94"/>
  <c r="ED779" i="94"/>
  <c r="W787" i="94"/>
  <c r="AM787" i="94"/>
  <c r="BA787" i="94"/>
  <c r="BS787" i="94"/>
  <c r="CI787" i="94"/>
  <c r="CW787" i="94"/>
  <c r="DO787" i="94"/>
  <c r="EE787" i="94"/>
  <c r="ES787" i="94"/>
  <c r="FK787" i="94"/>
  <c r="GA787" i="94"/>
  <c r="LI787" i="94"/>
  <c r="DW793" i="94"/>
  <c r="AI794" i="94"/>
  <c r="BA794" i="94"/>
  <c r="EI794" i="94"/>
  <c r="EW794" i="94"/>
  <c r="FO794" i="94"/>
  <c r="GX794" i="94"/>
  <c r="LN794" i="94"/>
  <c r="JO779" i="94"/>
  <c r="CC777" i="94"/>
  <c r="EE779" i="94"/>
  <c r="Y787" i="94"/>
  <c r="AN787" i="94"/>
  <c r="BC787" i="94"/>
  <c r="BU787" i="94"/>
  <c r="CJ787" i="94"/>
  <c r="CY787" i="94"/>
  <c r="DQ787" i="94"/>
  <c r="EF787" i="94"/>
  <c r="EU787" i="94"/>
  <c r="FM787" i="94"/>
  <c r="GB787" i="94"/>
  <c r="LK787" i="94"/>
  <c r="Y793" i="94"/>
  <c r="LN793" i="94"/>
  <c r="AK794" i="94"/>
  <c r="BC794" i="94"/>
  <c r="EJ794" i="94"/>
  <c r="EY794" i="94"/>
  <c r="FQ794" i="94"/>
  <c r="HB794" i="94"/>
  <c r="LR794" i="94"/>
  <c r="MS775" i="94"/>
  <c r="AT794" i="94"/>
  <c r="FH794" i="94"/>
  <c r="GB794" i="94"/>
  <c r="M575" i="94"/>
  <c r="AH778" i="94"/>
  <c r="EF779" i="94"/>
  <c r="BV785" i="94"/>
  <c r="AA787" i="94"/>
  <c r="AO787" i="94"/>
  <c r="BG787" i="94"/>
  <c r="BW787" i="94"/>
  <c r="CK787" i="94"/>
  <c r="DC787" i="94"/>
  <c r="DS787" i="94"/>
  <c r="EG787" i="94"/>
  <c r="EY787" i="94"/>
  <c r="FO787" i="94"/>
  <c r="GC787" i="94"/>
  <c r="LO787" i="94"/>
  <c r="AX793" i="94"/>
  <c r="EI793" i="94"/>
  <c r="W794" i="94"/>
  <c r="AO794" i="94"/>
  <c r="BE794" i="94"/>
  <c r="EK794" i="94"/>
  <c r="FC794" i="94"/>
  <c r="FS794" i="94"/>
  <c r="HH794" i="94"/>
  <c r="IC772" i="94"/>
  <c r="FX800" i="94"/>
  <c r="FX776" i="94"/>
  <c r="FS778" i="94"/>
  <c r="S472" i="94"/>
  <c r="AB787" i="94"/>
  <c r="AQ787" i="94"/>
  <c r="BI787" i="94"/>
  <c r="BX787" i="94"/>
  <c r="CM787" i="94"/>
  <c r="DE787" i="94"/>
  <c r="DT787" i="94"/>
  <c r="EI787" i="94"/>
  <c r="FA787" i="94"/>
  <c r="FP787" i="94"/>
  <c r="GE787" i="94"/>
  <c r="EP793" i="94"/>
  <c r="Y794" i="94"/>
  <c r="AQ794" i="94"/>
  <c r="BF794" i="94"/>
  <c r="EM794" i="94"/>
  <c r="FE794" i="94"/>
  <c r="FT794" i="94"/>
  <c r="LJ787" i="94"/>
  <c r="LG779" i="94"/>
  <c r="CC809" i="94"/>
  <c r="LO785" i="94"/>
  <c r="CP801" i="94"/>
  <c r="DH795" i="94"/>
  <c r="EC789" i="94"/>
  <c r="LI777" i="94"/>
  <c r="BM774" i="94"/>
  <c r="HW774" i="94"/>
  <c r="AA785" i="94"/>
  <c r="AN786" i="94"/>
  <c r="HC786" i="94"/>
  <c r="FH802" i="94"/>
  <c r="MB778" i="94"/>
  <c r="IT773" i="94"/>
  <c r="EF773" i="94"/>
  <c r="IU773" i="94"/>
  <c r="KQ773" i="94"/>
  <c r="AD774" i="94"/>
  <c r="AP774" i="94"/>
  <c r="BB774" i="94"/>
  <c r="BN774" i="94"/>
  <c r="BZ774" i="94"/>
  <c r="CL774" i="94"/>
  <c r="CX774" i="94"/>
  <c r="DJ774" i="94"/>
  <c r="DV774" i="94"/>
  <c r="EH774" i="94"/>
  <c r="ET774" i="94"/>
  <c r="FF774" i="94"/>
  <c r="FR774" i="94"/>
  <c r="GD774" i="94"/>
  <c r="GP774" i="94"/>
  <c r="HB774" i="94"/>
  <c r="HX774" i="94"/>
  <c r="MA774" i="94"/>
  <c r="AD777" i="94"/>
  <c r="BE777" i="94"/>
  <c r="CK777" i="94"/>
  <c r="DL777" i="94"/>
  <c r="EL777" i="94"/>
  <c r="FR777" i="94"/>
  <c r="AT778" i="94"/>
  <c r="GG778" i="94"/>
  <c r="AJ779" i="94"/>
  <c r="AC785" i="94"/>
  <c r="BY785" i="94"/>
  <c r="DU785" i="94"/>
  <c r="FQ785" i="94"/>
  <c r="AP786" i="94"/>
  <c r="FD786" i="94"/>
  <c r="HE786" i="94"/>
  <c r="BA774" i="94"/>
  <c r="FQ774" i="94"/>
  <c r="BD777" i="94"/>
  <c r="EG773" i="94"/>
  <c r="IW773" i="94"/>
  <c r="KS773" i="94"/>
  <c r="AE774" i="94"/>
  <c r="AQ774" i="94"/>
  <c r="BC774" i="94"/>
  <c r="BO774" i="94"/>
  <c r="CA774" i="94"/>
  <c r="CM774" i="94"/>
  <c r="CY774" i="94"/>
  <c r="DK774" i="94"/>
  <c r="DW774" i="94"/>
  <c r="EI774" i="94"/>
  <c r="EU774" i="94"/>
  <c r="FG774" i="94"/>
  <c r="FS774" i="94"/>
  <c r="GE774" i="94"/>
  <c r="GQ774" i="94"/>
  <c r="HC774" i="94"/>
  <c r="MC774" i="94"/>
  <c r="AF777" i="94"/>
  <c r="BF777" i="94"/>
  <c r="CL777" i="94"/>
  <c r="DM777" i="94"/>
  <c r="ES777" i="94"/>
  <c r="FT777" i="94"/>
  <c r="AV778" i="94"/>
  <c r="GI778" i="94"/>
  <c r="AV779" i="94"/>
  <c r="AL785" i="94"/>
  <c r="CH785" i="94"/>
  <c r="ED785" i="94"/>
  <c r="FZ785" i="94"/>
  <c r="AY786" i="94"/>
  <c r="FM786" i="94"/>
  <c r="HN786" i="94"/>
  <c r="CD782" i="94"/>
  <c r="IC797" i="94"/>
  <c r="KU779" i="94"/>
  <c r="MR773" i="94"/>
  <c r="DU774" i="94"/>
  <c r="DJ777" i="94"/>
  <c r="DS785" i="94"/>
  <c r="GA773" i="94"/>
  <c r="JF773" i="94"/>
  <c r="LB773" i="94"/>
  <c r="AF774" i="94"/>
  <c r="AR774" i="94"/>
  <c r="BD774" i="94"/>
  <c r="BP774" i="94"/>
  <c r="CB774" i="94"/>
  <c r="CN774" i="94"/>
  <c r="CZ774" i="94"/>
  <c r="DL774" i="94"/>
  <c r="DX774" i="94"/>
  <c r="EJ774" i="94"/>
  <c r="EV774" i="94"/>
  <c r="FH774" i="94"/>
  <c r="FT774" i="94"/>
  <c r="GF774" i="94"/>
  <c r="GR774" i="94"/>
  <c r="HI774" i="94"/>
  <c r="LF774" i="94"/>
  <c r="MD774" i="94"/>
  <c r="AG777" i="94"/>
  <c r="BM777" i="94"/>
  <c r="CN777" i="94"/>
  <c r="DN777" i="94"/>
  <c r="ET777" i="94"/>
  <c r="FU777" i="94"/>
  <c r="BF778" i="94"/>
  <c r="GS778" i="94"/>
  <c r="LC779" i="94"/>
  <c r="AM785" i="94"/>
  <c r="CI785" i="94"/>
  <c r="EE785" i="94"/>
  <c r="GA785" i="94"/>
  <c r="AZ786" i="94"/>
  <c r="FN786" i="94"/>
  <c r="HO786" i="94"/>
  <c r="ED792" i="94"/>
  <c r="KP773" i="94"/>
  <c r="CW774" i="94"/>
  <c r="FE774" i="94"/>
  <c r="LZ774" i="94"/>
  <c r="EK777" i="94"/>
  <c r="FO785" i="94"/>
  <c r="V556" i="94"/>
  <c r="GB773" i="94"/>
  <c r="JG773" i="94"/>
  <c r="LC773" i="94"/>
  <c r="AG774" i="94"/>
  <c r="AS774" i="94"/>
  <c r="BE774" i="94"/>
  <c r="BQ774" i="94"/>
  <c r="CC774" i="94"/>
  <c r="CO774" i="94"/>
  <c r="DA774" i="94"/>
  <c r="DM774" i="94"/>
  <c r="DY774" i="94"/>
  <c r="EK774" i="94"/>
  <c r="EW774" i="94"/>
  <c r="FI774" i="94"/>
  <c r="FU774" i="94"/>
  <c r="GG774" i="94"/>
  <c r="GS774" i="94"/>
  <c r="HJ774" i="94"/>
  <c r="LG774" i="94"/>
  <c r="AH777" i="94"/>
  <c r="BN777" i="94"/>
  <c r="CO777" i="94"/>
  <c r="DU777" i="94"/>
  <c r="EV777" i="94"/>
  <c r="FV777" i="94"/>
  <c r="BH778" i="94"/>
  <c r="GU778" i="94"/>
  <c r="FX784" i="94"/>
  <c r="AO785" i="94"/>
  <c r="CK785" i="94"/>
  <c r="EG785" i="94"/>
  <c r="GC785" i="94"/>
  <c r="BB786" i="94"/>
  <c r="FP786" i="94"/>
  <c r="HQ786" i="94"/>
  <c r="EE792" i="94"/>
  <c r="AO774" i="94"/>
  <c r="ES774" i="94"/>
  <c r="CD777" i="94"/>
  <c r="FB786" i="94"/>
  <c r="GC773" i="94"/>
  <c r="JI773" i="94"/>
  <c r="LE773" i="94"/>
  <c r="AH774" i="94"/>
  <c r="AT774" i="94"/>
  <c r="BF774" i="94"/>
  <c r="BR774" i="94"/>
  <c r="CD774" i="94"/>
  <c r="CP774" i="94"/>
  <c r="DB774" i="94"/>
  <c r="DN774" i="94"/>
  <c r="DZ774" i="94"/>
  <c r="EL774" i="94"/>
  <c r="EX774" i="94"/>
  <c r="FJ774" i="94"/>
  <c r="FV774" i="94"/>
  <c r="GH774" i="94"/>
  <c r="GT774" i="94"/>
  <c r="HK774" i="94"/>
  <c r="LM774" i="94"/>
  <c r="AO777" i="94"/>
  <c r="BP777" i="94"/>
  <c r="CP777" i="94"/>
  <c r="DV777" i="94"/>
  <c r="EW777" i="94"/>
  <c r="GC777" i="94"/>
  <c r="EG778" i="94"/>
  <c r="HE778" i="94"/>
  <c r="FZ784" i="94"/>
  <c r="AX785" i="94"/>
  <c r="CT785" i="94"/>
  <c r="EP785" i="94"/>
  <c r="LH785" i="94"/>
  <c r="EC786" i="94"/>
  <c r="GD786" i="94"/>
  <c r="LG786" i="94"/>
  <c r="EG792" i="94"/>
  <c r="EB779" i="94"/>
  <c r="CK774" i="94"/>
  <c r="GD773" i="94"/>
  <c r="JR773" i="94"/>
  <c r="W774" i="94"/>
  <c r="AI774" i="94"/>
  <c r="AU774" i="94"/>
  <c r="BG774" i="94"/>
  <c r="BS774" i="94"/>
  <c r="CE774" i="94"/>
  <c r="CQ774" i="94"/>
  <c r="DC774" i="94"/>
  <c r="DO774" i="94"/>
  <c r="EA774" i="94"/>
  <c r="EM774" i="94"/>
  <c r="EY774" i="94"/>
  <c r="FK774" i="94"/>
  <c r="FW774" i="94"/>
  <c r="GI774" i="94"/>
  <c r="GU774" i="94"/>
  <c r="HL774" i="94"/>
  <c r="LN774" i="94"/>
  <c r="AP777" i="94"/>
  <c r="BQ777" i="94"/>
  <c r="CW777" i="94"/>
  <c r="DX777" i="94"/>
  <c r="EX777" i="94"/>
  <c r="GD777" i="94"/>
  <c r="EI778" i="94"/>
  <c r="HG778" i="94"/>
  <c r="AY785" i="94"/>
  <c r="CU785" i="94"/>
  <c r="EQ785" i="94"/>
  <c r="LI785" i="94"/>
  <c r="ED786" i="94"/>
  <c r="GE786" i="94"/>
  <c r="LH786" i="94"/>
  <c r="GA789" i="94"/>
  <c r="GD792" i="94"/>
  <c r="GO774" i="94"/>
  <c r="GE773" i="94"/>
  <c r="JS773" i="94"/>
  <c r="X774" i="94"/>
  <c r="AJ774" i="94"/>
  <c r="AV774" i="94"/>
  <c r="BH774" i="94"/>
  <c r="BT774" i="94"/>
  <c r="CF774" i="94"/>
  <c r="CR774" i="94"/>
  <c r="DD774" i="94"/>
  <c r="DP774" i="94"/>
  <c r="EB774" i="94"/>
  <c r="EN774" i="94"/>
  <c r="EZ774" i="94"/>
  <c r="FL774" i="94"/>
  <c r="FX774" i="94"/>
  <c r="GJ774" i="94"/>
  <c r="GV774" i="94"/>
  <c r="HM774" i="94"/>
  <c r="LO774" i="94"/>
  <c r="AR777" i="94"/>
  <c r="BR777" i="94"/>
  <c r="CX777" i="94"/>
  <c r="DY777" i="94"/>
  <c r="FE777" i="94"/>
  <c r="ES778" i="94"/>
  <c r="HQ778" i="94"/>
  <c r="BA785" i="94"/>
  <c r="CW785" i="94"/>
  <c r="ES785" i="94"/>
  <c r="LK785" i="94"/>
  <c r="EF786" i="94"/>
  <c r="GG786" i="94"/>
  <c r="LJ786" i="94"/>
  <c r="GB789" i="94"/>
  <c r="GE792" i="94"/>
  <c r="AC774" i="94"/>
  <c r="DI774" i="94"/>
  <c r="HA774" i="94"/>
  <c r="AC777" i="94"/>
  <c r="FQ777" i="94"/>
  <c r="HY773" i="94"/>
  <c r="JU773" i="94"/>
  <c r="Y774" i="94"/>
  <c r="AK774" i="94"/>
  <c r="AW774" i="94"/>
  <c r="BI774" i="94"/>
  <c r="BU774" i="94"/>
  <c r="CG774" i="94"/>
  <c r="CS774" i="94"/>
  <c r="DE774" i="94"/>
  <c r="DQ774" i="94"/>
  <c r="EC774" i="94"/>
  <c r="EO774" i="94"/>
  <c r="FA774" i="94"/>
  <c r="FM774" i="94"/>
  <c r="FY774" i="94"/>
  <c r="GK774" i="94"/>
  <c r="GW774" i="94"/>
  <c r="HN774" i="94"/>
  <c r="LQ774" i="94"/>
  <c r="AS777" i="94"/>
  <c r="BY777" i="94"/>
  <c r="CZ777" i="94"/>
  <c r="DZ777" i="94"/>
  <c r="FF777" i="94"/>
  <c r="LN777" i="94"/>
  <c r="EU778" i="94"/>
  <c r="HS778" i="94"/>
  <c r="FV779" i="94"/>
  <c r="BJ785" i="94"/>
  <c r="DF785" i="94"/>
  <c r="FB785" i="94"/>
  <c r="AA786" i="94"/>
  <c r="EO786" i="94"/>
  <c r="GP786" i="94"/>
  <c r="LS786" i="94"/>
  <c r="GD789" i="94"/>
  <c r="EG774" i="94"/>
  <c r="IH773" i="94"/>
  <c r="KD773" i="94"/>
  <c r="Z774" i="94"/>
  <c r="AL774" i="94"/>
  <c r="AX774" i="94"/>
  <c r="BJ774" i="94"/>
  <c r="BV774" i="94"/>
  <c r="CH774" i="94"/>
  <c r="CT774" i="94"/>
  <c r="DF774" i="94"/>
  <c r="DR774" i="94"/>
  <c r="ED774" i="94"/>
  <c r="EP774" i="94"/>
  <c r="FB774" i="94"/>
  <c r="FN774" i="94"/>
  <c r="FZ774" i="94"/>
  <c r="GL774" i="94"/>
  <c r="GX774" i="94"/>
  <c r="HO774" i="94"/>
  <c r="LR774" i="94"/>
  <c r="AT777" i="94"/>
  <c r="BZ777" i="94"/>
  <c r="DA777" i="94"/>
  <c r="EG777" i="94"/>
  <c r="FH777" i="94"/>
  <c r="LO777" i="94"/>
  <c r="FE778" i="94"/>
  <c r="LJ778" i="94"/>
  <c r="FW779" i="94"/>
  <c r="BK785" i="94"/>
  <c r="DG785" i="94"/>
  <c r="FC785" i="94"/>
  <c r="AB786" i="94"/>
  <c r="EP786" i="94"/>
  <c r="GQ786" i="94"/>
  <c r="LT786" i="94"/>
  <c r="EE773" i="94"/>
  <c r="BY774" i="94"/>
  <c r="GC774" i="94"/>
  <c r="BW785" i="94"/>
  <c r="P571" i="94"/>
  <c r="EC773" i="94"/>
  <c r="II773" i="94"/>
  <c r="AA774" i="94"/>
  <c r="AM774" i="94"/>
  <c r="AY774" i="94"/>
  <c r="BK774" i="94"/>
  <c r="BW774" i="94"/>
  <c r="CI774" i="94"/>
  <c r="CU774" i="94"/>
  <c r="DG774" i="94"/>
  <c r="DS774" i="94"/>
  <c r="EE774" i="94"/>
  <c r="EQ774" i="94"/>
  <c r="FC774" i="94"/>
  <c r="FO774" i="94"/>
  <c r="GA774" i="94"/>
  <c r="GM774" i="94"/>
  <c r="GY774" i="94"/>
  <c r="HU774" i="94"/>
  <c r="LS774" i="94"/>
  <c r="BA777" i="94"/>
  <c r="CB777" i="94"/>
  <c r="DB777" i="94"/>
  <c r="EH777" i="94"/>
  <c r="FI777" i="94"/>
  <c r="X778" i="94"/>
  <c r="FG778" i="94"/>
  <c r="LL778" i="94"/>
  <c r="FY779" i="94"/>
  <c r="BM785" i="94"/>
  <c r="DI785" i="94"/>
  <c r="FE785" i="94"/>
  <c r="AD786" i="94"/>
  <c r="ER786" i="94"/>
  <c r="GS786" i="94"/>
  <c r="LV786" i="94"/>
  <c r="AJ802" i="94"/>
  <c r="FY792" i="94"/>
  <c r="IA801" i="94"/>
  <c r="A570" i="94"/>
  <c r="JL785" i="94"/>
  <c r="ID773" i="94"/>
  <c r="IP773" i="94"/>
  <c r="JB773" i="94"/>
  <c r="JN773" i="94"/>
  <c r="JZ773" i="94"/>
  <c r="KL773" i="94"/>
  <c r="KX773" i="94"/>
  <c r="MS773" i="94"/>
  <c r="HF774" i="94"/>
  <c r="HR774" i="94"/>
  <c r="LJ774" i="94"/>
  <c r="LV774" i="94"/>
  <c r="CA776" i="94"/>
  <c r="FY776" i="94"/>
  <c r="Y777" i="94"/>
  <c r="AK777" i="94"/>
  <c r="AW777" i="94"/>
  <c r="BI777" i="94"/>
  <c r="BU777" i="94"/>
  <c r="CG777" i="94"/>
  <c r="CS777" i="94"/>
  <c r="DE777" i="94"/>
  <c r="DQ777" i="94"/>
  <c r="EC777" i="94"/>
  <c r="EO777" i="94"/>
  <c r="FA777" i="94"/>
  <c r="FM777" i="94"/>
  <c r="FY777" i="94"/>
  <c r="LJ777" i="94"/>
  <c r="AC778" i="94"/>
  <c r="AO778" i="94"/>
  <c r="BA778" i="94"/>
  <c r="DL778" i="94"/>
  <c r="EN778" i="94"/>
  <c r="EZ778" i="94"/>
  <c r="FL778" i="94"/>
  <c r="GB778" i="94"/>
  <c r="GN778" i="94"/>
  <c r="GZ778" i="94"/>
  <c r="HL778" i="94"/>
  <c r="HX778" i="94"/>
  <c r="LQ778" i="94"/>
  <c r="MC778" i="94"/>
  <c r="IA779" i="94"/>
  <c r="CL782" i="94"/>
  <c r="AH785" i="94"/>
  <c r="AT785" i="94"/>
  <c r="BF785" i="94"/>
  <c r="BR785" i="94"/>
  <c r="CD785" i="94"/>
  <c r="CP785" i="94"/>
  <c r="DB785" i="94"/>
  <c r="DN785" i="94"/>
  <c r="DZ785" i="94"/>
  <c r="EL785" i="94"/>
  <c r="EX785" i="94"/>
  <c r="FJ785" i="94"/>
  <c r="FV785" i="94"/>
  <c r="IA785" i="94"/>
  <c r="W786" i="94"/>
  <c r="AI786" i="94"/>
  <c r="AU786" i="94"/>
  <c r="BG786" i="94"/>
  <c r="EK786" i="94"/>
  <c r="EW786" i="94"/>
  <c r="FI786" i="94"/>
  <c r="FU786" i="94"/>
  <c r="GL786" i="94"/>
  <c r="GX786" i="94"/>
  <c r="HJ786" i="94"/>
  <c r="HV786" i="94"/>
  <c r="LO786" i="94"/>
  <c r="MA786" i="94"/>
  <c r="ED789" i="94"/>
  <c r="FZ792" i="94"/>
  <c r="BB802" i="94"/>
  <c r="FO802" i="94"/>
  <c r="J563" i="94"/>
  <c r="A461" i="94"/>
  <c r="IE773" i="94"/>
  <c r="IQ773" i="94"/>
  <c r="JC773" i="94"/>
  <c r="JO773" i="94"/>
  <c r="KA773" i="94"/>
  <c r="KM773" i="94"/>
  <c r="KY773" i="94"/>
  <c r="HG774" i="94"/>
  <c r="HS774" i="94"/>
  <c r="LK774" i="94"/>
  <c r="LW774" i="94"/>
  <c r="CI776" i="94"/>
  <c r="FZ776" i="94"/>
  <c r="Z777" i="94"/>
  <c r="AL777" i="94"/>
  <c r="AX777" i="94"/>
  <c r="BJ777" i="94"/>
  <c r="BV777" i="94"/>
  <c r="CH777" i="94"/>
  <c r="CT777" i="94"/>
  <c r="DF777" i="94"/>
  <c r="DR777" i="94"/>
  <c r="ED777" i="94"/>
  <c r="EP777" i="94"/>
  <c r="FB777" i="94"/>
  <c r="FN777" i="94"/>
  <c r="FZ777" i="94"/>
  <c r="LK777" i="94"/>
  <c r="AD778" i="94"/>
  <c r="AP778" i="94"/>
  <c r="BB778" i="94"/>
  <c r="EC778" i="94"/>
  <c r="EO778" i="94"/>
  <c r="FA778" i="94"/>
  <c r="FM778" i="94"/>
  <c r="GC778" i="94"/>
  <c r="GO778" i="94"/>
  <c r="HA778" i="94"/>
  <c r="HM778" i="94"/>
  <c r="LF778" i="94"/>
  <c r="LR778" i="94"/>
  <c r="MD778" i="94"/>
  <c r="IB779" i="94"/>
  <c r="CU782" i="94"/>
  <c r="W785" i="94"/>
  <c r="AI785" i="94"/>
  <c r="AU785" i="94"/>
  <c r="BG785" i="94"/>
  <c r="BS785" i="94"/>
  <c r="CE785" i="94"/>
  <c r="CQ785" i="94"/>
  <c r="DC785" i="94"/>
  <c r="DO785" i="94"/>
  <c r="EA785" i="94"/>
  <c r="EM785" i="94"/>
  <c r="EY785" i="94"/>
  <c r="FK785" i="94"/>
  <c r="FW785" i="94"/>
  <c r="IC785" i="94"/>
  <c r="X786" i="94"/>
  <c r="AJ786" i="94"/>
  <c r="AV786" i="94"/>
  <c r="BH786" i="94"/>
  <c r="EL786" i="94"/>
  <c r="EX786" i="94"/>
  <c r="FJ786" i="94"/>
  <c r="GA786" i="94"/>
  <c r="GM786" i="94"/>
  <c r="GY786" i="94"/>
  <c r="HK786" i="94"/>
  <c r="HW786" i="94"/>
  <c r="LP786" i="94"/>
  <c r="MB786" i="94"/>
  <c r="EE789" i="94"/>
  <c r="GA792" i="94"/>
  <c r="AA802" i="94"/>
  <c r="BG802" i="94"/>
  <c r="FP802" i="94"/>
  <c r="FG782" i="94"/>
  <c r="ER802" i="94"/>
  <c r="V575" i="94"/>
  <c r="IF773" i="94"/>
  <c r="IR773" i="94"/>
  <c r="JD773" i="94"/>
  <c r="JP773" i="94"/>
  <c r="KB773" i="94"/>
  <c r="KN773" i="94"/>
  <c r="KZ773" i="94"/>
  <c r="HH774" i="94"/>
  <c r="HT774" i="94"/>
  <c r="LL774" i="94"/>
  <c r="LX774" i="94"/>
  <c r="CQ776" i="94"/>
  <c r="GA776" i="94"/>
  <c r="AA777" i="94"/>
  <c r="AM777" i="94"/>
  <c r="AY777" i="94"/>
  <c r="BK777" i="94"/>
  <c r="BW777" i="94"/>
  <c r="CI777" i="94"/>
  <c r="CU777" i="94"/>
  <c r="DG777" i="94"/>
  <c r="DS777" i="94"/>
  <c r="EE777" i="94"/>
  <c r="EQ777" i="94"/>
  <c r="FC777" i="94"/>
  <c r="FO777" i="94"/>
  <c r="GA777" i="94"/>
  <c r="LL777" i="94"/>
  <c r="AE778" i="94"/>
  <c r="AQ778" i="94"/>
  <c r="BC778" i="94"/>
  <c r="ED778" i="94"/>
  <c r="EP778" i="94"/>
  <c r="FB778" i="94"/>
  <c r="FN778" i="94"/>
  <c r="GD778" i="94"/>
  <c r="GP778" i="94"/>
  <c r="HB778" i="94"/>
  <c r="HN778" i="94"/>
  <c r="LG778" i="94"/>
  <c r="LS778" i="94"/>
  <c r="ML778" i="94"/>
  <c r="IC779" i="94"/>
  <c r="DN782" i="94"/>
  <c r="X785" i="94"/>
  <c r="AJ785" i="94"/>
  <c r="AV785" i="94"/>
  <c r="BH785" i="94"/>
  <c r="BT785" i="94"/>
  <c r="CF785" i="94"/>
  <c r="CR785" i="94"/>
  <c r="DD785" i="94"/>
  <c r="DP785" i="94"/>
  <c r="EB785" i="94"/>
  <c r="EN785" i="94"/>
  <c r="EZ785" i="94"/>
  <c r="FL785" i="94"/>
  <c r="FX785" i="94"/>
  <c r="LF785" i="94"/>
  <c r="Y786" i="94"/>
  <c r="AK786" i="94"/>
  <c r="AW786" i="94"/>
  <c r="BI786" i="94"/>
  <c r="EM786" i="94"/>
  <c r="EY786" i="94"/>
  <c r="FK786" i="94"/>
  <c r="GB786" i="94"/>
  <c r="GN786" i="94"/>
  <c r="GZ786" i="94"/>
  <c r="HL786" i="94"/>
  <c r="HX786" i="94"/>
  <c r="LQ786" i="94"/>
  <c r="MC786" i="94"/>
  <c r="EF789" i="94"/>
  <c r="GB792" i="94"/>
  <c r="AB802" i="94"/>
  <c r="BH802" i="94"/>
  <c r="GE802" i="94"/>
  <c r="LX777" i="94"/>
  <c r="S522" i="94"/>
  <c r="IG773" i="94"/>
  <c r="IS773" i="94"/>
  <c r="JE773" i="94"/>
  <c r="JQ773" i="94"/>
  <c r="KC773" i="94"/>
  <c r="KO773" i="94"/>
  <c r="LA773" i="94"/>
  <c r="EC776" i="94"/>
  <c r="GB776" i="94"/>
  <c r="AN777" i="94"/>
  <c r="AZ777" i="94"/>
  <c r="BL777" i="94"/>
  <c r="BX777" i="94"/>
  <c r="CJ777" i="94"/>
  <c r="CV777" i="94"/>
  <c r="DH777" i="94"/>
  <c r="DT777" i="94"/>
  <c r="EF777" i="94"/>
  <c r="ER777" i="94"/>
  <c r="FD777" i="94"/>
  <c r="FP777" i="94"/>
  <c r="GB777" i="94"/>
  <c r="LM777" i="94"/>
  <c r="AF778" i="94"/>
  <c r="AR778" i="94"/>
  <c r="BD778" i="94"/>
  <c r="EE778" i="94"/>
  <c r="EQ778" i="94"/>
  <c r="FC778" i="94"/>
  <c r="FO778" i="94"/>
  <c r="GE778" i="94"/>
  <c r="GQ778" i="94"/>
  <c r="HC778" i="94"/>
  <c r="HO778" i="94"/>
  <c r="LH778" i="94"/>
  <c r="LT778" i="94"/>
  <c r="X779" i="94"/>
  <c r="FL779" i="94"/>
  <c r="JW779" i="94"/>
  <c r="DW782" i="94"/>
  <c r="FV784" i="94"/>
  <c r="Y785" i="94"/>
  <c r="AK785" i="94"/>
  <c r="AW785" i="94"/>
  <c r="BI785" i="94"/>
  <c r="BU785" i="94"/>
  <c r="CG785" i="94"/>
  <c r="CS785" i="94"/>
  <c r="DE785" i="94"/>
  <c r="DQ785" i="94"/>
  <c r="EC785" i="94"/>
  <c r="EO785" i="94"/>
  <c r="FA785" i="94"/>
  <c r="FM785" i="94"/>
  <c r="FY785" i="94"/>
  <c r="LG785" i="94"/>
  <c r="Z786" i="94"/>
  <c r="AL786" i="94"/>
  <c r="AX786" i="94"/>
  <c r="BJ786" i="94"/>
  <c r="EN786" i="94"/>
  <c r="EZ786" i="94"/>
  <c r="FL786" i="94"/>
  <c r="GC786" i="94"/>
  <c r="GO786" i="94"/>
  <c r="HA786" i="94"/>
  <c r="HM786" i="94"/>
  <c r="LF786" i="94"/>
  <c r="LR786" i="94"/>
  <c r="MD786" i="94"/>
  <c r="EG789" i="94"/>
  <c r="EC792" i="94"/>
  <c r="GC792" i="94"/>
  <c r="AD802" i="94"/>
  <c r="BJ802" i="94"/>
  <c r="LK802" i="94"/>
  <c r="G472" i="94"/>
  <c r="J571" i="94"/>
  <c r="S575" i="94"/>
  <c r="AG778" i="94"/>
  <c r="AS778" i="94"/>
  <c r="BE778" i="94"/>
  <c r="EF778" i="94"/>
  <c r="ER778" i="94"/>
  <c r="FD778" i="94"/>
  <c r="FP778" i="94"/>
  <c r="GF778" i="94"/>
  <c r="GR778" i="94"/>
  <c r="HD778" i="94"/>
  <c r="HP778" i="94"/>
  <c r="LU778" i="94"/>
  <c r="FW784" i="94"/>
  <c r="AI802" i="94"/>
  <c r="EI802" i="94"/>
  <c r="LL802" i="94"/>
  <c r="IJ773" i="94"/>
  <c r="IV773" i="94"/>
  <c r="JH773" i="94"/>
  <c r="JT773" i="94"/>
  <c r="KF773" i="94"/>
  <c r="KR773" i="94"/>
  <c r="LD773" i="94"/>
  <c r="LP774" i="94"/>
  <c r="MB774" i="94"/>
  <c r="EF776" i="94"/>
  <c r="GE776" i="94"/>
  <c r="AE777" i="94"/>
  <c r="AQ777" i="94"/>
  <c r="BC777" i="94"/>
  <c r="BO777" i="94"/>
  <c r="CA777" i="94"/>
  <c r="CM777" i="94"/>
  <c r="CY777" i="94"/>
  <c r="DK777" i="94"/>
  <c r="DW777" i="94"/>
  <c r="EI777" i="94"/>
  <c r="EU777" i="94"/>
  <c r="FG777" i="94"/>
  <c r="FS777" i="94"/>
  <c r="GE777" i="94"/>
  <c r="W778" i="94"/>
  <c r="AI778" i="94"/>
  <c r="AU778" i="94"/>
  <c r="BG778" i="94"/>
  <c r="EH778" i="94"/>
  <c r="ET778" i="94"/>
  <c r="FF778" i="94"/>
  <c r="FR778" i="94"/>
  <c r="GH778" i="94"/>
  <c r="GT778" i="94"/>
  <c r="HF778" i="94"/>
  <c r="HR778" i="94"/>
  <c r="LK778" i="94"/>
  <c r="LW778" i="94"/>
  <c r="CF779" i="94"/>
  <c r="FX779" i="94"/>
  <c r="FZ782" i="94"/>
  <c r="AB785" i="94"/>
  <c r="AN785" i="94"/>
  <c r="AZ785" i="94"/>
  <c r="BL785" i="94"/>
  <c r="BX785" i="94"/>
  <c r="CJ785" i="94"/>
  <c r="CV785" i="94"/>
  <c r="DH785" i="94"/>
  <c r="DT785" i="94"/>
  <c r="EF785" i="94"/>
  <c r="ER785" i="94"/>
  <c r="FD785" i="94"/>
  <c r="FP785" i="94"/>
  <c r="GB785" i="94"/>
  <c r="LJ785" i="94"/>
  <c r="AC786" i="94"/>
  <c r="AO786" i="94"/>
  <c r="BA786" i="94"/>
  <c r="EE786" i="94"/>
  <c r="EQ786" i="94"/>
  <c r="FC786" i="94"/>
  <c r="FO786" i="94"/>
  <c r="GF786" i="94"/>
  <c r="GR786" i="94"/>
  <c r="HD786" i="94"/>
  <c r="HP786" i="94"/>
  <c r="LI786" i="94"/>
  <c r="LU786" i="94"/>
  <c r="GC789" i="94"/>
  <c r="EF792" i="94"/>
  <c r="AL802" i="94"/>
  <c r="EQ802" i="94"/>
  <c r="LQ782" i="94"/>
  <c r="M963" i="94"/>
  <c r="IB772" i="94"/>
  <c r="HZ773" i="94"/>
  <c r="IL773" i="94"/>
  <c r="IX773" i="94"/>
  <c r="JJ773" i="94"/>
  <c r="JV773" i="94"/>
  <c r="KH773" i="94"/>
  <c r="KT773" i="94"/>
  <c r="MO773" i="94"/>
  <c r="FS776" i="94"/>
  <c r="IY776" i="94"/>
  <c r="LF777" i="94"/>
  <c r="Y778" i="94"/>
  <c r="AK778" i="94"/>
  <c r="AW778" i="94"/>
  <c r="BI778" i="94"/>
  <c r="EJ778" i="94"/>
  <c r="EV778" i="94"/>
  <c r="FH778" i="94"/>
  <c r="FT778" i="94"/>
  <c r="GJ778" i="94"/>
  <c r="GV778" i="94"/>
  <c r="HH778" i="94"/>
  <c r="HT778" i="94"/>
  <c r="LM778" i="94"/>
  <c r="LY778" i="94"/>
  <c r="DD779" i="94"/>
  <c r="AD785" i="94"/>
  <c r="AP785" i="94"/>
  <c r="BB785" i="94"/>
  <c r="BN785" i="94"/>
  <c r="BZ785" i="94"/>
  <c r="CL785" i="94"/>
  <c r="CX785" i="94"/>
  <c r="DJ785" i="94"/>
  <c r="DV785" i="94"/>
  <c r="EH785" i="94"/>
  <c r="ET785" i="94"/>
  <c r="FF785" i="94"/>
  <c r="FR785" i="94"/>
  <c r="GD785" i="94"/>
  <c r="LL785" i="94"/>
  <c r="AE786" i="94"/>
  <c r="AQ786" i="94"/>
  <c r="BC786" i="94"/>
  <c r="EG786" i="94"/>
  <c r="ES786" i="94"/>
  <c r="FE786" i="94"/>
  <c r="FQ786" i="94"/>
  <c r="GH786" i="94"/>
  <c r="GT786" i="94"/>
  <c r="HF786" i="94"/>
  <c r="HR786" i="94"/>
  <c r="LK786" i="94"/>
  <c r="LW786" i="94"/>
  <c r="GE789" i="94"/>
  <c r="FV792" i="94"/>
  <c r="HY797" i="94"/>
  <c r="AR802" i="94"/>
  <c r="EY802" i="94"/>
  <c r="LI794" i="94"/>
  <c r="AQ802" i="94"/>
  <c r="IA773" i="94"/>
  <c r="IM773" i="94"/>
  <c r="IY773" i="94"/>
  <c r="JK773" i="94"/>
  <c r="JW773" i="94"/>
  <c r="KI773" i="94"/>
  <c r="KU773" i="94"/>
  <c r="MP773" i="94"/>
  <c r="FV776" i="94"/>
  <c r="LG777" i="94"/>
  <c r="Z778" i="94"/>
  <c r="AL778" i="94"/>
  <c r="AX778" i="94"/>
  <c r="BJ778" i="94"/>
  <c r="EK778" i="94"/>
  <c r="EW778" i="94"/>
  <c r="FI778" i="94"/>
  <c r="FU778" i="94"/>
  <c r="GK778" i="94"/>
  <c r="GW778" i="94"/>
  <c r="HI778" i="94"/>
  <c r="HU778" i="94"/>
  <c r="LN778" i="94"/>
  <c r="LZ778" i="94"/>
  <c r="DP779" i="94"/>
  <c r="BN782" i="94"/>
  <c r="AE785" i="94"/>
  <c r="AQ785" i="94"/>
  <c r="BC785" i="94"/>
  <c r="BO785" i="94"/>
  <c r="CA785" i="94"/>
  <c r="CM785" i="94"/>
  <c r="CY785" i="94"/>
  <c r="DK785" i="94"/>
  <c r="DW785" i="94"/>
  <c r="EI785" i="94"/>
  <c r="EU785" i="94"/>
  <c r="FG785" i="94"/>
  <c r="FS785" i="94"/>
  <c r="GE785" i="94"/>
  <c r="LM785" i="94"/>
  <c r="AF786" i="94"/>
  <c r="AR786" i="94"/>
  <c r="BD786" i="94"/>
  <c r="EH786" i="94"/>
  <c r="ET786" i="94"/>
  <c r="FF786" i="94"/>
  <c r="FR786" i="94"/>
  <c r="GI786" i="94"/>
  <c r="GU786" i="94"/>
  <c r="HG786" i="94"/>
  <c r="HS786" i="94"/>
  <c r="LL786" i="94"/>
  <c r="LX786" i="94"/>
  <c r="IB797" i="94"/>
  <c r="AT802" i="94"/>
  <c r="EZ802" i="94"/>
  <c r="IB773" i="94"/>
  <c r="IN773" i="94"/>
  <c r="IZ773" i="94"/>
  <c r="JL773" i="94"/>
  <c r="JX773" i="94"/>
  <c r="KJ773" i="94"/>
  <c r="KV773" i="94"/>
  <c r="MQ773" i="94"/>
  <c r="HD774" i="94"/>
  <c r="HP774" i="94"/>
  <c r="LH774" i="94"/>
  <c r="LT774" i="94"/>
  <c r="W776" i="94"/>
  <c r="FW776" i="94"/>
  <c r="W777" i="94"/>
  <c r="AI777" i="94"/>
  <c r="AU777" i="94"/>
  <c r="BG777" i="94"/>
  <c r="BS777" i="94"/>
  <c r="CE777" i="94"/>
  <c r="CQ777" i="94"/>
  <c r="DC777" i="94"/>
  <c r="DO777" i="94"/>
  <c r="EA777" i="94"/>
  <c r="EM777" i="94"/>
  <c r="EY777" i="94"/>
  <c r="FK777" i="94"/>
  <c r="FW777" i="94"/>
  <c r="LH777" i="94"/>
  <c r="AA778" i="94"/>
  <c r="AM778" i="94"/>
  <c r="AY778" i="94"/>
  <c r="CN778" i="94"/>
  <c r="EL778" i="94"/>
  <c r="EX778" i="94"/>
  <c r="FJ778" i="94"/>
  <c r="FX778" i="94"/>
  <c r="GL778" i="94"/>
  <c r="GX778" i="94"/>
  <c r="HJ778" i="94"/>
  <c r="HV778" i="94"/>
  <c r="LO778" i="94"/>
  <c r="MA778" i="94"/>
  <c r="BV782" i="94"/>
  <c r="AF785" i="94"/>
  <c r="AR785" i="94"/>
  <c r="BD785" i="94"/>
  <c r="BP785" i="94"/>
  <c r="CB785" i="94"/>
  <c r="CN785" i="94"/>
  <c r="CZ785" i="94"/>
  <c r="DL785" i="94"/>
  <c r="DX785" i="94"/>
  <c r="EJ785" i="94"/>
  <c r="EV785" i="94"/>
  <c r="FH785" i="94"/>
  <c r="FT785" i="94"/>
  <c r="HY785" i="94"/>
  <c r="LN785" i="94"/>
  <c r="AG786" i="94"/>
  <c r="AS786" i="94"/>
  <c r="BE786" i="94"/>
  <c r="EI786" i="94"/>
  <c r="EU786" i="94"/>
  <c r="FG786" i="94"/>
  <c r="FS786" i="94"/>
  <c r="GJ786" i="94"/>
  <c r="GV786" i="94"/>
  <c r="HH786" i="94"/>
  <c r="HT786" i="94"/>
  <c r="LM786" i="94"/>
  <c r="LY786" i="94"/>
  <c r="FX792" i="94"/>
  <c r="FY800" i="94"/>
  <c r="AY802" i="94"/>
  <c r="FG802" i="94"/>
  <c r="ES773" i="94"/>
  <c r="LT802" i="94"/>
  <c r="IC773" i="94"/>
  <c r="IO773" i="94"/>
  <c r="JA773" i="94"/>
  <c r="JM773" i="94"/>
  <c r="JY773" i="94"/>
  <c r="KK773" i="94"/>
  <c r="KW773" i="94"/>
  <c r="HE774" i="94"/>
  <c r="HQ774" i="94"/>
  <c r="LI774" i="94"/>
  <c r="AE776" i="94"/>
  <c r="X777" i="94"/>
  <c r="AJ777" i="94"/>
  <c r="AV777" i="94"/>
  <c r="BH777" i="94"/>
  <c r="BT777" i="94"/>
  <c r="CF777" i="94"/>
  <c r="CR777" i="94"/>
  <c r="DD777" i="94"/>
  <c r="DP777" i="94"/>
  <c r="EB777" i="94"/>
  <c r="EN777" i="94"/>
  <c r="EZ777" i="94"/>
  <c r="FL777" i="94"/>
  <c r="FX777" i="94"/>
  <c r="AB778" i="94"/>
  <c r="AN778" i="94"/>
  <c r="AZ778" i="94"/>
  <c r="CV778" i="94"/>
  <c r="EM778" i="94"/>
  <c r="EY778" i="94"/>
  <c r="FK778" i="94"/>
  <c r="GA778" i="94"/>
  <c r="GM778" i="94"/>
  <c r="GY778" i="94"/>
  <c r="HK778" i="94"/>
  <c r="HW778" i="94"/>
  <c r="LP778" i="94"/>
  <c r="AG785" i="94"/>
  <c r="AS785" i="94"/>
  <c r="BE785" i="94"/>
  <c r="BQ785" i="94"/>
  <c r="CC785" i="94"/>
  <c r="CO785" i="94"/>
  <c r="DA785" i="94"/>
  <c r="DM785" i="94"/>
  <c r="DY785" i="94"/>
  <c r="EK785" i="94"/>
  <c r="EW785" i="94"/>
  <c r="FI785" i="94"/>
  <c r="FU785" i="94"/>
  <c r="HZ785" i="94"/>
  <c r="AH786" i="94"/>
  <c r="AT786" i="94"/>
  <c r="BF786" i="94"/>
  <c r="EJ786" i="94"/>
  <c r="EV786" i="94"/>
  <c r="FH786" i="94"/>
  <c r="FT786" i="94"/>
  <c r="GK786" i="94"/>
  <c r="GW786" i="94"/>
  <c r="HI786" i="94"/>
  <c r="HU786" i="94"/>
  <c r="LN786" i="94"/>
  <c r="GB800" i="94"/>
  <c r="AZ802" i="94"/>
  <c r="U570" i="94"/>
  <c r="F470" i="94"/>
  <c r="LP784" i="94"/>
  <c r="HY781" i="94"/>
  <c r="HZ781" i="94"/>
  <c r="IB781" i="94"/>
  <c r="IC781" i="94"/>
  <c r="IL781" i="94"/>
  <c r="EE781" i="94"/>
  <c r="IT781" i="94"/>
  <c r="JJ781" i="94"/>
  <c r="ED781" i="94"/>
  <c r="JZ781" i="94"/>
  <c r="EG781" i="94"/>
  <c r="KH781" i="94"/>
  <c r="GA781" i="94"/>
  <c r="KP781" i="94"/>
  <c r="GC781" i="94"/>
  <c r="MO781" i="94"/>
  <c r="Y783" i="94"/>
  <c r="II779" i="94"/>
  <c r="MR779" i="94"/>
  <c r="JG779" i="94"/>
  <c r="GI782" i="94"/>
  <c r="HA782" i="94"/>
  <c r="JR781" i="94"/>
  <c r="IB780" i="94"/>
  <c r="IY779" i="94"/>
  <c r="HZ779" i="94"/>
  <c r="KM779" i="94"/>
  <c r="FJ779" i="94"/>
  <c r="DD782" i="94"/>
  <c r="HJ782" i="94"/>
  <c r="AP782" i="94"/>
  <c r="EO782" i="94"/>
  <c r="MA782" i="94"/>
  <c r="AX782" i="94"/>
  <c r="EX782" i="94"/>
  <c r="BF782" i="94"/>
  <c r="EC781" i="94"/>
  <c r="IA781" i="94"/>
  <c r="KX781" i="94"/>
  <c r="EF781" i="94"/>
  <c r="ID781" i="94"/>
  <c r="GB781" i="94"/>
  <c r="JB781" i="94"/>
  <c r="GD781" i="94"/>
  <c r="EC779" i="94"/>
  <c r="FZ779" i="94"/>
  <c r="IQ779" i="94"/>
  <c r="BH779" i="94"/>
  <c r="EN779" i="94"/>
  <c r="GE779" i="94"/>
  <c r="KE779" i="94"/>
  <c r="BT779" i="94"/>
  <c r="EZ779" i="94"/>
  <c r="HY779" i="94"/>
  <c r="AS779" i="94"/>
  <c r="DM779" i="94"/>
  <c r="W779" i="94"/>
  <c r="AI779" i="94"/>
  <c r="AU779" i="94"/>
  <c r="BG779" i="94"/>
  <c r="BS779" i="94"/>
  <c r="CE779" i="94"/>
  <c r="CQ779" i="94"/>
  <c r="DC779" i="94"/>
  <c r="DO779" i="94"/>
  <c r="EA779" i="94"/>
  <c r="EM779" i="94"/>
  <c r="EY779" i="94"/>
  <c r="FK779" i="94"/>
  <c r="LF779" i="94"/>
  <c r="BU779" i="94"/>
  <c r="EO779" i="94"/>
  <c r="Z779" i="94"/>
  <c r="AL779" i="94"/>
  <c r="AX779" i="94"/>
  <c r="BJ779" i="94"/>
  <c r="BV779" i="94"/>
  <c r="CH779" i="94"/>
  <c r="CT779" i="94"/>
  <c r="DF779" i="94"/>
  <c r="DR779" i="94"/>
  <c r="EP779" i="94"/>
  <c r="FB779" i="94"/>
  <c r="FN779" i="94"/>
  <c r="LI779" i="94"/>
  <c r="CG779" i="94"/>
  <c r="AA779" i="94"/>
  <c r="AM779" i="94"/>
  <c r="AY779" i="94"/>
  <c r="BK779" i="94"/>
  <c r="BW779" i="94"/>
  <c r="CI779" i="94"/>
  <c r="CU779" i="94"/>
  <c r="DG779" i="94"/>
  <c r="DS779" i="94"/>
  <c r="EQ779" i="94"/>
  <c r="FC779" i="94"/>
  <c r="FO779" i="94"/>
  <c r="LJ779" i="94"/>
  <c r="AW779" i="94"/>
  <c r="DQ779" i="94"/>
  <c r="AB779" i="94"/>
  <c r="AN779" i="94"/>
  <c r="AZ779" i="94"/>
  <c r="BL779" i="94"/>
  <c r="BX779" i="94"/>
  <c r="CJ779" i="94"/>
  <c r="CV779" i="94"/>
  <c r="DH779" i="94"/>
  <c r="DT779" i="94"/>
  <c r="ER779" i="94"/>
  <c r="FD779" i="94"/>
  <c r="FP779" i="94"/>
  <c r="LK779" i="94"/>
  <c r="FM779" i="94"/>
  <c r="AC779" i="94"/>
  <c r="AO779" i="94"/>
  <c r="BA779" i="94"/>
  <c r="BM779" i="94"/>
  <c r="BY779" i="94"/>
  <c r="CK779" i="94"/>
  <c r="CW779" i="94"/>
  <c r="DI779" i="94"/>
  <c r="DU779" i="94"/>
  <c r="ES779" i="94"/>
  <c r="FE779" i="94"/>
  <c r="FQ779" i="94"/>
  <c r="LL779" i="94"/>
  <c r="Y779" i="94"/>
  <c r="CS779" i="94"/>
  <c r="FA779" i="94"/>
  <c r="LH779" i="94"/>
  <c r="AD779" i="94"/>
  <c r="AP779" i="94"/>
  <c r="BB779" i="94"/>
  <c r="BN779" i="94"/>
  <c r="BZ779" i="94"/>
  <c r="CL779" i="94"/>
  <c r="CX779" i="94"/>
  <c r="DJ779" i="94"/>
  <c r="DV779" i="94"/>
  <c r="EH779" i="94"/>
  <c r="ET779" i="94"/>
  <c r="FF779" i="94"/>
  <c r="FR779" i="94"/>
  <c r="LM779" i="94"/>
  <c r="AK779" i="94"/>
  <c r="AE779" i="94"/>
  <c r="AQ779" i="94"/>
  <c r="BC779" i="94"/>
  <c r="BO779" i="94"/>
  <c r="CA779" i="94"/>
  <c r="CM779" i="94"/>
  <c r="CY779" i="94"/>
  <c r="DK779" i="94"/>
  <c r="DW779" i="94"/>
  <c r="EI779" i="94"/>
  <c r="EU779" i="94"/>
  <c r="FG779" i="94"/>
  <c r="FS779" i="94"/>
  <c r="LN779" i="94"/>
  <c r="BI779" i="94"/>
  <c r="DE779" i="94"/>
  <c r="AF779" i="94"/>
  <c r="AR779" i="94"/>
  <c r="BD779" i="94"/>
  <c r="BP779" i="94"/>
  <c r="CB779" i="94"/>
  <c r="CN779" i="94"/>
  <c r="CZ779" i="94"/>
  <c r="DL779" i="94"/>
  <c r="DX779" i="94"/>
  <c r="EJ779" i="94"/>
  <c r="EV779" i="94"/>
  <c r="FH779" i="94"/>
  <c r="FT779" i="94"/>
  <c r="LO779" i="94"/>
  <c r="AG779" i="94"/>
  <c r="BE779" i="94"/>
  <c r="BQ779" i="94"/>
  <c r="CC779" i="94"/>
  <c r="DA779" i="94"/>
  <c r="DY779" i="94"/>
  <c r="EK779" i="94"/>
  <c r="EW779" i="94"/>
  <c r="FI779" i="94"/>
  <c r="FU779" i="94"/>
  <c r="CO779" i="94"/>
  <c r="AH779" i="94"/>
  <c r="AT779" i="94"/>
  <c r="BF779" i="94"/>
  <c r="BR779" i="94"/>
  <c r="CD779" i="94"/>
  <c r="CP779" i="94"/>
  <c r="DB779" i="94"/>
  <c r="DN779" i="94"/>
  <c r="DZ779" i="94"/>
  <c r="EL779" i="94"/>
  <c r="EX779" i="94"/>
  <c r="IA772" i="94"/>
  <c r="S468" i="94"/>
  <c r="J472" i="94"/>
  <c r="M571" i="94"/>
  <c r="G575" i="94"/>
  <c r="V472" i="94"/>
  <c r="Z787" i="94"/>
  <c r="AL787" i="94"/>
  <c r="AX787" i="94"/>
  <c r="BJ787" i="94"/>
  <c r="BV787" i="94"/>
  <c r="CH787" i="94"/>
  <c r="CT787" i="94"/>
  <c r="DF787" i="94"/>
  <c r="DR787" i="94"/>
  <c r="ED787" i="94"/>
  <c r="EP787" i="94"/>
  <c r="FB787" i="94"/>
  <c r="FN787" i="94"/>
  <c r="FZ787" i="94"/>
  <c r="LF787" i="94"/>
  <c r="BR793" i="94"/>
  <c r="EG793" i="94"/>
  <c r="IB793" i="94"/>
  <c r="AF794" i="94"/>
  <c r="AR794" i="94"/>
  <c r="BD794" i="94"/>
  <c r="EH794" i="94"/>
  <c r="ET794" i="94"/>
  <c r="FF794" i="94"/>
  <c r="FR794" i="94"/>
  <c r="GS794" i="94"/>
  <c r="LK794" i="94"/>
  <c r="HZ797" i="94"/>
  <c r="FZ800" i="94"/>
  <c r="IA797" i="94"/>
  <c r="GA800" i="94"/>
  <c r="BJ801" i="94"/>
  <c r="FL795" i="94"/>
  <c r="GO783" i="94"/>
  <c r="MD794" i="94"/>
  <c r="HT773" i="94"/>
  <c r="GD800" i="94"/>
  <c r="P478" i="94"/>
  <c r="S556" i="94"/>
  <c r="IB785" i="94"/>
  <c r="AD787" i="94"/>
  <c r="AP787" i="94"/>
  <c r="BB787" i="94"/>
  <c r="BN787" i="94"/>
  <c r="BZ787" i="94"/>
  <c r="CL787" i="94"/>
  <c r="CX787" i="94"/>
  <c r="DJ787" i="94"/>
  <c r="DV787" i="94"/>
  <c r="EH787" i="94"/>
  <c r="ET787" i="94"/>
  <c r="FF787" i="94"/>
  <c r="FR787" i="94"/>
  <c r="GD787" i="94"/>
  <c r="CQ793" i="94"/>
  <c r="FC793" i="94"/>
  <c r="X794" i="94"/>
  <c r="AJ794" i="94"/>
  <c r="AV794" i="94"/>
  <c r="BH794" i="94"/>
  <c r="EL794" i="94"/>
  <c r="EX794" i="94"/>
  <c r="FJ794" i="94"/>
  <c r="GA794" i="94"/>
  <c r="HM794" i="94"/>
  <c r="LO794" i="94"/>
  <c r="EC800" i="94"/>
  <c r="D483" i="94"/>
  <c r="ED800" i="94"/>
  <c r="IC803" i="94"/>
  <c r="CW773" i="94"/>
  <c r="AF787" i="94"/>
  <c r="AR787" i="94"/>
  <c r="BD787" i="94"/>
  <c r="BP787" i="94"/>
  <c r="CB787" i="94"/>
  <c r="CN787" i="94"/>
  <c r="CZ787" i="94"/>
  <c r="DL787" i="94"/>
  <c r="DX787" i="94"/>
  <c r="EJ787" i="94"/>
  <c r="EV787" i="94"/>
  <c r="FH787" i="94"/>
  <c r="FT787" i="94"/>
  <c r="HY787" i="94"/>
  <c r="LL787" i="94"/>
  <c r="AE793" i="94"/>
  <c r="DC793" i="94"/>
  <c r="FO793" i="94"/>
  <c r="Z794" i="94"/>
  <c r="AL794" i="94"/>
  <c r="AX794" i="94"/>
  <c r="BJ794" i="94"/>
  <c r="EN794" i="94"/>
  <c r="EZ794" i="94"/>
  <c r="FL794" i="94"/>
  <c r="GC794" i="94"/>
  <c r="HX794" i="94"/>
  <c r="LW794" i="94"/>
  <c r="EE800" i="94"/>
  <c r="ML772" i="94"/>
  <c r="A460" i="94"/>
  <c r="AG787" i="94"/>
  <c r="AS787" i="94"/>
  <c r="BE787" i="94"/>
  <c r="BQ787" i="94"/>
  <c r="CC787" i="94"/>
  <c r="CO787" i="94"/>
  <c r="DA787" i="94"/>
  <c r="DM787" i="94"/>
  <c r="DY787" i="94"/>
  <c r="EK787" i="94"/>
  <c r="EW787" i="94"/>
  <c r="FI787" i="94"/>
  <c r="FU787" i="94"/>
  <c r="HZ787" i="94"/>
  <c r="LM787" i="94"/>
  <c r="AL793" i="94"/>
  <c r="DJ793" i="94"/>
  <c r="FV793" i="94"/>
  <c r="AA794" i="94"/>
  <c r="AM794" i="94"/>
  <c r="AY794" i="94"/>
  <c r="EC794" i="94"/>
  <c r="EO794" i="94"/>
  <c r="FA794" i="94"/>
  <c r="FM794" i="94"/>
  <c r="GD794" i="94"/>
  <c r="LF794" i="94"/>
  <c r="MC794" i="94"/>
  <c r="EF800" i="94"/>
  <c r="AH787" i="94"/>
  <c r="AT787" i="94"/>
  <c r="BF787" i="94"/>
  <c r="BR787" i="94"/>
  <c r="CD787" i="94"/>
  <c r="CP787" i="94"/>
  <c r="DB787" i="94"/>
  <c r="DN787" i="94"/>
  <c r="DZ787" i="94"/>
  <c r="EL787" i="94"/>
  <c r="EX787" i="94"/>
  <c r="FJ787" i="94"/>
  <c r="FV787" i="94"/>
  <c r="IA787" i="94"/>
  <c r="LN787" i="94"/>
  <c r="AQ793" i="94"/>
  <c r="DQ793" i="94"/>
  <c r="GA793" i="94"/>
  <c r="AB794" i="94"/>
  <c r="AN794" i="94"/>
  <c r="AZ794" i="94"/>
  <c r="ED794" i="94"/>
  <c r="EP794" i="94"/>
  <c r="FB794" i="94"/>
  <c r="FN794" i="94"/>
  <c r="GE794" i="94"/>
  <c r="LG794" i="94"/>
  <c r="EG800" i="94"/>
  <c r="HL802" i="94"/>
  <c r="LH782" i="94"/>
  <c r="FV800" i="94"/>
  <c r="EA793" i="94"/>
  <c r="X787" i="94"/>
  <c r="AJ787" i="94"/>
  <c r="AV787" i="94"/>
  <c r="BH787" i="94"/>
  <c r="BT787" i="94"/>
  <c r="CF787" i="94"/>
  <c r="CR787" i="94"/>
  <c r="DD787" i="94"/>
  <c r="DP787" i="94"/>
  <c r="EB787" i="94"/>
  <c r="EN787" i="94"/>
  <c r="EZ787" i="94"/>
  <c r="FL787" i="94"/>
  <c r="FX787" i="94"/>
  <c r="BE793" i="94"/>
  <c r="ED793" i="94"/>
  <c r="AD794" i="94"/>
  <c r="AP794" i="94"/>
  <c r="BB794" i="94"/>
  <c r="EF794" i="94"/>
  <c r="ER794" i="94"/>
  <c r="FD794" i="94"/>
  <c r="FP794" i="94"/>
  <c r="GK794"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E481"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462" i="94"/>
  <c r="U574" i="94"/>
  <c r="G571" i="94"/>
  <c r="G550" i="94"/>
  <c r="F513" i="94"/>
  <c r="U521" i="94"/>
  <c r="S509" i="94"/>
  <c r="P509" i="94"/>
  <c r="M509" i="94"/>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M577" i="94" l="1"/>
  <c r="M594" i="94" s="1"/>
  <c r="M596" i="94" s="1"/>
  <c r="M598" i="94" s="1"/>
  <c r="S577" i="94"/>
  <c r="E482" i="94"/>
  <c r="B489" i="94"/>
  <c r="F492" i="94" s="1"/>
  <c r="E480" i="94"/>
  <c r="J577" i="94"/>
  <c r="J594" i="94" s="1"/>
  <c r="J596" i="94" s="1"/>
  <c r="J598" i="94" s="1"/>
  <c r="G577" i="94"/>
  <c r="P1968" i="94"/>
  <c r="P1964" i="94"/>
  <c r="P1740" i="94"/>
  <c r="P1734" i="94"/>
  <c r="P1719" i="94"/>
  <c r="K1883" i="94"/>
  <c r="E1660" i="94"/>
  <c r="K1879" i="94"/>
  <c r="E1661" i="94"/>
  <c r="L1883" i="94"/>
  <c r="P1837" i="94"/>
  <c r="EC810" i="94"/>
  <c r="J828" i="94" s="1"/>
  <c r="GJ810" i="94"/>
  <c r="N863" i="94" s="1"/>
  <c r="GD810" i="94"/>
  <c r="M917" i="94" s="1"/>
  <c r="HY810" i="94"/>
  <c r="E1028" i="94"/>
  <c r="K895" i="94"/>
  <c r="K852" i="94"/>
  <c r="P577" i="94"/>
  <c r="P594"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I435" i="94"/>
  <c r="L408" i="94"/>
  <c r="F34" i="94"/>
  <c r="A24" i="94" s="1"/>
  <c r="P201" i="94"/>
  <c r="P113" i="94"/>
  <c r="H113" i="94"/>
  <c r="P111" i="94"/>
  <c r="H111" i="94"/>
  <c r="P110" i="94"/>
  <c r="H110" i="94"/>
  <c r="N111" i="94" s="1"/>
  <c r="H99" i="94"/>
  <c r="L61" i="94"/>
  <c r="A5" i="94"/>
  <c r="A2" i="94"/>
  <c r="P1954" i="94" l="1"/>
  <c r="E483" i="94"/>
  <c r="G479" i="94" s="1"/>
  <c r="N904" i="94"/>
  <c r="L900" i="94"/>
  <c r="M865"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D1104" i="94" l="1"/>
  <c r="E1072" i="94"/>
  <c r="C1104" i="94"/>
  <c r="D1072" i="94"/>
  <c r="B1104" i="94"/>
  <c r="C1072" i="94"/>
  <c r="B1072" i="94"/>
  <c r="K1104" i="94"/>
  <c r="F1134" i="94"/>
  <c r="J1104" i="94"/>
  <c r="K1072" i="94"/>
  <c r="E1134" i="94"/>
  <c r="I1104" i="94"/>
  <c r="J1072" i="94"/>
  <c r="D1134" i="94"/>
  <c r="H1104" i="94"/>
  <c r="I1072" i="94"/>
  <c r="C1134" i="94"/>
  <c r="G1104" i="94"/>
  <c r="H1072" i="94"/>
  <c r="B1134" i="94"/>
  <c r="F1104" i="94"/>
  <c r="G1072" i="94"/>
  <c r="E1104" i="94"/>
  <c r="F1072" i="94"/>
  <c r="P415" i="94"/>
  <c r="J1107" i="94"/>
  <c r="H1075" i="94"/>
  <c r="I1107" i="94"/>
  <c r="G1075" i="94"/>
  <c r="H1107" i="94"/>
  <c r="F1075" i="94"/>
  <c r="F1137" i="94"/>
  <c r="G1107" i="94"/>
  <c r="E1075" i="94"/>
  <c r="E1137" i="94"/>
  <c r="F1107" i="94"/>
  <c r="D1075" i="94"/>
  <c r="D1137" i="94"/>
  <c r="E1107" i="94"/>
  <c r="C1075" i="94"/>
  <c r="C1137" i="94"/>
  <c r="D1107" i="94"/>
  <c r="B1075" i="94"/>
  <c r="B1137" i="94"/>
  <c r="C1107" i="94"/>
  <c r="B1107" i="94"/>
  <c r="K1075" i="94"/>
  <c r="J1075" i="94"/>
  <c r="K1107" i="94"/>
  <c r="I1075" i="94"/>
  <c r="P418" i="94"/>
  <c r="F1105" i="94"/>
  <c r="F1073" i="94"/>
  <c r="F1135" i="94"/>
  <c r="E1105" i="94"/>
  <c r="E1073" i="94"/>
  <c r="E1135" i="94"/>
  <c r="D1105" i="94"/>
  <c r="D1073" i="94"/>
  <c r="D1135" i="94"/>
  <c r="C1105" i="94"/>
  <c r="C1073" i="94"/>
  <c r="C1135" i="94"/>
  <c r="B1105" i="94"/>
  <c r="B1073" i="94"/>
  <c r="B1135" i="94"/>
  <c r="K1105" i="94"/>
  <c r="K1073" i="94"/>
  <c r="J1105" i="94"/>
  <c r="J1073" i="94"/>
  <c r="I1105" i="94"/>
  <c r="I1073" i="94"/>
  <c r="H1105" i="94"/>
  <c r="H1073" i="94"/>
  <c r="G1105" i="94"/>
  <c r="G1073" i="94"/>
  <c r="P416" i="94"/>
  <c r="B1136" i="94"/>
  <c r="H1106" i="94"/>
  <c r="G1074" i="94"/>
  <c r="G1106" i="94"/>
  <c r="F1074" i="94"/>
  <c r="F1106" i="94"/>
  <c r="E1074" i="94"/>
  <c r="E1106" i="94"/>
  <c r="D1074" i="94"/>
  <c r="D1106" i="94"/>
  <c r="C1074" i="94"/>
  <c r="C1106" i="94"/>
  <c r="B1074" i="94"/>
  <c r="B1106" i="94"/>
  <c r="F1136" i="94"/>
  <c r="K1074" i="94"/>
  <c r="E1136" i="94"/>
  <c r="K1106" i="94"/>
  <c r="J1074" i="94"/>
  <c r="D1136" i="94"/>
  <c r="J1106" i="94"/>
  <c r="I1074" i="94"/>
  <c r="C1136" i="94"/>
  <c r="I1106" i="94"/>
  <c r="H1074" i="94"/>
  <c r="P417"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T1821" i="94"/>
  <c r="P1200"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C795" i="93"/>
  <c r="EX795" i="93" s="1"/>
  <c r="C794" i="93"/>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EX772" i="93" l="1"/>
  <c r="EW796" i="93"/>
  <c r="EW794" i="93"/>
  <c r="F1132" i="94"/>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8"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46" i="93" l="1"/>
  <c r="C992" i="93"/>
  <c r="A512" i="93"/>
  <c r="P554" i="93"/>
  <c r="A565"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92" i="93" l="1"/>
  <c r="B480" i="93"/>
  <c r="F483" i="93" s="1"/>
  <c r="E471" i="93"/>
  <c r="E473" i="93"/>
  <c r="P568" i="93"/>
  <c r="P585"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E978" i="93" s="1"/>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92" i="93" l="1"/>
  <c r="E474" i="93"/>
  <c r="G470" i="93" s="1"/>
  <c r="O945" i="93"/>
  <c r="J937" i="93"/>
  <c r="J939" i="93"/>
  <c r="O944" i="93"/>
  <c r="F472" i="93"/>
  <c r="F471" i="93"/>
  <c r="F470" i="93" s="1"/>
  <c r="F473" i="93"/>
  <c r="F553" i="93"/>
  <c r="F552" i="93"/>
  <c r="F551" i="93"/>
  <c r="F549" i="93"/>
  <c r="H83" i="93"/>
  <c r="G970" i="93"/>
  <c r="H969" i="93"/>
  <c r="G971" i="93"/>
  <c r="G977" i="93"/>
  <c r="G975" i="93"/>
  <c r="F972" i="93"/>
  <c r="F978" i="93" s="1"/>
  <c r="P182" i="93"/>
  <c r="L49" i="93"/>
  <c r="A206" i="85"/>
  <c r="A11"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C21" i="90"/>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1" i="90"/>
  <c r="E170"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E1022" i="93" l="1"/>
  <c r="D1022" i="93"/>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F1022" i="93" l="1"/>
  <c r="K36" i="88"/>
  <c r="D16" i="83"/>
  <c r="F15" i="85"/>
  <c r="G1000" i="93"/>
  <c r="G1001" i="93"/>
  <c r="G1007" i="93"/>
  <c r="H999" i="93"/>
  <c r="G1005" i="93"/>
  <c r="F1002" i="93"/>
  <c r="F1008" i="93" s="1"/>
  <c r="C8" i="90"/>
  <c r="B5" i="92" s="1"/>
  <c r="E65" i="89"/>
  <c r="E5" i="89"/>
  <c r="F102" i="78"/>
  <c r="F101" i="78"/>
  <c r="G6" i="74"/>
  <c r="I999" i="93" l="1"/>
  <c r="H1000" i="93"/>
  <c r="H1001" i="93"/>
  <c r="H1005" i="93"/>
  <c r="H1007" i="93"/>
  <c r="G1002" i="93"/>
  <c r="G1008" i="93" s="1"/>
  <c r="O12" i="86"/>
  <c r="K5" i="86"/>
  <c r="F56" i="86"/>
  <c r="G1022" i="93" l="1"/>
  <c r="H1002" i="93"/>
  <c r="H1008"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22" i="93" s="1"/>
  <c r="C1029" i="93"/>
  <c r="B1030" i="93"/>
  <c r="B1035" i="93"/>
  <c r="B1037" i="93"/>
  <c r="B1031" i="93"/>
  <c r="K1008" i="93" l="1"/>
  <c r="B1032" i="93"/>
  <c r="B1038" i="93" s="1"/>
  <c r="C1037" i="93"/>
  <c r="C1035" i="93"/>
  <c r="C1031" i="93"/>
  <c r="D1029" i="93"/>
  <c r="C1030" i="93"/>
  <c r="B1051" i="93" l="1"/>
  <c r="C1032" i="93"/>
  <c r="C1038" i="93" s="1"/>
  <c r="D1037" i="93"/>
  <c r="D1035" i="93"/>
  <c r="D1031" i="93"/>
  <c r="E1029" i="93"/>
  <c r="D1030" i="93"/>
  <c r="B18" i="82"/>
  <c r="B38" i="82"/>
  <c r="B24" i="82"/>
  <c r="B48" i="82"/>
  <c r="C48" i="82" s="1"/>
  <c r="D48" i="82" s="1"/>
  <c r="C1051" i="93" l="1"/>
  <c r="D1032" i="93"/>
  <c r="D1038" i="93" s="1"/>
  <c r="E1030" i="93"/>
  <c r="E1037" i="93"/>
  <c r="E1035" i="93"/>
  <c r="E1031" i="93"/>
  <c r="F1029" i="93"/>
  <c r="E48" i="82"/>
  <c r="F48" i="82" s="1"/>
  <c r="D1051" i="93" l="1"/>
  <c r="G1029" i="93"/>
  <c r="F1030" i="93"/>
  <c r="F1031" i="93"/>
  <c r="F1037" i="93"/>
  <c r="F1035" i="93"/>
  <c r="E1032" i="93"/>
  <c r="E1038" i="93" s="1"/>
  <c r="G48" i="82"/>
  <c r="E1051" i="93" l="1"/>
  <c r="F1032" i="93"/>
  <c r="F1038" i="93" s="1"/>
  <c r="G1037" i="93"/>
  <c r="G1035" i="93"/>
  <c r="G1031" i="93"/>
  <c r="H1029" i="93"/>
  <c r="G1030" i="93"/>
  <c r="H48" i="82"/>
  <c r="F1051" i="93" l="1"/>
  <c r="G1032" i="93"/>
  <c r="G1038" i="93" s="1"/>
  <c r="H1037" i="93"/>
  <c r="H1035" i="93"/>
  <c r="H1031" i="93"/>
  <c r="H1030" i="93"/>
  <c r="I1029" i="93"/>
  <c r="I48" i="82"/>
  <c r="G1051" i="93" l="1"/>
  <c r="I1030" i="93"/>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66" i="93" s="1"/>
  <c r="F68" i="82"/>
  <c r="D1079" i="93" l="1"/>
  <c r="E1060" i="93"/>
  <c r="E1066" i="93" s="1"/>
  <c r="F1058" i="93"/>
  <c r="F1063" i="93"/>
  <c r="F1059" i="93"/>
  <c r="F1065" i="93"/>
  <c r="G68" i="82"/>
  <c r="E1079"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N88" i="66" s="1"/>
  <c r="B21"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1045" i="94"/>
  <c r="C13" i="74"/>
  <c r="C21" i="74" s="1"/>
  <c r="C1036" i="94" s="1"/>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J146" i="78"/>
  <c r="J150" i="78" s="1"/>
  <c r="W138" i="78"/>
  <c r="W137" i="78"/>
  <c r="S130" i="78"/>
  <c r="P130" i="78"/>
  <c r="M130" i="78"/>
  <c r="J130" i="78"/>
  <c r="G130" i="78"/>
  <c r="U129" i="78"/>
  <c r="A129" i="78"/>
  <c r="W127" i="78"/>
  <c r="O127"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I21" i="75" l="1"/>
  <c r="I783" i="94" s="1"/>
  <c r="K783" i="94" s="1"/>
  <c r="L783" i="94" s="1"/>
  <c r="I22" i="75"/>
  <c r="I784" i="94" s="1"/>
  <c r="K784" i="94" s="1"/>
  <c r="L784" i="94" s="1"/>
  <c r="I20" i="75"/>
  <c r="I782" i="94" s="1"/>
  <c r="K782" i="94" s="1"/>
  <c r="L782" i="94" s="1"/>
  <c r="I10" i="75"/>
  <c r="I772" i="94" s="1"/>
  <c r="K772" i="94" s="1"/>
  <c r="L772" i="94" s="1"/>
  <c r="I18" i="75"/>
  <c r="I780" i="94" s="1"/>
  <c r="K780" i="94" s="1"/>
  <c r="L780" i="94" s="1"/>
  <c r="I17" i="75"/>
  <c r="I779" i="94" s="1"/>
  <c r="K779" i="94" s="1"/>
  <c r="L779" i="94" s="1"/>
  <c r="I19" i="75"/>
  <c r="I781" i="94" s="1"/>
  <c r="K781" i="94" s="1"/>
  <c r="L781" i="94" s="1"/>
  <c r="P77" i="94"/>
  <c r="O2074" i="94"/>
  <c r="L1201" i="94"/>
  <c r="L1215" i="94"/>
  <c r="L1202" i="94"/>
  <c r="L1216" i="94"/>
  <c r="J1776" i="93"/>
  <c r="J1870" i="94"/>
  <c r="L1217" i="94"/>
  <c r="L1203" i="94"/>
  <c r="L409" i="94"/>
  <c r="L410" i="94" s="1"/>
  <c r="Q768" i="93"/>
  <c r="Q773" i="94"/>
  <c r="Q771" i="93"/>
  <c r="Q776" i="94"/>
  <c r="Q772" i="93"/>
  <c r="Q777" i="94"/>
  <c r="Q773" i="93"/>
  <c r="Q778" i="94"/>
  <c r="Q774" i="93"/>
  <c r="Q779" i="94"/>
  <c r="Q775" i="93"/>
  <c r="Q780" i="94"/>
  <c r="Q776" i="93"/>
  <c r="Q781" i="94"/>
  <c r="Q777" i="93"/>
  <c r="Q782" i="94"/>
  <c r="Q778" i="93"/>
  <c r="Q783" i="94"/>
  <c r="Q779" i="93"/>
  <c r="Q784" i="94"/>
  <c r="Q780" i="93"/>
  <c r="Q785" i="94"/>
  <c r="Q781" i="93"/>
  <c r="Q786" i="94"/>
  <c r="Q782" i="93"/>
  <c r="Q787" i="94"/>
  <c r="Q783" i="93"/>
  <c r="Q788" i="94"/>
  <c r="Q784" i="93"/>
  <c r="Q789" i="94"/>
  <c r="Q785" i="93"/>
  <c r="Q790" i="94"/>
  <c r="Q786" i="93"/>
  <c r="Q791" i="94"/>
  <c r="Q787" i="93"/>
  <c r="Q792" i="94"/>
  <c r="Q788" i="93"/>
  <c r="Q793" i="94"/>
  <c r="Q789" i="93"/>
  <c r="Q794"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O1987" i="93"/>
  <c r="L1987" i="93" s="1"/>
  <c r="O2088" i="94"/>
  <c r="L2088" i="94" s="1"/>
  <c r="C55" i="84"/>
  <c r="E55" i="84" s="1"/>
  <c r="B1032" i="94"/>
  <c r="E20" i="72"/>
  <c r="O2068" i="94"/>
  <c r="A873" i="94"/>
  <c r="L1213" i="94"/>
  <c r="L1199" i="94"/>
  <c r="L1200" i="94"/>
  <c r="L1214" i="94"/>
  <c r="Q767" i="93"/>
  <c r="Q772" i="94"/>
  <c r="P927" i="93"/>
  <c r="N928" i="93" s="1"/>
  <c r="B1036" i="94"/>
  <c r="D13" i="74"/>
  <c r="E13" i="74" s="1"/>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85" i="93"/>
  <c r="R793" i="93"/>
  <c r="R801" i="93"/>
  <c r="C119" i="74"/>
  <c r="N400" i="93"/>
  <c r="D122" i="74"/>
  <c r="N403" i="93"/>
  <c r="R13" i="75"/>
  <c r="R775" i="94" s="1"/>
  <c r="Q770" i="93"/>
  <c r="K61" i="84"/>
  <c r="E61" i="84"/>
  <c r="G61" i="84"/>
  <c r="I61"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M132" i="78"/>
  <c r="M149" i="78" s="1"/>
  <c r="M151" i="78" s="1"/>
  <c r="M153" i="78" s="1"/>
  <c r="E37" i="78"/>
  <c r="J132" i="78"/>
  <c r="J149" i="78" s="1"/>
  <c r="P132" i="78"/>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P221" i="75"/>
  <c r="A1" i="73"/>
  <c r="A1" i="75"/>
  <c r="U1" i="75" s="1"/>
  <c r="A1" i="78"/>
  <c r="W1" i="78" s="1"/>
  <c r="A1" i="68"/>
  <c r="S1" i="68" s="1"/>
  <c r="T173" i="72"/>
  <c r="A1" i="67"/>
  <c r="T175" i="72"/>
  <c r="I3" i="76"/>
  <c r="I40" i="66"/>
  <c r="A3" i="71"/>
  <c r="A1" i="76"/>
  <c r="O92" i="72"/>
  <c r="P320" i="72"/>
  <c r="P1861" i="93" s="1"/>
  <c r="O86" i="72"/>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F35" i="78"/>
  <c r="F37" i="78"/>
  <c r="E35" i="78"/>
  <c r="D23" i="74" l="1"/>
  <c r="D1038" i="94" s="1"/>
  <c r="D21" i="74"/>
  <c r="D1036" i="94" s="1"/>
  <c r="E23" i="74"/>
  <c r="E1038" i="94" s="1"/>
  <c r="E21" i="74"/>
  <c r="E1036" i="94" s="1"/>
  <c r="P149" i="78"/>
  <c r="E3" i="86" s="1"/>
  <c r="V586" i="94"/>
  <c r="V591" i="94" s="1"/>
  <c r="V146" i="78"/>
  <c r="L810" i="94"/>
  <c r="L811" i="94" s="1"/>
  <c r="O1857" i="93"/>
  <c r="O1964" i="94"/>
  <c r="B39" i="74"/>
  <c r="B993" i="93" s="1"/>
  <c r="B1040" i="94"/>
  <c r="O1861" i="93"/>
  <c r="O1968" i="94"/>
  <c r="I51" i="93"/>
  <c r="I63" i="94"/>
  <c r="I55" i="84"/>
  <c r="G55" i="84"/>
  <c r="D30" i="74"/>
  <c r="D1045" i="94" s="1"/>
  <c r="C1045" i="94"/>
  <c r="N51" i="93"/>
  <c r="N63" i="94"/>
  <c r="T1822" i="94"/>
  <c r="M768" i="94"/>
  <c r="O768" i="94"/>
  <c r="O63" i="94"/>
  <c r="B40" i="74"/>
  <c r="B1055" i="94" s="1"/>
  <c r="B1041" i="94"/>
  <c r="O1638" i="93"/>
  <c r="O1740" i="94"/>
  <c r="K55" i="84"/>
  <c r="O1634" i="93"/>
  <c r="O1734" i="94"/>
  <c r="J2055" i="94"/>
  <c r="J2056" i="94" s="1"/>
  <c r="P1203" i="94"/>
  <c r="G1870" i="94"/>
  <c r="I436" i="94"/>
  <c r="N929" i="93"/>
  <c r="P932" i="93"/>
  <c r="O933" i="93" s="1"/>
  <c r="C68" i="84"/>
  <c r="K68" i="84" s="1"/>
  <c r="P983" i="94"/>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C39" i="74"/>
  <c r="C1054" i="94"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H1039" i="93"/>
  <c r="C979" i="93"/>
  <c r="E9" i="87"/>
  <c r="J99" i="74"/>
  <c r="J1114" i="94" s="1"/>
  <c r="J1042" i="93"/>
  <c r="J1049" i="93" s="1"/>
  <c r="E980" i="93"/>
  <c r="E988" i="93" s="1"/>
  <c r="F45" i="82"/>
  <c r="J45" i="82"/>
  <c r="H45" i="82"/>
  <c r="D45" i="82"/>
  <c r="B45" i="82"/>
  <c r="K45" i="82"/>
  <c r="G45" i="82"/>
  <c r="I45" i="82"/>
  <c r="C45" i="82"/>
  <c r="E45" i="82"/>
  <c r="J407" i="72"/>
  <c r="M408" i="72" s="1"/>
  <c r="M2056" i="94" s="1"/>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P226" i="75"/>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I67" i="66" l="1"/>
  <c r="I90" i="94"/>
  <c r="D53" i="82"/>
  <c r="P149" i="75"/>
  <c r="H89" i="94"/>
  <c r="C11" i="86"/>
  <c r="P145" i="75"/>
  <c r="H85" i="94"/>
  <c r="P65" i="66"/>
  <c r="P88" i="94"/>
  <c r="R17" i="75"/>
  <c r="R18" i="75"/>
  <c r="R10" i="75"/>
  <c r="F23" i="74"/>
  <c r="F1038" i="94" s="1"/>
  <c r="F21" i="74"/>
  <c r="F1036" i="94" s="1"/>
  <c r="P585" i="94"/>
  <c r="P591" i="94" s="1"/>
  <c r="P595" i="94" s="1"/>
  <c r="P596" i="94" s="1"/>
  <c r="P598" i="94" s="1"/>
  <c r="P576" i="93"/>
  <c r="P582" i="93" s="1"/>
  <c r="P586" i="93" s="1"/>
  <c r="P587" i="93" s="1"/>
  <c r="P589" i="93" s="1"/>
  <c r="P146" i="78"/>
  <c r="P150" i="78" s="1"/>
  <c r="P151" i="78" s="1"/>
  <c r="P153" i="78" s="1"/>
  <c r="G68" i="84"/>
  <c r="T1825" i="94"/>
  <c r="P990" i="94"/>
  <c r="K63" i="94"/>
  <c r="B996" i="93"/>
  <c r="B1057" i="94"/>
  <c r="P427" i="94"/>
  <c r="P428" i="94"/>
  <c r="I437" i="94"/>
  <c r="G1153" i="93"/>
  <c r="G1220" i="94"/>
  <c r="G1206" i="94"/>
  <c r="G1199" i="94"/>
  <c r="O1719" i="94"/>
  <c r="G1217" i="94"/>
  <c r="G1213" i="94"/>
  <c r="G1203" i="94"/>
  <c r="G1224" i="94"/>
  <c r="G1210" i="94"/>
  <c r="G1202" i="94"/>
  <c r="G1223" i="94"/>
  <c r="G1216" i="94"/>
  <c r="I1216" i="94" s="1"/>
  <c r="G1209" i="94"/>
  <c r="G1201" i="94"/>
  <c r="G1222" i="94"/>
  <c r="G1215" i="94"/>
  <c r="G1208" i="94"/>
  <c r="G1221" i="94"/>
  <c r="G1214" i="94"/>
  <c r="I1214" i="94" s="1"/>
  <c r="G1207" i="94"/>
  <c r="G1200" i="94"/>
  <c r="C10" i="86"/>
  <c r="B1054" i="94"/>
  <c r="E68" i="8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I1222" i="94"/>
  <c r="H1222" i="94"/>
  <c r="F1211" i="94"/>
  <c r="H1206" i="94"/>
  <c r="I1206" i="94"/>
  <c r="H1214" i="94"/>
  <c r="H1203" i="94"/>
  <c r="I1203" i="94"/>
  <c r="N1221" i="94"/>
  <c r="M1221" i="94"/>
  <c r="H1207" i="94"/>
  <c r="I1207" i="94"/>
  <c r="M1215" i="94"/>
  <c r="N1215" i="94"/>
  <c r="I68" i="84"/>
  <c r="F567" i="94"/>
  <c r="F566" i="94"/>
  <c r="P988" i="94"/>
  <c r="N984" i="94"/>
  <c r="N98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F1150" i="93"/>
  <c r="H1150" i="93" s="1"/>
  <c r="F56" i="73"/>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G1137" i="93"/>
  <c r="G1135" i="93"/>
  <c r="G1157" i="93"/>
  <c r="G1156" i="93"/>
  <c r="O1621" i="93"/>
  <c r="G1149" i="93"/>
  <c r="I1149" i="93" s="1"/>
  <c r="I1154" i="93" s="1"/>
  <c r="G1150" i="93"/>
  <c r="G1142" i="93"/>
  <c r="G1144" i="93"/>
  <c r="G1145" i="93"/>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M932" i="93" s="1"/>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N1159"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N1152" i="93"/>
  <c r="H78" i="93"/>
  <c r="F56" i="89"/>
  <c r="D37" i="90" s="1"/>
  <c r="F121" i="78"/>
  <c r="B975" i="93"/>
  <c r="F558" i="93"/>
  <c r="F557" i="93"/>
  <c r="F1017" i="93"/>
  <c r="F1021" i="93"/>
  <c r="G1017" i="93"/>
  <c r="G1021" i="93"/>
  <c r="D1078" i="93"/>
  <c r="D1046" i="93"/>
  <c r="D1050" i="93"/>
  <c r="P414" i="93"/>
  <c r="P413" i="93"/>
  <c r="H15" i="84"/>
  <c r="F18" i="85" s="1"/>
  <c r="K51" i="93"/>
  <c r="J408" i="72"/>
  <c r="F30" i="74"/>
  <c r="F1045" i="94" s="1"/>
  <c r="F122" i="78"/>
  <c r="B20" i="74"/>
  <c r="B103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O103" i="75"/>
  <c r="O137" i="75"/>
  <c r="O136" i="75"/>
  <c r="O115" i="75"/>
  <c r="E545" i="94" s="1"/>
  <c r="J545" i="94" s="1"/>
  <c r="O106" i="75"/>
  <c r="P66" i="66" l="1"/>
  <c r="P89" i="94"/>
  <c r="P151" i="75"/>
  <c r="H91" i="94"/>
  <c r="G23" i="74"/>
  <c r="G1038" i="94" s="1"/>
  <c r="G21" i="74"/>
  <c r="G1036" i="94" s="1"/>
  <c r="I56" i="73"/>
  <c r="I57" i="73"/>
  <c r="R772" i="94"/>
  <c r="R767" i="93"/>
  <c r="R780" i="94"/>
  <c r="R775" i="93"/>
  <c r="I58" i="73"/>
  <c r="R779" i="94"/>
  <c r="R774" i="93"/>
  <c r="P429" i="94"/>
  <c r="I1138" i="93"/>
  <c r="N1142" i="93"/>
  <c r="N1147" i="93" s="1"/>
  <c r="N1160" i="93"/>
  <c r="M1139" i="93"/>
  <c r="N1144" i="93"/>
  <c r="I1145" i="93"/>
  <c r="M988" i="94"/>
  <c r="C996" i="93"/>
  <c r="C1057" i="94"/>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O989" i="94"/>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C20" i="74"/>
  <c r="C1035" i="94" s="1"/>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B1029" i="94" s="1"/>
  <c r="H173" i="75"/>
  <c r="H935" i="94" s="1"/>
  <c r="O935" i="94" s="1"/>
  <c r="O59" i="75"/>
  <c r="J63" i="75"/>
  <c r="M63" i="75"/>
  <c r="O57" i="75"/>
  <c r="C81" i="84"/>
  <c r="C80" i="84"/>
  <c r="O19" i="86"/>
  <c r="O23" i="86" s="1"/>
  <c r="O25" i="86" s="1"/>
  <c r="O31" i="86" s="1"/>
  <c r="F53" i="82"/>
  <c r="F984" i="93"/>
  <c r="L1968" i="93"/>
  <c r="P67" i="93"/>
  <c r="G30" i="74"/>
  <c r="G1045" i="94" s="1"/>
  <c r="F20" i="74"/>
  <c r="F1035" i="94" s="1"/>
  <c r="D20" i="74"/>
  <c r="D1035" i="94" s="1"/>
  <c r="E20" i="74"/>
  <c r="E103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G20" i="74"/>
  <c r="G1035" i="94" s="1"/>
  <c r="J156" i="75"/>
  <c r="P146" i="75" l="1"/>
  <c r="H86" i="94"/>
  <c r="P148" i="75"/>
  <c r="H88" i="94"/>
  <c r="H23" i="74"/>
  <c r="H1038" i="94" s="1"/>
  <c r="H21" i="74"/>
  <c r="H1036" i="94" s="1"/>
  <c r="D996" i="93"/>
  <c r="D1057" i="94"/>
  <c r="K1163" i="93"/>
  <c r="M1227" i="94"/>
  <c r="H1227" i="94"/>
  <c r="I84" i="94"/>
  <c r="M993" i="94"/>
  <c r="P993" i="94"/>
  <c r="P1003" i="94"/>
  <c r="G579" i="94"/>
  <c r="P488" i="94"/>
  <c r="F1163" i="93"/>
  <c r="G14" i="74"/>
  <c r="G1029" i="94" s="1"/>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D1029" i="94" s="1"/>
  <c r="E14" i="74"/>
  <c r="E1029" i="94" s="1"/>
  <c r="C14" i="74"/>
  <c r="C1029" i="94" s="1"/>
  <c r="C52" i="84"/>
  <c r="F14" i="74"/>
  <c r="F1029" i="94" s="1"/>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P241" i="75"/>
  <c r="M231" i="75"/>
  <c r="F69" i="73"/>
  <c r="P231" i="75"/>
  <c r="H14" i="74"/>
  <c r="H1029" i="94" s="1"/>
  <c r="I13" i="74"/>
  <c r="H20" i="74"/>
  <c r="H1035" i="94" s="1"/>
  <c r="H84" i="94" l="1"/>
  <c r="H93" i="94" s="1"/>
  <c r="H95" i="94" s="1"/>
  <c r="I23" i="74"/>
  <c r="I1038" i="94" s="1"/>
  <c r="I21" i="74"/>
  <c r="I1036" i="94" s="1"/>
  <c r="B992" i="93"/>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B978" i="93"/>
  <c r="H61" i="66"/>
  <c r="H70" i="66" s="1"/>
  <c r="H72" i="66" s="1"/>
  <c r="C15" i="74"/>
  <c r="D15" i="74"/>
  <c r="F15" i="74"/>
  <c r="E15" i="74"/>
  <c r="B16" i="74"/>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P94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20" i="74"/>
  <c r="I1035" i="94" s="1"/>
  <c r="I14" i="74"/>
  <c r="I1029" i="94" s="1"/>
  <c r="J13" i="74"/>
  <c r="I15" i="74"/>
  <c r="I1030" i="94" s="1"/>
  <c r="I22" i="74"/>
  <c r="I74" i="75" l="1"/>
  <c r="I836" i="94" s="1"/>
  <c r="O836" i="94"/>
  <c r="P836" i="94" s="1"/>
  <c r="I77" i="75"/>
  <c r="I839" i="94" s="1"/>
  <c r="O839" i="94"/>
  <c r="P839" i="94" s="1"/>
  <c r="I75" i="75"/>
  <c r="I837" i="94" s="1"/>
  <c r="O837" i="94"/>
  <c r="P837" i="94" s="1"/>
  <c r="I71" i="75"/>
  <c r="I833" i="94" s="1"/>
  <c r="O833" i="94"/>
  <c r="P833" i="94" s="1"/>
  <c r="J23" i="74"/>
  <c r="J1038" i="94" s="1"/>
  <c r="J21" i="74"/>
  <c r="J1036" i="94" s="1"/>
  <c r="F996" i="93"/>
  <c r="F1057"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1" i="94" s="1"/>
  <c r="H1030" i="94"/>
  <c r="E16" i="74"/>
  <c r="E1031" i="94" s="1"/>
  <c r="E1030" i="94"/>
  <c r="P185" i="94"/>
  <c r="P184" i="94"/>
  <c r="P186" i="94"/>
  <c r="D38" i="74"/>
  <c r="D1053" i="94" s="1"/>
  <c r="B988" i="93"/>
  <c r="B989" i="93"/>
  <c r="B38" i="74"/>
  <c r="B1053" i="94" s="1"/>
  <c r="D13" i="86"/>
  <c r="C38" i="74"/>
  <c r="C1053" i="94" s="1"/>
  <c r="D19" i="74"/>
  <c r="B19" i="74"/>
  <c r="G42" i="74"/>
  <c r="P76" i="75"/>
  <c r="I76" i="75" s="1"/>
  <c r="I838" i="94" s="1"/>
  <c r="P73" i="75"/>
  <c r="I73" i="75" s="1"/>
  <c r="I835" i="94" s="1"/>
  <c r="P71" i="75"/>
  <c r="B991" i="93"/>
  <c r="B987" i="93"/>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G70" i="84" s="1"/>
  <c r="J4" i="91"/>
  <c r="C54" i="84"/>
  <c r="C56" i="84" s="1"/>
  <c r="C64" i="84" s="1"/>
  <c r="C70" i="84" s="1"/>
  <c r="C76" i="84" s="1"/>
  <c r="C73"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J20" i="74"/>
  <c r="J1035" i="94" s="1"/>
  <c r="J14" i="74"/>
  <c r="J1029" i="94" s="1"/>
  <c r="J15" i="74"/>
  <c r="J1030" i="94" s="1"/>
  <c r="J22" i="74"/>
  <c r="I16" i="74"/>
  <c r="J607" i="94" l="1"/>
  <c r="P1221" i="94"/>
  <c r="I49" i="75"/>
  <c r="I48" i="75"/>
  <c r="E19" i="74"/>
  <c r="E1034" i="94" s="1"/>
  <c r="E1039" i="94" s="1"/>
  <c r="F38" i="74"/>
  <c r="F1053" i="94" s="1"/>
  <c r="E38" i="74"/>
  <c r="E1053" i="94" s="1"/>
  <c r="H38" i="74"/>
  <c r="H1053" i="94" s="1"/>
  <c r="G38" i="74"/>
  <c r="G1053" i="94" s="1"/>
  <c r="K23" i="74"/>
  <c r="K1038" i="94" s="1"/>
  <c r="K21" i="74"/>
  <c r="K1036" i="94" s="1"/>
  <c r="C19" i="74"/>
  <c r="C1034" i="94" s="1"/>
  <c r="C1039" i="94" s="1"/>
  <c r="F19" i="74"/>
  <c r="F1034" i="94" s="1"/>
  <c r="F1039" i="94" s="1"/>
  <c r="G996" i="93"/>
  <c r="G1057" i="94"/>
  <c r="G19" i="74"/>
  <c r="G1034" i="94" s="1"/>
  <c r="G1039" i="94" s="1"/>
  <c r="H19" i="74"/>
  <c r="H24" i="74" s="1"/>
  <c r="H44" i="82" s="1"/>
  <c r="H51" i="82" s="1"/>
  <c r="O2081" i="94"/>
  <c r="O2082" i="94" s="1"/>
  <c r="O2075" i="94"/>
  <c r="O2076" i="94" s="1"/>
  <c r="N1625" i="94"/>
  <c r="O1385" i="94"/>
  <c r="M1467" i="94"/>
  <c r="L1467" i="94" s="1"/>
  <c r="M1464" i="94"/>
  <c r="L1464" i="94" s="1"/>
  <c r="E492" i="94"/>
  <c r="D579" i="94"/>
  <c r="F569" i="94"/>
  <c r="E523" i="94"/>
  <c r="J488" i="94"/>
  <c r="N1628" i="94"/>
  <c r="O1628" i="94" s="1"/>
  <c r="P2099" i="94"/>
  <c r="P1654" i="94"/>
  <c r="B35" i="74"/>
  <c r="B1050" i="94" s="1"/>
  <c r="B1034" i="94"/>
  <c r="B1039" i="94" s="1"/>
  <c r="B24" i="74"/>
  <c r="B44" i="82" s="1"/>
  <c r="B51" i="82" s="1"/>
  <c r="D33" i="86"/>
  <c r="J1037" i="94"/>
  <c r="H1034" i="94"/>
  <c r="H1039" i="94" s="1"/>
  <c r="E24" i="74"/>
  <c r="E44" i="82" s="1"/>
  <c r="E46" i="82" s="1"/>
  <c r="I19" i="74"/>
  <c r="I1031" i="94"/>
  <c r="D1034" i="94"/>
  <c r="D1039" i="94" s="1"/>
  <c r="D24" i="74"/>
  <c r="D44" i="82" s="1"/>
  <c r="D46" i="82" s="1"/>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I38" i="74"/>
  <c r="I1053" i="94" s="1"/>
  <c r="B34" i="74"/>
  <c r="B1049" i="94" s="1"/>
  <c r="H42" i="74"/>
  <c r="F33" i="74"/>
  <c r="F1048" i="94" s="1"/>
  <c r="F37" i="74"/>
  <c r="F1052" i="94" s="1"/>
  <c r="E37" i="74"/>
  <c r="E1052" i="94" s="1"/>
  <c r="E33" i="74"/>
  <c r="E1048" i="94" s="1"/>
  <c r="H33" i="74"/>
  <c r="H1048" i="94" s="1"/>
  <c r="H37" i="74"/>
  <c r="H1052" i="94" s="1"/>
  <c r="G33" i="74"/>
  <c r="G1048" i="94" s="1"/>
  <c r="G37" i="74"/>
  <c r="G1052" i="94" s="1"/>
  <c r="I37" i="74"/>
  <c r="I1052" i="94" s="1"/>
  <c r="I33" i="74"/>
  <c r="I1048" i="94" s="1"/>
  <c r="D33" i="74"/>
  <c r="D1048" i="94" s="1"/>
  <c r="D37" i="74"/>
  <c r="D1052" i="94" s="1"/>
  <c r="B37" i="74"/>
  <c r="B1052" i="94" s="1"/>
  <c r="B33" i="74"/>
  <c r="B1048" i="94" s="1"/>
  <c r="C33" i="74"/>
  <c r="C1048" i="94" s="1"/>
  <c r="C37" i="74"/>
  <c r="C1052" i="94" s="1"/>
  <c r="G995" i="93"/>
  <c r="H41" i="74"/>
  <c r="H1056" i="94" s="1"/>
  <c r="H12" i="86"/>
  <c r="H994" i="93"/>
  <c r="I40" i="74"/>
  <c r="I1055" i="94" s="1"/>
  <c r="I11" i="86"/>
  <c r="H993" i="93"/>
  <c r="I39" i="74"/>
  <c r="I1054" i="94" s="1"/>
  <c r="I10" i="86"/>
  <c r="J157" i="78"/>
  <c r="J158" i="78" s="1"/>
  <c r="H293" i="72"/>
  <c r="H1941" i="94" s="1"/>
  <c r="N467" i="73"/>
  <c r="C72" i="84"/>
  <c r="K56" i="84"/>
  <c r="K64" i="84" s="1"/>
  <c r="K70" i="84" s="1"/>
  <c r="K76" i="84" s="1"/>
  <c r="K73" i="84" s="1"/>
  <c r="G72" i="84"/>
  <c r="G76" i="84"/>
  <c r="G73" i="84" s="1"/>
  <c r="E54" i="84"/>
  <c r="E56" i="84" s="1"/>
  <c r="E64" i="84" s="1"/>
  <c r="E70" i="84" s="1"/>
  <c r="E76" i="84" s="1"/>
  <c r="E73" i="84" s="1"/>
  <c r="I56" i="84"/>
  <c r="I64" i="84" s="1"/>
  <c r="I70" i="84" s="1"/>
  <c r="I72"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K30" i="74"/>
  <c r="J16" i="74"/>
  <c r="K14" i="74"/>
  <c r="K1029" i="94" s="1"/>
  <c r="K20" i="74"/>
  <c r="K1035" i="94" s="1"/>
  <c r="B45" i="74"/>
  <c r="K15" i="74"/>
  <c r="K1030" i="94" s="1"/>
  <c r="K22" i="74"/>
  <c r="F24" i="74" l="1"/>
  <c r="F44" i="82" s="1"/>
  <c r="F51" i="82" s="1"/>
  <c r="C24" i="74"/>
  <c r="C44" i="82" s="1"/>
  <c r="C51" i="82" s="1"/>
  <c r="B55" i="74"/>
  <c r="B65" i="82" s="1"/>
  <c r="B53" i="74"/>
  <c r="B1068" i="94" s="1"/>
  <c r="G24" i="74"/>
  <c r="G44" i="82" s="1"/>
  <c r="G51" i="82" s="1"/>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H996" i="93"/>
  <c r="H1057" i="94"/>
  <c r="I1034" i="94"/>
  <c r="I1039" i="94" s="1"/>
  <c r="I24" i="74"/>
  <c r="I44" i="82" s="1"/>
  <c r="I46" i="82" s="1"/>
  <c r="J19" i="74"/>
  <c r="J1031" i="94"/>
  <c r="K1628" i="94"/>
  <c r="N1627" i="94"/>
  <c r="E33" i="86"/>
  <c r="K1037" i="94"/>
  <c r="J603" i="94"/>
  <c r="J599" i="93"/>
  <c r="J608" i="94"/>
  <c r="P293" i="72"/>
  <c r="O293" i="72"/>
  <c r="O1941" i="94" s="1"/>
  <c r="K470" i="73"/>
  <c r="N469" i="73"/>
  <c r="B46" i="82"/>
  <c r="J34" i="74"/>
  <c r="J1049" i="94" s="1"/>
  <c r="J35" i="74"/>
  <c r="J1050" i="94" s="1"/>
  <c r="J38" i="74"/>
  <c r="J1053" i="94" s="1"/>
  <c r="E51" i="82"/>
  <c r="H46" i="82"/>
  <c r="D51" i="82"/>
  <c r="I42" i="74"/>
  <c r="J33" i="74"/>
  <c r="J1048" i="94" s="1"/>
  <c r="J37" i="74"/>
  <c r="J1052" i="94" s="1"/>
  <c r="H995" i="93"/>
  <c r="I41" i="74"/>
  <c r="I1056" i="94" s="1"/>
  <c r="I12" i="86"/>
  <c r="I994" i="93"/>
  <c r="J40" i="74"/>
  <c r="J1055" i="94" s="1"/>
  <c r="C31" i="86"/>
  <c r="I993" i="93"/>
  <c r="J39" i="74"/>
  <c r="J1054" i="94" s="1"/>
  <c r="C30" i="86"/>
  <c r="K72" i="84"/>
  <c r="I76" i="84"/>
  <c r="I73" i="84" s="1"/>
  <c r="E72" i="84"/>
  <c r="C46" i="82"/>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F46" i="82"/>
  <c r="G598" i="93"/>
  <c r="K53" i="82"/>
  <c r="G162" i="78"/>
  <c r="K16" i="74"/>
  <c r="C45" i="74"/>
  <c r="B52" i="74"/>
  <c r="B1067" i="94" s="1"/>
  <c r="B54" i="74"/>
  <c r="B47" i="74"/>
  <c r="B1062" i="94" s="1"/>
  <c r="B46" i="74"/>
  <c r="B1061" i="94" s="1"/>
  <c r="C55" i="74" l="1"/>
  <c r="C65" i="82" s="1"/>
  <c r="C53" i="74"/>
  <c r="C1068" i="94" s="1"/>
  <c r="G46" i="82"/>
  <c r="I51" i="82"/>
  <c r="I996" i="93"/>
  <c r="I1057" i="94"/>
  <c r="K19" i="74"/>
  <c r="K1031" i="94"/>
  <c r="K235" i="72"/>
  <c r="O1801" i="94"/>
  <c r="F33" i="86"/>
  <c r="B1069" i="94"/>
  <c r="J1034" i="94"/>
  <c r="J1039" i="94" s="1"/>
  <c r="J24" i="74"/>
  <c r="J44" i="82" s="1"/>
  <c r="J51" i="82" s="1"/>
  <c r="G607" i="94"/>
  <c r="O1605" i="93"/>
  <c r="O47" i="72"/>
  <c r="O1695" i="94" s="1"/>
  <c r="R1695" i="94" s="1"/>
  <c r="K34" i="74"/>
  <c r="K1049" i="94" s="1"/>
  <c r="K35" i="74"/>
  <c r="K1050" i="94" s="1"/>
  <c r="K38" i="74"/>
  <c r="K1053" i="94" s="1"/>
  <c r="J42" i="74"/>
  <c r="K33" i="74"/>
  <c r="K1048" i="94" s="1"/>
  <c r="K37" i="74"/>
  <c r="K1052" i="94" s="1"/>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C46" i="74"/>
  <c r="C1061" i="94" s="1"/>
  <c r="C52" i="74"/>
  <c r="C1067" i="94" s="1"/>
  <c r="C47" i="74"/>
  <c r="C1062" i="94" s="1"/>
  <c r="C54" i="74"/>
  <c r="B48" i="74"/>
  <c r="D55" i="74" l="1"/>
  <c r="D65" i="82" s="1"/>
  <c r="D53" i="74"/>
  <c r="D1068" i="94" s="1"/>
  <c r="J996" i="93"/>
  <c r="J1057" i="94"/>
  <c r="D32" i="86"/>
  <c r="J1056" i="94"/>
  <c r="K236" i="72"/>
  <c r="O1925" i="94"/>
  <c r="B51" i="74"/>
  <c r="B1063" i="94"/>
  <c r="J46" i="82"/>
  <c r="G33" i="86"/>
  <c r="C1069" i="94"/>
  <c r="K1034" i="94"/>
  <c r="K1039" i="94" s="1"/>
  <c r="K24" i="74"/>
  <c r="K44" i="82" s="1"/>
  <c r="K46" i="82" s="1"/>
  <c r="B66" i="74"/>
  <c r="B1081" i="94" s="1"/>
  <c r="B67" i="74"/>
  <c r="B1082" i="94" s="1"/>
  <c r="B70" i="74"/>
  <c r="B1085" i="94" s="1"/>
  <c r="K42" i="74"/>
  <c r="B69" i="74"/>
  <c r="B1084" i="94" s="1"/>
  <c r="B65" i="74"/>
  <c r="B1080" i="94" s="1"/>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D46" i="74"/>
  <c r="D1061" i="94" s="1"/>
  <c r="E45" i="74"/>
  <c r="D54" i="74"/>
  <c r="D52" i="74"/>
  <c r="D1067" i="94" s="1"/>
  <c r="D47" i="74"/>
  <c r="D1062" i="94" s="1"/>
  <c r="E55" i="74" l="1"/>
  <c r="E65" i="82" s="1"/>
  <c r="E53" i="74"/>
  <c r="E1068" i="94" s="1"/>
  <c r="B74" i="74"/>
  <c r="B1089" i="94" s="1"/>
  <c r="K1057" i="94"/>
  <c r="K51" i="82"/>
  <c r="C51" i="74"/>
  <c r="C1063" i="94"/>
  <c r="B1066" i="94"/>
  <c r="B1071" i="94" s="1"/>
  <c r="B56" i="74"/>
  <c r="B64" i="82" s="1"/>
  <c r="B71" i="82" s="1"/>
  <c r="H33" i="86"/>
  <c r="D1069" i="94"/>
  <c r="C66" i="74"/>
  <c r="C1081" i="94" s="1"/>
  <c r="C67" i="74"/>
  <c r="C1082" i="94" s="1"/>
  <c r="C70" i="74"/>
  <c r="C1085" i="94" s="1"/>
  <c r="K996" i="93"/>
  <c r="C69" i="74"/>
  <c r="C1084" i="94" s="1"/>
  <c r="C65" i="74"/>
  <c r="C1080" i="94" s="1"/>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E46" i="74"/>
  <c r="E1061" i="94" s="1"/>
  <c r="F45" i="74"/>
  <c r="E52" i="74"/>
  <c r="E1067" i="94" s="1"/>
  <c r="E47" i="74"/>
  <c r="E1062" i="94" s="1"/>
  <c r="E54" i="74"/>
  <c r="B1026" i="93" l="1"/>
  <c r="F55" i="74"/>
  <c r="F65" i="82" s="1"/>
  <c r="F53" i="74"/>
  <c r="F1068" i="94" s="1"/>
  <c r="B66" i="82"/>
  <c r="D51" i="74"/>
  <c r="D1063" i="94"/>
  <c r="I33" i="86"/>
  <c r="E1069" i="94"/>
  <c r="C1066" i="94"/>
  <c r="C1071" i="94" s="1"/>
  <c r="C56" i="74"/>
  <c r="C64" i="82" s="1"/>
  <c r="C66" i="82" s="1"/>
  <c r="D66" i="74"/>
  <c r="D1081" i="94" s="1"/>
  <c r="D67" i="74"/>
  <c r="D1082" i="94" s="1"/>
  <c r="D70" i="74"/>
  <c r="D1085" i="94" s="1"/>
  <c r="D65" i="74"/>
  <c r="D1080" i="94" s="1"/>
  <c r="D69" i="74"/>
  <c r="D1084"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G45" i="74"/>
  <c r="F47" i="74"/>
  <c r="F1062" i="94" s="1"/>
  <c r="F54" i="74"/>
  <c r="F52" i="74"/>
  <c r="F1067" i="94" s="1"/>
  <c r="F46" i="74"/>
  <c r="F1061" i="94" s="1"/>
  <c r="G55" i="74" l="1"/>
  <c r="G65" i="82" s="1"/>
  <c r="G53" i="74"/>
  <c r="G1068" i="94" s="1"/>
  <c r="E51" i="74"/>
  <c r="E1063" i="94"/>
  <c r="C71" i="82"/>
  <c r="C53" i="86"/>
  <c r="F1069" i="94"/>
  <c r="D1066" i="94"/>
  <c r="D1071" i="94" s="1"/>
  <c r="D56" i="74"/>
  <c r="D64" i="82" s="1"/>
  <c r="D66" i="82" s="1"/>
  <c r="E66" i="74"/>
  <c r="E1081" i="94" s="1"/>
  <c r="E67" i="74"/>
  <c r="E1082" i="94" s="1"/>
  <c r="E70" i="74"/>
  <c r="E1085" i="94" s="1"/>
  <c r="E69" i="74"/>
  <c r="E1084" i="94" s="1"/>
  <c r="E65" i="74"/>
  <c r="E1080" i="94" s="1"/>
  <c r="D1026" i="93"/>
  <c r="E74" i="74"/>
  <c r="E1089" i="94" s="1"/>
  <c r="C1025" i="93"/>
  <c r="D73" i="74"/>
  <c r="D1088" i="94" s="1"/>
  <c r="G32" i="86"/>
  <c r="D1024" i="93"/>
  <c r="E72" i="74"/>
  <c r="H31" i="86"/>
  <c r="D1023" i="93"/>
  <c r="E71" i="74"/>
  <c r="E1086" i="94" s="1"/>
  <c r="H30" i="86"/>
  <c r="P1560" i="93"/>
  <c r="F73" i="82"/>
  <c r="F1014" i="93"/>
  <c r="G62" i="74"/>
  <c r="F48" i="74"/>
  <c r="H45" i="74"/>
  <c r="G46" i="74"/>
  <c r="G1061" i="94" s="1"/>
  <c r="G47" i="74"/>
  <c r="G1062" i="94" s="1"/>
  <c r="G54" i="74"/>
  <c r="G52" i="74"/>
  <c r="G1067" i="94" s="1"/>
  <c r="H55" i="74" l="1"/>
  <c r="H65" i="82" s="1"/>
  <c r="H53" i="74"/>
  <c r="H1068" i="94" s="1"/>
  <c r="I31" i="86"/>
  <c r="E1087" i="94"/>
  <c r="F51" i="74"/>
  <c r="F1063" i="94"/>
  <c r="D71" i="82"/>
  <c r="D53" i="86"/>
  <c r="G1069" i="94"/>
  <c r="E1066" i="94"/>
  <c r="E1071" i="94" s="1"/>
  <c r="E56" i="74"/>
  <c r="E64" i="82" s="1"/>
  <c r="E71" i="82" s="1"/>
  <c r="F66" i="74"/>
  <c r="F1081" i="94" s="1"/>
  <c r="F67" i="74"/>
  <c r="F1082" i="94" s="1"/>
  <c r="F70" i="74"/>
  <c r="F1085" i="94" s="1"/>
  <c r="F69" i="74"/>
  <c r="F1084" i="94" s="1"/>
  <c r="F65" i="74"/>
  <c r="F1080" i="94" s="1"/>
  <c r="E1026" i="93"/>
  <c r="F74" i="74"/>
  <c r="F1089" i="94" s="1"/>
  <c r="D1025" i="93"/>
  <c r="E73" i="74"/>
  <c r="E1088" i="94" s="1"/>
  <c r="H32" i="86"/>
  <c r="E1024" i="93"/>
  <c r="F72" i="74"/>
  <c r="F1087" i="94" s="1"/>
  <c r="E1023" i="93"/>
  <c r="F71" i="74"/>
  <c r="F1086" i="94" s="1"/>
  <c r="I30" i="86"/>
  <c r="G73" i="82"/>
  <c r="G1014" i="93"/>
  <c r="G1016" i="93" s="1"/>
  <c r="H62" i="74"/>
  <c r="I45" i="74"/>
  <c r="H46" i="74"/>
  <c r="H1061" i="94" s="1"/>
  <c r="H47" i="74"/>
  <c r="H1062" i="94" s="1"/>
  <c r="H54" i="74"/>
  <c r="H52" i="74"/>
  <c r="H1067" i="94" s="1"/>
  <c r="G48" i="74"/>
  <c r="I55" i="74" l="1"/>
  <c r="I65" i="82" s="1"/>
  <c r="I53" i="74"/>
  <c r="I1068" i="94" s="1"/>
  <c r="E66" i="82"/>
  <c r="E53" i="86"/>
  <c r="H1069" i="94"/>
  <c r="G51" i="74"/>
  <c r="G1063" i="94"/>
  <c r="F1066" i="94"/>
  <c r="F1071" i="94" s="1"/>
  <c r="F56" i="74"/>
  <c r="F64" i="82" s="1"/>
  <c r="F71" i="82" s="1"/>
  <c r="G66" i="74"/>
  <c r="G1081" i="94" s="1"/>
  <c r="G67" i="74"/>
  <c r="G1082" i="94" s="1"/>
  <c r="G70" i="74"/>
  <c r="G1085" i="94" s="1"/>
  <c r="G69" i="74"/>
  <c r="G1084" i="94" s="1"/>
  <c r="G65" i="74"/>
  <c r="G1080" i="94" s="1"/>
  <c r="F1026" i="93"/>
  <c r="G74" i="74"/>
  <c r="G1089" i="94" s="1"/>
  <c r="E1025" i="93"/>
  <c r="F73" i="74"/>
  <c r="F1088" i="94" s="1"/>
  <c r="I32" i="86"/>
  <c r="F1024" i="93"/>
  <c r="G72" i="74"/>
  <c r="G1087" i="94" s="1"/>
  <c r="C51" i="86"/>
  <c r="F1023" i="93"/>
  <c r="G71" i="74"/>
  <c r="G1086" i="94" s="1"/>
  <c r="C50" i="86"/>
  <c r="H73" i="82"/>
  <c r="H1014" i="93"/>
  <c r="H1016" i="93" s="1"/>
  <c r="I62" i="74"/>
  <c r="H48" i="74"/>
  <c r="I46" i="74"/>
  <c r="I1061" i="94" s="1"/>
  <c r="I52" i="74"/>
  <c r="I1067" i="94" s="1"/>
  <c r="J45" i="74"/>
  <c r="I54" i="74"/>
  <c r="I47" i="74"/>
  <c r="I1062" i="94" s="1"/>
  <c r="J55" i="74" l="1"/>
  <c r="J65" i="82" s="1"/>
  <c r="J53" i="74"/>
  <c r="J1068" i="94" s="1"/>
  <c r="H51" i="74"/>
  <c r="H1063" i="94"/>
  <c r="G1066" i="94"/>
  <c r="G1071" i="94" s="1"/>
  <c r="G56" i="74"/>
  <c r="F66" i="82"/>
  <c r="B25" i="82" s="1"/>
  <c r="J52" i="82" s="1"/>
  <c r="J54" i="82" s="1"/>
  <c r="J55" i="82" s="1"/>
  <c r="J56" i="82" s="1"/>
  <c r="F53" i="86"/>
  <c r="I1069" i="94"/>
  <c r="H66" i="74"/>
  <c r="H1081" i="94" s="1"/>
  <c r="H67" i="74"/>
  <c r="H1082" i="94" s="1"/>
  <c r="H70" i="74"/>
  <c r="H1085" i="94" s="1"/>
  <c r="H65" i="74"/>
  <c r="H1080" i="94" s="1"/>
  <c r="H69" i="74"/>
  <c r="H1084" i="94" s="1"/>
  <c r="G1026" i="93"/>
  <c r="H74" i="74"/>
  <c r="H1089" i="94" s="1"/>
  <c r="F1025" i="93"/>
  <c r="G73" i="74"/>
  <c r="G1088" i="94" s="1"/>
  <c r="C52" i="86"/>
  <c r="G1024" i="93"/>
  <c r="H72" i="74"/>
  <c r="H1087" i="94" s="1"/>
  <c r="D51" i="86"/>
  <c r="G1023" i="93"/>
  <c r="H71" i="74"/>
  <c r="H1086" i="94" s="1"/>
  <c r="D50" i="86"/>
  <c r="I73" i="82"/>
  <c r="I1014" i="93"/>
  <c r="I1016" i="93" s="1"/>
  <c r="I48" i="74"/>
  <c r="K45" i="74"/>
  <c r="J52" i="74"/>
  <c r="J1067" i="94" s="1"/>
  <c r="J46" i="74"/>
  <c r="J1061" i="94" s="1"/>
  <c r="J54" i="74"/>
  <c r="J47" i="74"/>
  <c r="J1062" i="94" s="1"/>
  <c r="K55" i="74" l="1"/>
  <c r="K65" i="82" s="1"/>
  <c r="K72" i="82" s="1"/>
  <c r="K53" i="74"/>
  <c r="K1068" i="94" s="1"/>
  <c r="I72" i="82"/>
  <c r="E52" i="82"/>
  <c r="E54" i="82" s="1"/>
  <c r="E55" i="82" s="1"/>
  <c r="E56" i="82" s="1"/>
  <c r="C52" i="82"/>
  <c r="C54" i="82" s="1"/>
  <c r="C55" i="82" s="1"/>
  <c r="C56" i="82" s="1"/>
  <c r="B52" i="82"/>
  <c r="B54" i="82" s="1"/>
  <c r="B55" i="82" s="1"/>
  <c r="B59" i="82" s="1"/>
  <c r="B26" i="82"/>
  <c r="D52" i="82"/>
  <c r="D54" i="82" s="1"/>
  <c r="D55" i="82" s="1"/>
  <c r="D56" i="82" s="1"/>
  <c r="C72" i="82"/>
  <c r="C74" i="82" s="1"/>
  <c r="C75" i="82" s="1"/>
  <c r="C76" i="82" s="1"/>
  <c r="J72" i="82"/>
  <c r="K52" i="82"/>
  <c r="K54" i="82" s="1"/>
  <c r="K55" i="82" s="1"/>
  <c r="K56" i="82" s="1"/>
  <c r="E72" i="82"/>
  <c r="E74" i="82" s="1"/>
  <c r="E75" i="82" s="1"/>
  <c r="E76" i="82" s="1"/>
  <c r="G64" i="82"/>
  <c r="G64" i="74"/>
  <c r="G1079" i="94" s="1"/>
  <c r="F52" i="82"/>
  <c r="F54" i="82" s="1"/>
  <c r="F55" i="82" s="1"/>
  <c r="F56" i="82" s="1"/>
  <c r="B72" i="82"/>
  <c r="B74" i="82" s="1"/>
  <c r="B75" i="82" s="1"/>
  <c r="B76" i="82" s="1"/>
  <c r="G52" i="82"/>
  <c r="G54" i="82" s="1"/>
  <c r="G55" i="82" s="1"/>
  <c r="G56" i="82" s="1"/>
  <c r="G53" i="86"/>
  <c r="J1069" i="94"/>
  <c r="G72" i="82"/>
  <c r="H52" i="82"/>
  <c r="H54" i="82" s="1"/>
  <c r="H55" i="82" s="1"/>
  <c r="H56" i="82" s="1"/>
  <c r="I52" i="82"/>
  <c r="I54" i="82" s="1"/>
  <c r="I55" i="82" s="1"/>
  <c r="I56" i="82" s="1"/>
  <c r="F72" i="82"/>
  <c r="F74" i="82" s="1"/>
  <c r="F75" i="82" s="1"/>
  <c r="F76" i="82" s="1"/>
  <c r="D72" i="82"/>
  <c r="D74" i="82" s="1"/>
  <c r="D75" i="82" s="1"/>
  <c r="D76" i="82" s="1"/>
  <c r="I51" i="74"/>
  <c r="I1063" i="94"/>
  <c r="H72" i="82"/>
  <c r="H1066" i="94"/>
  <c r="H1071" i="94" s="1"/>
  <c r="H56" i="74"/>
  <c r="H64" i="74" s="1"/>
  <c r="H1079" i="94" s="1"/>
  <c r="I66" i="74"/>
  <c r="I1081" i="94" s="1"/>
  <c r="I67" i="74"/>
  <c r="I1082" i="94" s="1"/>
  <c r="I70" i="74"/>
  <c r="I1085" i="94" s="1"/>
  <c r="I69" i="74"/>
  <c r="I1084" i="94" s="1"/>
  <c r="I65" i="74"/>
  <c r="I1080"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K46" i="74"/>
  <c r="K1061" i="94" s="1"/>
  <c r="K47" i="74"/>
  <c r="K1062" i="94" s="1"/>
  <c r="K54" i="74"/>
  <c r="K52" i="74"/>
  <c r="K1067" i="94" s="1"/>
  <c r="J48" i="74"/>
  <c r="B87" i="74" l="1"/>
  <c r="B85" i="74"/>
  <c r="B1100" i="94"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28" i="82"/>
  <c r="B29" i="82" s="1"/>
  <c r="B9" i="82"/>
  <c r="B10" i="82" s="1"/>
  <c r="B11" i="82" s="1"/>
  <c r="G71" i="82"/>
  <c r="G74" i="82" s="1"/>
  <c r="G75" i="82" s="1"/>
  <c r="G76" i="82" s="1"/>
  <c r="G66" i="82"/>
  <c r="H53" i="86"/>
  <c r="K1069" i="94"/>
  <c r="H64" i="82"/>
  <c r="H71" i="82" s="1"/>
  <c r="H74" i="82" s="1"/>
  <c r="H75" i="82" s="1"/>
  <c r="H76" i="82" s="1"/>
  <c r="I1066" i="94"/>
  <c r="I1071" i="94" s="1"/>
  <c r="I56" i="74"/>
  <c r="I64" i="82" s="1"/>
  <c r="I66" i="82" s="1"/>
  <c r="J51" i="74"/>
  <c r="J1063" i="94"/>
  <c r="J66" i="74"/>
  <c r="J1081" i="94" s="1"/>
  <c r="J67" i="74"/>
  <c r="J1082" i="94" s="1"/>
  <c r="J70" i="74"/>
  <c r="J1085" i="94" s="1"/>
  <c r="J69" i="74"/>
  <c r="J1084" i="94" s="1"/>
  <c r="J65" i="74"/>
  <c r="J1080" i="94" s="1"/>
  <c r="I1026" i="93"/>
  <c r="J74" i="74"/>
  <c r="J1089" i="94" s="1"/>
  <c r="H1025" i="93"/>
  <c r="I73" i="74"/>
  <c r="I1088" i="94" s="1"/>
  <c r="E52" i="86"/>
  <c r="E57" i="86" s="1"/>
  <c r="E58" i="86" s="1"/>
  <c r="E60" i="86" s="1"/>
  <c r="E64" i="86" s="1"/>
  <c r="K22" i="86" s="1"/>
  <c r="I1024" i="93"/>
  <c r="J72" i="74"/>
  <c r="J1087" i="94" s="1"/>
  <c r="F51" i="86"/>
  <c r="I1023" i="93"/>
  <c r="J71" i="74"/>
  <c r="J1086" i="94" s="1"/>
  <c r="F50" i="86"/>
  <c r="B56" i="82"/>
  <c r="K73" i="82"/>
  <c r="B1044" i="93"/>
  <c r="B1045" i="93" s="1"/>
  <c r="K48" i="74"/>
  <c r="C77" i="74"/>
  <c r="B86" i="74"/>
  <c r="B1101" i="94" s="1"/>
  <c r="B78" i="74"/>
  <c r="B1093" i="94" s="1"/>
  <c r="B84" i="74"/>
  <c r="B1099" i="94" s="1"/>
  <c r="B79" i="74"/>
  <c r="B1094" i="94" s="1"/>
  <c r="C87" i="74" l="1"/>
  <c r="C85" i="74"/>
  <c r="C1100" i="94" s="1"/>
  <c r="H66" i="82"/>
  <c r="J1066" i="94"/>
  <c r="J1071" i="94" s="1"/>
  <c r="J56" i="74"/>
  <c r="J64" i="82" s="1"/>
  <c r="J71" i="82" s="1"/>
  <c r="J74" i="82" s="1"/>
  <c r="J75" i="82" s="1"/>
  <c r="J76" i="82" s="1"/>
  <c r="I64" i="74"/>
  <c r="I1079" i="94" s="1"/>
  <c r="K51" i="74"/>
  <c r="K1063" i="94"/>
  <c r="K66" i="74"/>
  <c r="K1081" i="94" s="1"/>
  <c r="K67" i="74"/>
  <c r="K1082" i="94" s="1"/>
  <c r="I71" i="82"/>
  <c r="I74" i="82" s="1"/>
  <c r="I75" i="82" s="1"/>
  <c r="I76" i="82" s="1"/>
  <c r="K70" i="74"/>
  <c r="K1085" i="94" s="1"/>
  <c r="K65" i="74"/>
  <c r="K1080" i="94" s="1"/>
  <c r="K69" i="74"/>
  <c r="K1084"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C84" i="74"/>
  <c r="C1099" i="94" s="1"/>
  <c r="C86" i="74"/>
  <c r="C1101" i="94" s="1"/>
  <c r="C79" i="74"/>
  <c r="C1094" i="94" s="1"/>
  <c r="C78" i="74"/>
  <c r="C1093" i="94" s="1"/>
  <c r="B80" i="74"/>
  <c r="B101" i="74" s="1"/>
  <c r="B1116" i="94" s="1"/>
  <c r="D87" i="74" l="1"/>
  <c r="D85" i="74"/>
  <c r="D1100" i="94" s="1"/>
  <c r="J64" i="74"/>
  <c r="J1079" i="94" s="1"/>
  <c r="K1066" i="94"/>
  <c r="K1071" i="94" s="1"/>
  <c r="K56" i="74"/>
  <c r="K64" i="74" s="1"/>
  <c r="K1079" i="94" s="1"/>
  <c r="B83" i="74"/>
  <c r="B1095" i="94"/>
  <c r="B97" i="74"/>
  <c r="B1112" i="94" s="1"/>
  <c r="B98" i="74"/>
  <c r="B1113" i="94" s="1"/>
  <c r="J66" i="82"/>
  <c r="B100" i="74"/>
  <c r="B1115" i="94" s="1"/>
  <c r="B96" i="74"/>
  <c r="B1111"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E77" i="74"/>
  <c r="D86" i="74"/>
  <c r="D1101" i="94" s="1"/>
  <c r="D79" i="74"/>
  <c r="D1094" i="94" s="1"/>
  <c r="D84" i="74"/>
  <c r="D1099" i="94" s="1"/>
  <c r="D78" i="74"/>
  <c r="D1093" i="94" s="1"/>
  <c r="E87" i="74" l="1"/>
  <c r="E85" i="74"/>
  <c r="E1100" i="94" s="1"/>
  <c r="K64" i="82"/>
  <c r="K71" i="82" s="1"/>
  <c r="K74" i="82" s="1"/>
  <c r="K75" i="82" s="1"/>
  <c r="K76" i="82" s="1"/>
  <c r="B1098" i="94"/>
  <c r="B1103" i="94" s="1"/>
  <c r="B88" i="74"/>
  <c r="B95" i="74" s="1"/>
  <c r="B1110" i="94" s="1"/>
  <c r="C83" i="74"/>
  <c r="C1095" i="94"/>
  <c r="C97" i="74"/>
  <c r="C1112" i="94" s="1"/>
  <c r="C98" i="74"/>
  <c r="C1113" i="94" s="1"/>
  <c r="C101" i="74"/>
  <c r="C1116" i="94" s="1"/>
  <c r="K66" i="82"/>
  <c r="C100" i="74"/>
  <c r="C1115" i="94" s="1"/>
  <c r="C96" i="74"/>
  <c r="C1111"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F77" i="74"/>
  <c r="E78" i="74"/>
  <c r="E1093" i="94" s="1"/>
  <c r="E84" i="74"/>
  <c r="E1099" i="94" s="1"/>
  <c r="E79" i="74"/>
  <c r="E1094" i="94" s="1"/>
  <c r="E86" i="74"/>
  <c r="E1101" i="94" s="1"/>
  <c r="F87" i="74" l="1"/>
  <c r="F85" i="74"/>
  <c r="F1100" i="94" s="1"/>
  <c r="D83" i="74"/>
  <c r="D1095" i="94"/>
  <c r="C1098" i="94"/>
  <c r="C1103" i="94" s="1"/>
  <c r="C88" i="74"/>
  <c r="C95" i="74" s="1"/>
  <c r="C1110" i="94" s="1"/>
  <c r="D97" i="74"/>
  <c r="D1112" i="94" s="1"/>
  <c r="D98" i="74"/>
  <c r="D1113" i="94" s="1"/>
  <c r="D101" i="74"/>
  <c r="D1116" i="94" s="1"/>
  <c r="D96" i="74"/>
  <c r="D1111" i="94" s="1"/>
  <c r="D100" i="74"/>
  <c r="D1115" i="94" s="1"/>
  <c r="H64" i="86"/>
  <c r="K25" i="86" s="1"/>
  <c r="C1055" i="93"/>
  <c r="D105" i="74"/>
  <c r="D1120" i="94" s="1"/>
  <c r="B1054" i="93"/>
  <c r="C104" i="74"/>
  <c r="C1119" i="94" s="1"/>
  <c r="C1053" i="93"/>
  <c r="D103" i="74"/>
  <c r="D1118" i="94" s="1"/>
  <c r="C1052" i="93"/>
  <c r="D102" i="74"/>
  <c r="D1117" i="94" s="1"/>
  <c r="F94" i="74"/>
  <c r="F1044" i="93" s="1"/>
  <c r="F1045" i="93" s="1"/>
  <c r="E80" i="74"/>
  <c r="G77" i="74"/>
  <c r="F79" i="74"/>
  <c r="F1094" i="94" s="1"/>
  <c r="F78" i="74"/>
  <c r="F1093" i="94" s="1"/>
  <c r="F86" i="74"/>
  <c r="F1101" i="94" s="1"/>
  <c r="F84" i="74"/>
  <c r="F1099" i="94" s="1"/>
  <c r="G87" i="74" l="1"/>
  <c r="G85" i="74"/>
  <c r="G1100" i="94" s="1"/>
  <c r="E83" i="74"/>
  <c r="E1095" i="94"/>
  <c r="D1098" i="94"/>
  <c r="D1103" i="94" s="1"/>
  <c r="D88" i="74"/>
  <c r="D95" i="74" s="1"/>
  <c r="D1110" i="94" s="1"/>
  <c r="E97" i="74"/>
  <c r="E1112" i="94" s="1"/>
  <c r="E98" i="74"/>
  <c r="E1113" i="94" s="1"/>
  <c r="E101" i="74"/>
  <c r="E1116" i="94" s="1"/>
  <c r="E96" i="74"/>
  <c r="E1111" i="94" s="1"/>
  <c r="E100" i="74"/>
  <c r="E1115" i="94" s="1"/>
  <c r="D1055" i="93"/>
  <c r="E105" i="74"/>
  <c r="E1120" i="94" s="1"/>
  <c r="C1054" i="93"/>
  <c r="D104" i="74"/>
  <c r="D1119" i="94" s="1"/>
  <c r="D1053" i="93"/>
  <c r="E103" i="74"/>
  <c r="E1118" i="94" s="1"/>
  <c r="D1052" i="93"/>
  <c r="E102" i="74"/>
  <c r="E1117" i="94" s="1"/>
  <c r="G94" i="74"/>
  <c r="G1044" i="93" s="1"/>
  <c r="G1045" i="93" s="1"/>
  <c r="H77" i="74"/>
  <c r="G78" i="74"/>
  <c r="G1093" i="94" s="1"/>
  <c r="G84" i="74"/>
  <c r="G1099" i="94" s="1"/>
  <c r="G79" i="74"/>
  <c r="G1094" i="94" s="1"/>
  <c r="G86" i="74"/>
  <c r="G1101" i="94" s="1"/>
  <c r="F80" i="74"/>
  <c r="H87" i="74" l="1"/>
  <c r="H85" i="74"/>
  <c r="H1100" i="94" s="1"/>
  <c r="F83" i="74"/>
  <c r="F1095" i="94"/>
  <c r="E1098" i="94"/>
  <c r="E1103" i="94" s="1"/>
  <c r="E88" i="74"/>
  <c r="E95" i="74" s="1"/>
  <c r="E1110" i="94" s="1"/>
  <c r="F97" i="74"/>
  <c r="F1112" i="94" s="1"/>
  <c r="F98" i="74"/>
  <c r="F1113" i="94" s="1"/>
  <c r="F101" i="74"/>
  <c r="F1116" i="94" s="1"/>
  <c r="F96" i="74"/>
  <c r="F1111" i="94" s="1"/>
  <c r="F100" i="74"/>
  <c r="F1115" i="94" s="1"/>
  <c r="E1055" i="93"/>
  <c r="F105" i="74"/>
  <c r="F1120" i="94" s="1"/>
  <c r="D1054" i="93"/>
  <c r="E104" i="74"/>
  <c r="E1119" i="94" s="1"/>
  <c r="E1053" i="93"/>
  <c r="F103" i="74"/>
  <c r="F1118" i="94" s="1"/>
  <c r="E1052" i="93"/>
  <c r="F102" i="74"/>
  <c r="F1117" i="94" s="1"/>
  <c r="H94" i="74"/>
  <c r="H1044" i="93" s="1"/>
  <c r="H1045" i="93" s="1"/>
  <c r="G80" i="74"/>
  <c r="I77" i="74"/>
  <c r="H86" i="74"/>
  <c r="H1101" i="94" s="1"/>
  <c r="H79" i="74"/>
  <c r="H1094" i="94" s="1"/>
  <c r="H78" i="74"/>
  <c r="H1093" i="94" s="1"/>
  <c r="H84" i="74"/>
  <c r="H1099" i="94" s="1"/>
  <c r="I87" i="74" l="1"/>
  <c r="I85" i="74"/>
  <c r="I1100" i="94" s="1"/>
  <c r="G83" i="74"/>
  <c r="G1095" i="94"/>
  <c r="F1098" i="94"/>
  <c r="F1103" i="94" s="1"/>
  <c r="F88" i="74"/>
  <c r="F95" i="74" s="1"/>
  <c r="F1110" i="94" s="1"/>
  <c r="G97" i="74"/>
  <c r="G1112" i="94" s="1"/>
  <c r="G98" i="74"/>
  <c r="G1113" i="94" s="1"/>
  <c r="G101" i="74"/>
  <c r="G1116" i="94" s="1"/>
  <c r="G96" i="74"/>
  <c r="G1111" i="94" s="1"/>
  <c r="G100" i="74"/>
  <c r="G1115" i="94" s="1"/>
  <c r="F1055" i="93"/>
  <c r="G105" i="74"/>
  <c r="G1120" i="94" s="1"/>
  <c r="E1054" i="93"/>
  <c r="F104" i="74"/>
  <c r="F1119" i="94" s="1"/>
  <c r="F1053" i="93"/>
  <c r="G103" i="74"/>
  <c r="G1118" i="94" s="1"/>
  <c r="F1052" i="93"/>
  <c r="G102" i="74"/>
  <c r="G1117" i="94" s="1"/>
  <c r="I94" i="74"/>
  <c r="I1044" i="93" s="1"/>
  <c r="I1045" i="93" s="1"/>
  <c r="J77" i="74"/>
  <c r="I84" i="74"/>
  <c r="I1099" i="94" s="1"/>
  <c r="I78" i="74"/>
  <c r="I1093" i="94" s="1"/>
  <c r="I86" i="74"/>
  <c r="I1101" i="94" s="1"/>
  <c r="I79" i="74"/>
  <c r="I1094" i="94" s="1"/>
  <c r="H80" i="74"/>
  <c r="J87" i="74" l="1"/>
  <c r="J85" i="74"/>
  <c r="J1100" i="94" s="1"/>
  <c r="H83" i="74"/>
  <c r="H1095" i="94"/>
  <c r="G1098" i="94"/>
  <c r="G1103" i="94" s="1"/>
  <c r="G88" i="74"/>
  <c r="G95" i="74" s="1"/>
  <c r="G1110" i="94" s="1"/>
  <c r="H97" i="74"/>
  <c r="H1112" i="94" s="1"/>
  <c r="H98" i="74"/>
  <c r="H1113" i="94" s="1"/>
  <c r="H101" i="74"/>
  <c r="H1116" i="94" s="1"/>
  <c r="H96" i="74"/>
  <c r="H1111" i="94" s="1"/>
  <c r="H100" i="74"/>
  <c r="H1115" i="94" s="1"/>
  <c r="G1055" i="93"/>
  <c r="H105" i="74"/>
  <c r="H1120" i="94" s="1"/>
  <c r="F1054" i="93"/>
  <c r="G104" i="74"/>
  <c r="G1119" i="94" s="1"/>
  <c r="G1053" i="93"/>
  <c r="H103" i="74"/>
  <c r="H1118" i="94" s="1"/>
  <c r="G1052" i="93"/>
  <c r="H102" i="74"/>
  <c r="H1117" i="94" s="1"/>
  <c r="J94" i="74"/>
  <c r="J1044" i="93" s="1"/>
  <c r="J1045" i="93" s="1"/>
  <c r="I80" i="74"/>
  <c r="K77" i="74"/>
  <c r="J84" i="74"/>
  <c r="J1099" i="94" s="1"/>
  <c r="J86" i="74"/>
  <c r="J1101" i="94" s="1"/>
  <c r="J79" i="74"/>
  <c r="J1094" i="94" s="1"/>
  <c r="J78" i="74"/>
  <c r="J1093" i="94" s="1"/>
  <c r="K87" i="74" l="1"/>
  <c r="K85" i="74"/>
  <c r="K1100" i="94" s="1"/>
  <c r="I83" i="74"/>
  <c r="I1095" i="94"/>
  <c r="H1098" i="94"/>
  <c r="H1103" i="94" s="1"/>
  <c r="H88" i="74"/>
  <c r="H95" i="74" s="1"/>
  <c r="H1110" i="94" s="1"/>
  <c r="I97" i="74"/>
  <c r="I1112" i="94" s="1"/>
  <c r="I98" i="74"/>
  <c r="I1113" i="94" s="1"/>
  <c r="I101" i="74"/>
  <c r="I1116" i="94" s="1"/>
  <c r="I96" i="74"/>
  <c r="I1111" i="94" s="1"/>
  <c r="I100" i="74"/>
  <c r="I1115" i="94" s="1"/>
  <c r="H1055" i="93"/>
  <c r="I105" i="74"/>
  <c r="I1120" i="94" s="1"/>
  <c r="G1054" i="93"/>
  <c r="H104" i="74"/>
  <c r="H1119" i="94" s="1"/>
  <c r="H1053" i="93"/>
  <c r="I103" i="74"/>
  <c r="I1118" i="94" s="1"/>
  <c r="H1052" i="93"/>
  <c r="I102" i="74"/>
  <c r="I1117" i="94" s="1"/>
  <c r="K94" i="74"/>
  <c r="K1044" i="93" s="1"/>
  <c r="K1045" i="93" s="1"/>
  <c r="J80" i="74"/>
  <c r="B107" i="74"/>
  <c r="K78" i="74"/>
  <c r="K1093" i="94" s="1"/>
  <c r="K79" i="74"/>
  <c r="K1094" i="94" s="1"/>
  <c r="K86" i="74"/>
  <c r="K1101" i="94" s="1"/>
  <c r="K84" i="74"/>
  <c r="K1099" i="94" s="1"/>
  <c r="B117" i="74" l="1"/>
  <c r="B115" i="74"/>
  <c r="B1130" i="94" s="1"/>
  <c r="J83" i="74"/>
  <c r="J1095" i="94"/>
  <c r="I1098" i="94"/>
  <c r="I1103" i="94" s="1"/>
  <c r="I88" i="74"/>
  <c r="I95" i="74" s="1"/>
  <c r="I1110" i="94" s="1"/>
  <c r="J97" i="74"/>
  <c r="J1112" i="94" s="1"/>
  <c r="J98" i="74"/>
  <c r="J1113" i="94" s="1"/>
  <c r="J101" i="74"/>
  <c r="J1116" i="94" s="1"/>
  <c r="J96" i="74"/>
  <c r="J1111" i="94" s="1"/>
  <c r="J100" i="74"/>
  <c r="J1115" i="94" s="1"/>
  <c r="I1055" i="93"/>
  <c r="J105" i="74"/>
  <c r="J1120" i="94" s="1"/>
  <c r="H1054" i="93"/>
  <c r="I104" i="74"/>
  <c r="I1119" i="94" s="1"/>
  <c r="I1053" i="93"/>
  <c r="J103" i="74"/>
  <c r="J1118" i="94" s="1"/>
  <c r="I1052" i="93"/>
  <c r="J102" i="74"/>
  <c r="J1117" i="94" s="1"/>
  <c r="B124" i="74"/>
  <c r="B1072" i="93" s="1"/>
  <c r="B1073" i="93" s="1"/>
  <c r="K80" i="74"/>
  <c r="C107" i="74"/>
  <c r="B116" i="74"/>
  <c r="B1131" i="94" s="1"/>
  <c r="B114" i="74"/>
  <c r="B1129" i="94" s="1"/>
  <c r="B108" i="74"/>
  <c r="B1123" i="94" s="1"/>
  <c r="B109" i="74"/>
  <c r="B1124" i="94" s="1"/>
  <c r="C117" i="74" l="1"/>
  <c r="C115" i="74"/>
  <c r="C1130" i="94" s="1"/>
  <c r="K83" i="74"/>
  <c r="K1095" i="94"/>
  <c r="J1098" i="94"/>
  <c r="J1103" i="94" s="1"/>
  <c r="J88" i="74"/>
  <c r="J95" i="74" s="1"/>
  <c r="J1110" i="94" s="1"/>
  <c r="K97" i="74"/>
  <c r="K1112" i="94" s="1"/>
  <c r="K98" i="74"/>
  <c r="K1113" i="94" s="1"/>
  <c r="K101" i="74"/>
  <c r="K1116" i="94" s="1"/>
  <c r="K100" i="74"/>
  <c r="K1115" i="94" s="1"/>
  <c r="K96" i="74"/>
  <c r="K1111" i="94" s="1"/>
  <c r="J1055" i="93"/>
  <c r="K105" i="74"/>
  <c r="K1120" i="94" s="1"/>
  <c r="I1054" i="93"/>
  <c r="J104" i="74"/>
  <c r="J1119" i="94" s="1"/>
  <c r="J1053" i="93"/>
  <c r="K103" i="74"/>
  <c r="K1118" i="94" s="1"/>
  <c r="J1052" i="93"/>
  <c r="K102" i="74"/>
  <c r="K1117" i="94" s="1"/>
  <c r="C124" i="74"/>
  <c r="C1072" i="93" s="1"/>
  <c r="C1073" i="93" s="1"/>
  <c r="D107" i="74"/>
  <c r="C116" i="74"/>
  <c r="C1131" i="94" s="1"/>
  <c r="C114" i="74"/>
  <c r="C1129" i="94" s="1"/>
  <c r="C109" i="74"/>
  <c r="C1124" i="94" s="1"/>
  <c r="C108" i="74"/>
  <c r="C1123" i="94" s="1"/>
  <c r="B110" i="74"/>
  <c r="D117" i="74" l="1"/>
  <c r="D115" i="74"/>
  <c r="D1130" i="94" s="1"/>
  <c r="B113" i="74"/>
  <c r="B1125" i="94"/>
  <c r="K1098" i="94"/>
  <c r="K1103" i="94" s="1"/>
  <c r="K88" i="74"/>
  <c r="K95" i="74" s="1"/>
  <c r="K1110" i="94" s="1"/>
  <c r="B127" i="74"/>
  <c r="B1142" i="94" s="1"/>
  <c r="B128" i="74"/>
  <c r="B1143" i="94" s="1"/>
  <c r="B131" i="74"/>
  <c r="B1146" i="94" s="1"/>
  <c r="B126" i="74"/>
  <c r="B1141" i="94" s="1"/>
  <c r="B130" i="74"/>
  <c r="B1145" i="94" s="1"/>
  <c r="K1055" i="93"/>
  <c r="B135" i="74"/>
  <c r="B1150" i="94" s="1"/>
  <c r="J1054" i="93"/>
  <c r="K104" i="74"/>
  <c r="K1119" i="94" s="1"/>
  <c r="K1053" i="93"/>
  <c r="B133" i="74"/>
  <c r="B1148" i="94" s="1"/>
  <c r="K1052" i="93"/>
  <c r="B132" i="74"/>
  <c r="B1147" i="94" s="1"/>
  <c r="D124" i="74"/>
  <c r="D1072" i="93" s="1"/>
  <c r="D1073" i="93" s="1"/>
  <c r="C110" i="74"/>
  <c r="D114" i="74"/>
  <c r="D1129" i="94" s="1"/>
  <c r="D108" i="74"/>
  <c r="D1123" i="94" s="1"/>
  <c r="E107" i="74"/>
  <c r="D109" i="74"/>
  <c r="D1124" i="94" s="1"/>
  <c r="D116" i="74"/>
  <c r="D1131" i="94" s="1"/>
  <c r="E117" i="74" l="1"/>
  <c r="E115" i="74"/>
  <c r="E1130" i="94" s="1"/>
  <c r="C113" i="74"/>
  <c r="C1125" i="94"/>
  <c r="B1128" i="94"/>
  <c r="B1133" i="94" s="1"/>
  <c r="B118" i="74"/>
  <c r="B125" i="74" s="1"/>
  <c r="B1140" i="94" s="1"/>
  <c r="C127" i="74"/>
  <c r="C1142" i="94" s="1"/>
  <c r="C128" i="74"/>
  <c r="C1143" i="94" s="1"/>
  <c r="C131" i="74"/>
  <c r="C1146" i="94" s="1"/>
  <c r="C126" i="74"/>
  <c r="C1141" i="94" s="1"/>
  <c r="C130" i="74"/>
  <c r="C1145" i="94" s="1"/>
  <c r="B1083" i="93"/>
  <c r="C135" i="74"/>
  <c r="C1150" i="94" s="1"/>
  <c r="K1054" i="93"/>
  <c r="B134" i="74"/>
  <c r="B1149" i="94" s="1"/>
  <c r="B1081" i="93"/>
  <c r="C133" i="74"/>
  <c r="C1148" i="94" s="1"/>
  <c r="B1080" i="93"/>
  <c r="C132" i="74"/>
  <c r="C1147" i="94" s="1"/>
  <c r="E124" i="74"/>
  <c r="E1072" i="93" s="1"/>
  <c r="E1073" i="93" s="1"/>
  <c r="D110" i="74"/>
  <c r="F107" i="74"/>
  <c r="E108" i="74"/>
  <c r="E1123" i="94" s="1"/>
  <c r="E116" i="74"/>
  <c r="E1131" i="94" s="1"/>
  <c r="E109" i="74"/>
  <c r="E1124" i="94" s="1"/>
  <c r="E114" i="74"/>
  <c r="E1129" i="94" s="1"/>
  <c r="F117" i="74" l="1"/>
  <c r="F115" i="74"/>
  <c r="F1130" i="94" s="1"/>
  <c r="D113" i="74"/>
  <c r="D1125" i="94"/>
  <c r="C1128" i="94"/>
  <c r="C1133" i="94" s="1"/>
  <c r="C118" i="74"/>
  <c r="C125" i="74" s="1"/>
  <c r="C1140" i="94" s="1"/>
  <c r="D127" i="74"/>
  <c r="D1142" i="94" s="1"/>
  <c r="D128" i="74"/>
  <c r="D1143" i="94" s="1"/>
  <c r="D131" i="74"/>
  <c r="D1146" i="94" s="1"/>
  <c r="D130" i="74"/>
  <c r="D1145" i="94" s="1"/>
  <c r="D126" i="74"/>
  <c r="D1141" i="94" s="1"/>
  <c r="C1083" i="93"/>
  <c r="D135" i="74"/>
  <c r="D1150" i="94" s="1"/>
  <c r="B1082" i="93"/>
  <c r="C134" i="74"/>
  <c r="C1149" i="94" s="1"/>
  <c r="C1081" i="93"/>
  <c r="D133" i="74"/>
  <c r="D1148" i="94" s="1"/>
  <c r="C1080" i="93"/>
  <c r="D132" i="74"/>
  <c r="D1147" i="94" s="1"/>
  <c r="F124" i="74"/>
  <c r="F1072" i="93" s="1"/>
  <c r="F1073" i="93" s="1"/>
  <c r="E110" i="74"/>
  <c r="F116" i="74"/>
  <c r="F1131" i="94" s="1"/>
  <c r="F109" i="74"/>
  <c r="F1124" i="94" s="1"/>
  <c r="F108" i="74"/>
  <c r="F1123" i="94" s="1"/>
  <c r="F114" i="74"/>
  <c r="F1129" i="94" s="1"/>
  <c r="E113" i="74" l="1"/>
  <c r="E1125" i="94"/>
  <c r="D1128" i="94"/>
  <c r="D1133" i="94" s="1"/>
  <c r="D118" i="74"/>
  <c r="D125" i="74" s="1"/>
  <c r="D1140" i="94" s="1"/>
  <c r="E127" i="74"/>
  <c r="E1142" i="94" s="1"/>
  <c r="E128" i="74"/>
  <c r="E1143" i="94" s="1"/>
  <c r="E131" i="74"/>
  <c r="E1146" i="94" s="1"/>
  <c r="E126" i="74"/>
  <c r="E1141" i="94" s="1"/>
  <c r="E130" i="74"/>
  <c r="E1145" i="94" s="1"/>
  <c r="D1083" i="93"/>
  <c r="E135" i="74"/>
  <c r="E1150" i="94" s="1"/>
  <c r="C1082" i="93"/>
  <c r="D134" i="74"/>
  <c r="D1149" i="94" s="1"/>
  <c r="D1081" i="93"/>
  <c r="E133" i="74"/>
  <c r="E1148" i="94" s="1"/>
  <c r="D1080" i="93"/>
  <c r="E132" i="74"/>
  <c r="E1147" i="94" s="1"/>
  <c r="F110" i="74"/>
  <c r="F113" i="74" l="1"/>
  <c r="F1125" i="94"/>
  <c r="E1128" i="94"/>
  <c r="E1133" i="94" s="1"/>
  <c r="E118" i="74"/>
  <c r="E125" i="74" s="1"/>
  <c r="E1140" i="94" s="1"/>
  <c r="F127" i="74"/>
  <c r="F1142" i="94" s="1"/>
  <c r="F128" i="74"/>
  <c r="F1143" i="94" s="1"/>
  <c r="F131" i="74"/>
  <c r="F1146" i="94" s="1"/>
  <c r="F130" i="74"/>
  <c r="F1145" i="94" s="1"/>
  <c r="F126" i="74"/>
  <c r="F1141"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3" i="93" l="1"/>
  <c r="F1150" i="94"/>
  <c r="F1080" i="93"/>
  <c r="F1147" i="94"/>
  <c r="F1081" i="93"/>
  <c r="F1148" i="94"/>
  <c r="F1128" i="94"/>
  <c r="F1133" i="94" s="1"/>
  <c r="F118" i="74"/>
  <c r="F125" i="74" s="1"/>
  <c r="F1140" i="94" s="1"/>
  <c r="E1082" i="93"/>
  <c r="F134" i="74"/>
  <c r="A58" i="26"/>
  <c r="G58" i="26"/>
  <c r="A1" i="25"/>
  <c r="A50" i="25"/>
  <c r="A1" i="26"/>
  <c r="F1082" i="93" l="1"/>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s="1"/>
  <c r="I423" i="93" s="1"/>
  <c r="D43" i="68"/>
  <c r="I58" i="68"/>
  <c r="P43" i="68"/>
  <c r="D405" i="93" l="1"/>
  <c r="D420" i="94"/>
  <c r="B63" i="74"/>
  <c r="F1078" i="94"/>
  <c r="E1078" i="94"/>
  <c r="D1078" i="94"/>
  <c r="C1078" i="94"/>
  <c r="B1078" i="94"/>
  <c r="P420" i="94"/>
  <c r="J164" i="78"/>
  <c r="J165" i="78" s="1"/>
  <c r="J167" i="78" s="1"/>
  <c r="J609" i="94"/>
  <c r="J610" i="94" s="1"/>
  <c r="J612" i="94" s="1"/>
  <c r="J614" i="94" s="1"/>
  <c r="J616" i="94" s="1"/>
  <c r="C63" i="74"/>
  <c r="C64" i="74" s="1"/>
  <c r="C31" i="74"/>
  <c r="E63" i="74"/>
  <c r="E64" i="74" s="1"/>
  <c r="F31" i="74"/>
  <c r="F1046" i="94" s="1"/>
  <c r="E31" i="74"/>
  <c r="G31" i="74"/>
  <c r="B1015" i="93"/>
  <c r="B1016" i="93" s="1"/>
  <c r="B64" i="74"/>
  <c r="F34" i="86"/>
  <c r="K31" i="74"/>
  <c r="K1046" i="94" s="1"/>
  <c r="J31" i="74"/>
  <c r="J1046" i="94" s="1"/>
  <c r="I60" i="68"/>
  <c r="P45" i="68" s="1"/>
  <c r="P422" i="94" s="1"/>
  <c r="F63" i="74"/>
  <c r="J600" i="93"/>
  <c r="J601" i="93" s="1"/>
  <c r="J603" i="93" s="1"/>
  <c r="J605" i="93" s="1"/>
  <c r="J607" i="93" s="1"/>
  <c r="H31" i="74"/>
  <c r="H1046" i="94" s="1"/>
  <c r="D63" i="74"/>
  <c r="I31" i="74"/>
  <c r="I1046" i="94" s="1"/>
  <c r="N405" i="93"/>
  <c r="D31" i="74"/>
  <c r="D1046" i="94" s="1"/>
  <c r="J620" i="94" l="1"/>
  <c r="E544" i="94" s="1"/>
  <c r="J544" i="94" s="1"/>
  <c r="M618" i="94"/>
  <c r="B15" i="82"/>
  <c r="J169" i="78"/>
  <c r="J171" i="78" s="1"/>
  <c r="M609" i="93"/>
  <c r="J611" i="93"/>
  <c r="E535" i="93" s="1"/>
  <c r="J535" i="93" s="1"/>
  <c r="B43" i="74"/>
  <c r="C43" i="74" s="1"/>
  <c r="B1046" i="94"/>
  <c r="G32" i="74"/>
  <c r="H9" i="86" s="1"/>
  <c r="G1046" i="94"/>
  <c r="F14" i="86"/>
  <c r="E1046" i="94"/>
  <c r="C985" i="93"/>
  <c r="C986" i="93" s="1"/>
  <c r="C1046" i="94"/>
  <c r="F29" i="86"/>
  <c r="F37" i="86" s="1"/>
  <c r="F38" i="86" s="1"/>
  <c r="F40" i="86" s="1"/>
  <c r="F44" i="86" s="1"/>
  <c r="K16" i="86" s="1"/>
  <c r="B1079" i="94"/>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M173" i="78" l="1"/>
  <c r="J175" i="78"/>
  <c r="G1047" i="94"/>
  <c r="I37" i="86"/>
  <c r="I38" i="86" s="1"/>
  <c r="I40" i="86" s="1"/>
  <c r="I44" i="86" s="1"/>
  <c r="K19" i="86" s="1"/>
  <c r="G37" i="86"/>
  <c r="G38" i="86" s="1"/>
  <c r="G40" i="86" s="1"/>
  <c r="G44" i="86" s="1"/>
  <c r="K17" i="86" s="1"/>
  <c r="C997" i="93"/>
  <c r="C1058" i="94"/>
  <c r="B997" i="93"/>
  <c r="B1058" i="94"/>
  <c r="H17" i="86"/>
  <c r="H18" i="86" s="1"/>
  <c r="H20" i="86" s="1"/>
  <c r="H24" i="86" s="1"/>
  <c r="K11" i="86" s="1"/>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L426" i="94" l="1"/>
  <c r="N426" i="94" s="1"/>
  <c r="L412" i="93"/>
  <c r="N412" i="93" s="1"/>
  <c r="L427" i="94"/>
  <c r="N427" i="94" s="1"/>
  <c r="L413" i="93"/>
  <c r="N413" i="93" s="1"/>
  <c r="E99" i="78"/>
  <c r="J99" i="78" s="1"/>
  <c r="L50" i="68"/>
  <c r="N50" i="68" s="1"/>
  <c r="C21" i="86"/>
  <c r="L49" i="68"/>
  <c r="I9" i="66"/>
  <c r="I32" i="94" s="1"/>
  <c r="I20" i="93"/>
  <c r="M61" i="85"/>
  <c r="P61" i="85" s="1"/>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C22" i="86" l="1"/>
  <c r="C42" i="86" s="1"/>
  <c r="D42" i="86" s="1"/>
  <c r="E42" i="86" s="1"/>
  <c r="C41" i="86"/>
  <c r="D41" i="86" s="1"/>
  <c r="E41" i="86" s="1"/>
  <c r="D21" i="86"/>
  <c r="B14" i="82"/>
  <c r="N49" i="68"/>
  <c r="E997" i="93"/>
  <c r="F43" i="74"/>
  <c r="F1058" i="94" s="1"/>
  <c r="I408" i="93"/>
  <c r="F85" i="92"/>
  <c r="F89" i="92" s="1"/>
  <c r="F105" i="92" s="1"/>
  <c r="D22" i="86" l="1"/>
  <c r="E21" i="86"/>
  <c r="B20" i="82"/>
  <c r="B21" i="82" s="1"/>
  <c r="G20" i="82"/>
  <c r="G21" i="82" s="1"/>
  <c r="F997" i="93"/>
  <c r="G43" i="74"/>
  <c r="G1058" i="94" s="1"/>
  <c r="F21" i="86" l="1"/>
  <c r="E22" i="86"/>
  <c r="G997" i="93"/>
  <c r="H43" i="74"/>
  <c r="H1058" i="94" s="1"/>
  <c r="G21" i="86" l="1"/>
  <c r="F22" i="86"/>
  <c r="H997" i="93"/>
  <c r="I43" i="74"/>
  <c r="I1058" i="94" s="1"/>
  <c r="G22" i="86" l="1"/>
  <c r="H21" i="86"/>
  <c r="I997" i="93"/>
  <c r="J43" i="74"/>
  <c r="J1058" i="94" s="1"/>
  <c r="I21" i="86" l="1"/>
  <c r="I22" i="86" s="1"/>
  <c r="H22" i="86"/>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 r="V570" i="94"/>
  <c r="V571" i="94" s="1"/>
  <c r="V577" i="94" s="1"/>
  <c r="V126" i="78"/>
  <c r="V132" i="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<sst xmlns="http://schemas.openxmlformats.org/spreadsheetml/2006/main" count="17158" uniqueCount="5374">
  <si>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</si>
  <si>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</si>
  <si>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</si>
  <si>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</si>
  <si>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</si>
  <si>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</si>
  <si>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</si>
  <si>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</si>
  <si>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</si>
  <si>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</si>
  <si>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</si>
  <si>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</si>
  <si>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</si>
  <si>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</si>
  <si>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</si>
  <si>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</si>
  <si>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</si>
  <si>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</si>
  <si>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</si>
  <si>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</si>
  <si>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</si>
  <si>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</si>
  <si>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</si>
  <si>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</si>
  <si>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</si>
  <si>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</si>
  <si>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</si>
  <si>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</si>
  <si>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</si>
  <si>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</si>
  <si>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</si>
  <si>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</si>
  <si>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</si>
  <si>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</si>
  <si>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</si>
  <si>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</si>
  <si>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</si>
  <si>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</si>
  <si>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</si>
  <si>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</si>
  <si>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</si>
  <si>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</si>
  <si>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</si>
  <si>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</si>
  <si>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</si>
  <si>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</si>
  <si>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</si>
  <si>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</si>
  <si>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</si>
  <si>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</si>
  <si>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</si>
  <si>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</si>
  <si>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</si>
  <si>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</si>
  <si>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</si>
  <si>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</si>
  <si>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</si>
  <si>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</si>
  <si>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</si>
  <si>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</si>
  <si>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</si>
  <si>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</si>
  <si>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</si>
  <si>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</si>
  <si>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</si>
  <si>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</si>
  <si>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</si>
  <si>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</si>
  <si>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</si>
  <si>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</si>
  <si>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</si>
  <si>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</si>
  <si>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</si>
  <si>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</si>
  <si>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</si>
  <si>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</si>
  <si>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</si>
  <si>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</si>
  <si>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</si>
  <si>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</si>
  <si>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</si>
  <si>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</si>
  <si>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</si>
  <si>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</si>
  <si>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</si>
  <si>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</si>
  <si>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</si>
  <si>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</si>
  <si>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</si>
  <si>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</si>
  <si>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</si>
  <si>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</si>
  <si>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</si>
  <si>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</si>
  <si>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</si>
  <si>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</si>
  <si>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</si>
  <si>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</si>
  <si>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</si>
  <si>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</si>
  <si>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</si>
  <si>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</si>
  <si>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</si>
  <si>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</si>
  <si>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</si>
  <si>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</si>
  <si>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</si>
  <si>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</si>
  <si>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</si>
  <si>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</si>
  <si>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</si>
  <si>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</si>
  <si>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</si>
  <si>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</si>
  <si>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</si>
  <si>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</si>
  <si>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</si>
  <si>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</si>
  <si>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</si>
  <si>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</si>
  <si>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</si>
  <si>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</si>
  <si>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</si>
  <si>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</si>
  <si>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</si>
  <si>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</si>
  <si>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</si>
  <si>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</si>
  <si>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</si>
  <si>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</si>
  <si>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</si>
  <si>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</si>
  <si>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</si>
  <si>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</si>
  <si>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</si>
  <si>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</si>
  <si>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</si>
  <si>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</si>
  <si>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</si>
  <si>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</si>
  <si>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</si>
  <si>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</si>
  <si>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</si>
  <si>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</si>
  <si>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</si>
  <si>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</si>
  <si>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</si>
  <si>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</si>
  <si>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</si>
  <si>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</si>
  <si>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</si>
  <si>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</si>
  <si>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</si>
  <si>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</si>
  <si>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</si>
  <si>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</si>
  <si>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</si>
  <si>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</si>
  <si>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</si>
  <si>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</si>
  <si>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</si>
  <si>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</si>
  <si>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</si>
  <si>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</si>
  <si>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</si>
  <si>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</si>
  <si>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</si>
  <si>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</si>
  <si>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</si>
  <si>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</si>
  <si>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</si>
  <si>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</si>
  <si>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</si>
  <si>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</si>
  <si>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</si>
  <si>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</si>
  <si>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</si>
  <si>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</si>
  <si>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</si>
  <si>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</si>
  <si>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</si>
  <si>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</si>
  <si>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</si>
  <si>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</si>
  <si>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</si>
  <si>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</si>
  <si>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</si>
  <si>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</si>
  <si>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</si>
  <si>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</si>
  <si>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</si>
  <si>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</si>
  <si>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</si>
  <si>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</si>
  <si>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</si>
  <si>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</si>
  <si>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</si>
  <si>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</si>
  <si>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</si>
  <si>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</si>
  <si>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</si>
  <si>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</si>
  <si>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</si>
  <si>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</si>
  <si>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</si>
  <si>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</si>
  <si>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</si>
  <si>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</si>
  <si>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</si>
  <si>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</si>
  <si>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</si>
  <si>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</si>
  <si>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</si>
  <si>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</si>
  <si>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</si>
  <si>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</si>
  <si>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</si>
  <si>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</si>
  <si>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</si>
  <si>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</si>
  <si>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</si>
  <si>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</si>
  <si>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</si>
  <si>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</si>
  <si>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</si>
  <si>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</si>
  <si>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</si>
  <si>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</si>
  <si>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</si>
  <si>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</si>
  <si>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</si>
  <si>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</si>
  <si>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</si>
  <si>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</si>
  <si>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</si>
  <si>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</si>
  <si>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</si>
  <si>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</si>
  <si>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</si>
  <si>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</si>
  <si>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</si>
  <si>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</si>
  <si>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</si>
  <si>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</si>
  <si>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</si>
  <si>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</si>
  <si>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</si>
  <si>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</si>
  <si>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</si>
  <si>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</si>
  <si>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</si>
  <si>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</si>
  <si>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</si>
  <si>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</si>
  <si>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</si>
  <si>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</si>
  <si>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</si>
  <si>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</si>
  <si>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</si>
  <si>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</si>
  <si>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</si>
  <si>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</si>
  <si>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</si>
  <si>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</si>
  <si>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</si>
  <si>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</si>
  <si>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</si>
  <si>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</si>
  <si>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</si>
  <si>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</si>
  <si>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</si>
  <si>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</si>
  <si>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</si>
  <si>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</si>
  <si>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</si>
  <si>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</si>
  <si>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</si>
  <si>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</si>
  <si>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</si>
  <si>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</si>
  <si>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</si>
  <si>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</si>
  <si>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</si>
  <si>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</si>
  <si>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</si>
  <si>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</si>
  <si>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</si>
  <si>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</si>
  <si>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</si>
  <si>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</si>
  <si>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</si>
  <si>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</si>
  <si>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</si>
  <si>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</si>
  <si>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</si>
  <si>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</si>
  <si>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</si>
  <si>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</si>
  <si>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</si>
  <si>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</si>
  <si>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</si>
  <si>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</si>
  <si>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</si>
  <si>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</si>
  <si>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</si>
  <si>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</si>
  <si>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</si>
  <si>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</si>
  <si>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</si>
  <si>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</si>
  <si>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</si>
  <si>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</si>
  <si>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</si>
  <si>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</si>
  <si>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</si>
  <si>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</si>
  <si>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</si>
  <si>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</si>
  <si>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</si>
  <si>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</si>
  <si>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</si>
  <si>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</si>
  <si>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</si>
  <si>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</si>
  <si>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</si>
  <si>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</si>
  <si>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</si>
  <si>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</si>
  <si>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</si>
  <si>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</si>
  <si>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</si>
  <si>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</si>
  <si>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</si>
  <si>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</si>
  <si>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</si>
  <si>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</si>
  <si>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</si>
  <si>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</si>
  <si>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</si>
  <si>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</si>
  <si>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</si>
  <si>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</si>
  <si>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</si>
  <si>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</si>
  <si>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</si>
  <si>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</si>
  <si>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</si>
  <si>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</si>
  <si>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</si>
  <si>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</si>
  <si>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</si>
  <si>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</si>
  <si>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</si>
  <si>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</si>
  <si>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</si>
  <si>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</si>
  <si>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</si>
  <si>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</si>
  <si>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</si>
  <si>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</si>
  <si>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</si>
  <si>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</si>
  <si>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</si>
  <si>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</si>
  <si>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</si>
  <si>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</si>
  <si>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</si>
  <si>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</si>
  <si>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</si>
  <si>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</si>
  <si>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</si>
  <si>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</si>
  <si>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</si>
  <si>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</si>
  <si>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</si>
  <si>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</si>
  <si>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</si>
  <si>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</si>
  <si>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</si>
  <si>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</si>
  <si>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</si>
  <si>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</si>
  <si>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</si>
  <si>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</si>
  <si>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</si>
  <si>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</si>
  <si>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</si>
  <si>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</si>
  <si>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</si>
  <si>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</si>
  <si>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</si>
  <si>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</si>
  <si>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</si>
  <si>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</si>
  <si>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</si>
  <si>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</si>
  <si>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</si>
  <si>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</si>
  <si>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</si>
  <si>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</si>
  <si>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</si>
  <si>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</si>
  <si>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</si>
  <si>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</si>
  <si>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</si>
  <si>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</si>
  <si>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</si>
  <si>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</si>
  <si>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</si>
  <si>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</si>
  <si>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</si>
  <si>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</si>
  <si>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</si>
  <si>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</si>
  <si>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</si>
  <si>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</si>
  <si>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</si>
  <si>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</si>
  <si>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</si>
  <si>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</si>
  <si>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</si>
  <si>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</si>
  <si>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</si>
  <si>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</si>
  <si>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</si>
  <si>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</si>
  <si>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</si>
  <si>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</si>
  <si>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</si>
  <si>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</si>
  <si>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</si>
  <si>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</si>
  <si>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</si>
  <si>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</si>
  <si>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</si>
  <si>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</si>
  <si>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</si>
  <si>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</si>
  <si>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</si>
  <si>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</si>
  <si>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</si>
  <si>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</si>
  <si>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</si>
  <si>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</si>
  <si>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</si>
  <si>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</si>
  <si>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</si>
  <si>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</si>
  <si>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</si>
  <si>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</si>
  <si>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</si>
  <si>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</si>
  <si>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</si>
  <si>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</si>
  <si>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</si>
  <si>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</si>
  <si>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</si>
  <si>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</si>
  <si>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</si>
  <si>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</si>
  <si>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</si>
  <si>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</si>
  <si>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</si>
  <si>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</si>
  <si>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</si>
  <si>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</si>
  <si>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</si>
  <si>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</si>
  <si>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</si>
  <si>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</si>
  <si>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</si>
  <si>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</si>
  <si>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</si>
  <si>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</si>
  <si>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</si>
  <si>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</si>
  <si>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</si>
  <si>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</si>
  <si>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</si>
  <si>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</si>
  <si>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</si>
  <si>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</si>
  <si>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</si>
  <si>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</si>
  <si>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</si>
  <si>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</si>
  <si>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</si>
  <si>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</si>
  <si>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</si>
  <si>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</si>
  <si>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</si>
  <si>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</si>
  <si>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</si>
  <si>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</si>
  <si>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</si>
  <si>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</si>
  <si>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</si>
  <si>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</si>
  <si>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</si>
  <si>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</si>
  <si>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</si>
  <si>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</si>
  <si>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</si>
  <si>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</si>
  <si>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</si>
  <si>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</si>
  <si>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</si>
  <si>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</si>
  <si>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</si>
  <si>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</si>
  <si>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</si>
  <si>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</si>
  <si>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</si>
  <si>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</si>
  <si>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</si>
  <si>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</si>
  <si>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</si>
  <si>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</si>
  <si>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</si>
  <si>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</si>
  <si>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</si>
  <si>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</si>
  <si>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</si>
  <si>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</si>
  <si>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</si>
  <si>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</si>
  <si>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</si>
  <si>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</si>
  <si>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</si>
  <si>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</si>
  <si>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</si>
  <si>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</si>
  <si>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</si>
  <si>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</si>
  <si>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</si>
  <si>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</si>
  <si>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</si>
  <si>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</si>
  <si>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</si>
  <si>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</si>
  <si>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</si>
  <si>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</si>
  <si>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</si>
  <si>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</si>
  <si>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</si>
  <si>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</si>
  <si>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</si>
  <si>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</si>
  <si>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</si>
  <si>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</si>
  <si>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</si>
  <si>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</si>
  <si>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</si>
  <si>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</si>
  <si>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</si>
  <si>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</si>
  <si>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</si>
  <si>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</si>
  <si>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</si>
  <si>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</si>
  <si>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</si>
  <si>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</si>
  <si>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</si>
  <si>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</si>
  <si>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</si>
  <si>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</si>
  <si>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</si>
  <si>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</si>
  <si>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</si>
  <si>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</si>
  <si>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</si>
  <si>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</si>
  <si>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</si>
  <si>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</si>
  <si>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</si>
  <si>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</si>
  <si>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</si>
  <si>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</si>
  <si>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</si>
  <si>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</si>
  <si>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</si>
  <si>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</si>
  <si>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</si>
  <si>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</si>
  <si>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</si>
  <si>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</si>
  <si>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</si>
  <si>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</si>
  <si>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</si>
  <si>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</si>
  <si>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</si>
  <si>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</si>
  <si>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</si>
  <si>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</si>
  <si>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</si>
  <si>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</si>
  <si>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</si>
  <si>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</si>
  <si>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</si>
  <si>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</si>
  <si>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</si>
  <si>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</si>
  <si>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</si>
  <si>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</si>
  <si>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</si>
  <si>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</si>
  <si>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</si>
  <si>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</si>
  <si>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</si>
  <si>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</si>
  <si>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</si>
  <si>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</si>
  <si>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</si>
  <si>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</si>
  <si>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</si>
  <si>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</si>
  <si>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</si>
  <si>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</si>
  <si>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</si>
  <si>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</si>
  <si>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</si>
  <si>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</si>
  <si>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</si>
  <si>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</si>
  <si>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</si>
  <si>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</si>
  <si>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</si>
  <si>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</si>
  <si>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</si>
  <si>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</si>
  <si>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</si>
  <si>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</si>
  <si>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</si>
  <si>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</si>
  <si>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</si>
  <si>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</si>
  <si>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</si>
  <si>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</si>
  <si>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</si>
  <si>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</si>
  <si>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</si>
  <si>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</si>
  <si>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</si>
  <si>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</si>
  <si>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</si>
  <si>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</si>
  <si>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</si>
  <si>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</si>
  <si>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</si>
  <si>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</si>
  <si>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</si>
  <si>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</si>
  <si>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</si>
  <si>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</si>
  <si>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</si>
  <si>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</si>
  <si>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</si>
  <si>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</si>
  <si>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</si>
  <si>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</si>
  <si>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</si>
  <si>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</si>
  <si>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</si>
  <si>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</si>
  <si>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</si>
  <si>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</si>
  <si>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</si>
  <si>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</si>
  <si>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</si>
  <si>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</si>
  <si>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</si>
  <si>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</si>
  <si>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</si>
  <si>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</si>
  <si>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</si>
  <si>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</si>
  <si>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</si>
  <si>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</si>
  <si>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</si>
  <si>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</si>
  <si>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</si>
  <si>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</si>
  <si>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</si>
  <si>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</si>
  <si>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</si>
  <si>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</si>
  <si>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</si>
  <si>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</si>
  <si>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</si>
  <si>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</si>
  <si>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</si>
  <si>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</si>
  <si>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</si>
  <si>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</si>
  <si>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</si>
  <si>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</si>
  <si>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</si>
  <si>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</si>
  <si>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</si>
  <si>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</si>
  <si>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</si>
  <si>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</si>
  <si>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</si>
  <si>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</si>
  <si>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</si>
  <si>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</si>
  <si>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</si>
  <si>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</si>
  <si>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</si>
  <si>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</si>
  <si>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</si>
  <si>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</si>
  <si>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</si>
  <si>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</si>
  <si>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</si>
  <si>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</si>
  <si>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</si>
  <si>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</si>
  <si>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</si>
  <si>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</si>
  <si>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</si>
  <si>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</si>
  <si>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</si>
  <si>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</si>
  <si>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</si>
  <si>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</si>
  <si>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</si>
  <si>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</si>
  <si>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</si>
  <si>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</si>
  <si>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</si>
  <si>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</si>
  <si>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</si>
  <si>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</si>
  <si>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</si>
  <si>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</si>
  <si>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</si>
  <si>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</si>
  <si>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</si>
  <si>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</si>
  <si>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</si>
  <si>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</si>
  <si>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</si>
  <si>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</si>
  <si>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</si>
  <si>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</si>
  <si>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</si>
  <si>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</si>
  <si>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</si>
  <si>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</si>
  <si>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</si>
  <si>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</si>
  <si>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</si>
  <si>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</si>
  <si>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</si>
  <si>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</si>
  <si>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</si>
  <si>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</si>
  <si>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</si>
  <si>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</si>
  <si>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</si>
  <si>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</si>
  <si>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</si>
  <si>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</si>
  <si>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</si>
  <si>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</si>
  <si>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</si>
  <si>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</si>
  <si>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</si>
  <si>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</si>
  <si>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</si>
  <si>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</si>
  <si>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</si>
  <si>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</si>
  <si>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</si>
  <si>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</si>
  <si>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</si>
  <si>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</si>
  <si>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</si>
  <si>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</si>
  <si>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</si>
  <si>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</si>
  <si>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</si>
  <si>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</si>
  <si>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</si>
  <si>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</si>
  <si>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</si>
  <si>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</si>
  <si>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</si>
  <si>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</si>
  <si>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</si>
  <si>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</si>
  <si>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</si>
  <si>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</si>
  <si>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</si>
  <si>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</si>
  <si>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</si>
  <si>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</si>
  <si>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</si>
  <si>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</si>
  <si>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</si>
  <si>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</si>
  <si>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</si>
  <si>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</si>
  <si>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</si>
  <si>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</si>
  <si>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</si>
  <si>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</si>
  <si>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</si>
  <si>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</si>
  <si>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</si>
  <si>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</si>
  <si>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</si>
  <si>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</si>
  <si>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</si>
  <si>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</si>
  <si>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</si>
  <si>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</si>
  <si>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</si>
  <si>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</si>
  <si>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</si>
  <si>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</si>
  <si>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</si>
  <si>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</si>
  <si>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</si>
  <si>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</si>
  <si>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</si>
  <si>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</si>
  <si>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</si>
  <si>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</si>
  <si>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</si>
  <si>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</si>
  <si>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</si>
  <si>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</si>
  <si>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</si>
  <si>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</si>
  <si>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</si>
  <si>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</si>
  <si>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</si>
  <si>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</si>
  <si>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</si>
  <si>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</si>
  <si>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</si>
  <si>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</si>
  <si>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</si>
  <si>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</si>
  <si>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</si>
  <si>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</si>
  <si>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</si>
  <si>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</si>
  <si>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</si>
  <si>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</si>
  <si>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</si>
  <si>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</si>
  <si>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</si>
  <si>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</si>
  <si>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</si>
  <si>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</si>
  <si>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</si>
  <si>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</si>
  <si>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</si>
  <si>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</si>
  <si>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</si>
  <si>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</si>
  <si>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</si>
  <si>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</si>
  <si>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</si>
  <si>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</si>
  <si>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</si>
  <si>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</si>
  <si>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</si>
  <si>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</si>
  <si>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</si>
  <si>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</si>
  <si>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</si>
  <si>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</si>
  <si>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</si>
  <si>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</si>
  <si>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</si>
  <si>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</si>
  <si>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</si>
  <si>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</si>
  <si>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</si>
  <si>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</si>
  <si>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</si>
  <si>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</si>
  <si>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</si>
  <si>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</si>
  <si>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</si>
  <si>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</si>
  <si>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</si>
  <si>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</si>
  <si>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</si>
  <si>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</si>
  <si>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</si>
  <si>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</si>
  <si>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</si>
  <si>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</si>
  <si>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</si>
  <si>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</si>
  <si>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</si>
  <si>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</si>
  <si>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</si>
  <si>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</si>
  <si>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</si>
  <si>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</si>
  <si>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</si>
  <si>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</si>
  <si>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</si>
  <si>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</si>
  <si>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</si>
  <si>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</si>
  <si>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</si>
  <si>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</si>
  <si>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</si>
  <si>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</si>
  <si>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</si>
  <si>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</si>
  <si>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</si>
  <si>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</si>
  <si>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</si>
  <si>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</si>
  <si>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</si>
  <si>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</si>
  <si>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</si>
  <si>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</si>
  <si>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</si>
  <si>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</si>
  <si>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</si>
  <si>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</si>
  <si>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</si>
  <si>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</si>
  <si>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</si>
  <si>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</si>
  <si>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</si>
  <si>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</si>
  <si>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</si>
  <si>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</si>
  <si>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</si>
  <si>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</si>
  <si>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</si>
  <si>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</si>
  <si>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</si>
  <si>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</si>
  <si>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</si>
  <si>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</si>
  <si>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</si>
  <si>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</si>
  <si>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</si>
  <si>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</si>
  <si>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</si>
  <si>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</si>
  <si>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</si>
  <si>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</si>
  <si>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</si>
  <si>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</si>
  <si>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</si>
  <si>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</si>
  <si>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</si>
  <si>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</si>
  <si>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</si>
  <si>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</si>
  <si>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</si>
  <si>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</si>
  <si>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</si>
  <si>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</si>
  <si>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</si>
  <si>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</si>
  <si>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</si>
  <si>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</si>
  <si>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</si>
  <si>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</si>
  <si>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</si>
  <si>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</si>
  <si>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</si>
  <si>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</si>
  <si>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</si>
  <si>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</si>
  <si>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</si>
  <si>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</si>
  <si>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</si>
  <si>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</si>
  <si>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</si>
  <si>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</si>
  <si>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</si>
  <si>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</si>
  <si>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</si>
  <si>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</si>
  <si>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</si>
  <si>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</si>
  <si>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</si>
  <si>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</si>
  <si>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</si>
  <si>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</si>
  <si>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</si>
  <si>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</si>
  <si>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</si>
  <si>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</si>
  <si>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</si>
  <si>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</si>
  <si>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</si>
  <si>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</si>
  <si>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</si>
  <si>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</si>
  <si>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</si>
  <si>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</si>
  <si>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</si>
  <si>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</si>
  <si>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</si>
  <si>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</si>
  <si>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</si>
  <si>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</si>
  <si>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</si>
  <si>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</si>
  <si>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</si>
  <si>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</si>
  <si>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</si>
  <si>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</si>
  <si>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</si>
  <si>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</si>
  <si>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</si>
  <si>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</si>
  <si>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</si>
  <si>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</si>
  <si>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</si>
  <si>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</si>
  <si>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</si>
  <si>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</si>
  <si>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</si>
  <si>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</si>
  <si>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</si>
  <si>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</si>
  <si>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</si>
  <si>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</si>
  <si>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</si>
  <si>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</si>
  <si>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</si>
  <si>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</si>
  <si>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</si>
  <si>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</si>
  <si>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</si>
  <si>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</si>
  <si>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</si>
  <si>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</si>
  <si>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</si>
  <si>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</si>
  <si>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</si>
  <si>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</si>
  <si>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</si>
  <si>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</si>
  <si>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</si>
  <si>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</si>
  <si>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</si>
  <si>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</si>
  <si>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</si>
  <si>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</si>
  <si>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</si>
  <si>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</si>
  <si>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</si>
  <si>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</si>
  <si>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</si>
  <si>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</si>
  <si>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</si>
  <si>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</si>
  <si>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</si>
  <si>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</si>
  <si>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</si>
  <si>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</si>
  <si>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</si>
  <si>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</si>
  <si>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</si>
  <si>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</si>
  <si>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</si>
  <si>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</si>
  <si>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</si>
  <si>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</si>
  <si>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</si>
  <si>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</si>
  <si>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</si>
  <si>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</si>
  <si>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</si>
  <si>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</si>
  <si>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</si>
  <si>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</si>
  <si>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</si>
  <si>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</si>
  <si>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</si>
  <si>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</si>
  <si>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</si>
  <si>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</si>
  <si>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</si>
  <si>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</si>
  <si>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</si>
  <si>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</si>
  <si>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</si>
  <si>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</si>
  <si>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</si>
  <si>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</si>
  <si>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</si>
  <si>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</si>
  <si>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</si>
  <si>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</si>
  <si>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</si>
  <si>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</si>
  <si>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</si>
  <si>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</si>
  <si>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</si>
  <si>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</si>
  <si>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</si>
  <si>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</si>
  <si>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</si>
  <si>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</si>
  <si>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</si>
  <si>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</si>
  <si>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</si>
  <si>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</si>
  <si>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</si>
  <si>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</si>
  <si>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</si>
  <si>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</si>
  <si>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</si>
  <si>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</si>
  <si>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</si>
  <si>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</si>
  <si>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</si>
  <si>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</si>
  <si>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</si>
  <si>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</si>
  <si>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</si>
  <si>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</si>
  <si>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</si>
  <si>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</si>
  <si>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</si>
  <si>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</si>
  <si>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</si>
  <si>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</si>
  <si>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</si>
  <si>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</si>
  <si>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</si>
  <si>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</si>
  <si>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</si>
  <si>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</si>
  <si>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</si>
  <si>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</si>
  <si>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</si>
  <si>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</si>
  <si>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</si>
  <si>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</si>
  <si>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</si>
  <si>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</si>
  <si>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</si>
  <si>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</si>
  <si>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</si>
  <si>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</si>
  <si>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</si>
  <si>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</si>
  <si>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</si>
  <si>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</si>
  <si>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</si>
  <si>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</si>
  <si>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</si>
  <si>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</si>
  <si>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</si>
  <si>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</si>
  <si>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</si>
  <si>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</si>
  <si>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</si>
  <si>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</si>
  <si>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</si>
  <si>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</si>
  <si>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</si>
  <si>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</si>
  <si>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</si>
  <si>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</si>
  <si>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</si>
  <si>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</si>
  <si>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</si>
  <si>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</si>
  <si>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</si>
  <si>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</si>
  <si>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</si>
  <si>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</si>
  <si>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</si>
  <si>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</si>
  <si>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</si>
  <si>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</si>
  <si>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</si>
  <si>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</si>
  <si>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</si>
  <si>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</si>
  <si>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</si>
  <si>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</si>
  <si>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</si>
  <si>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</si>
  <si>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</si>
  <si>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</si>
  <si>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</si>
  <si>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</si>
  <si>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</si>
  <si>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</si>
  <si>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</si>
  <si>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</si>
  <si>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</si>
  <si>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</si>
  <si>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</si>
  <si>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</si>
  <si>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</si>
  <si>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</si>
  <si>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</si>
  <si>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</si>
  <si>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</si>
  <si>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</si>
  <si>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</si>
  <si>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</si>
  <si>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</si>
  <si>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</si>
  <si>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</si>
  <si>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</si>
  <si>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</si>
  <si>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</si>
  <si>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</si>
  <si>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</si>
  <si>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</si>
  <si>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</si>
  <si>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</si>
  <si>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</si>
  <si>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</si>
  <si>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</si>
  <si>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</si>
  <si>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</si>
  <si>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</si>
  <si>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</si>
  <si>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</si>
  <si>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</si>
  <si>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</si>
  <si>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</si>
  <si>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</si>
  <si>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</si>
  <si>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</si>
  <si>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</si>
  <si>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</si>
  <si>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</si>
  <si>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</si>
  <si>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</si>
  <si>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</si>
  <si>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</si>
  <si>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</si>
  <si>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</si>
  <si>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</si>
  <si>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</si>
  <si>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</si>
  <si>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</si>
  <si>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</si>
  <si>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</si>
  <si>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</si>
  <si>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</si>
  <si>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</si>
  <si>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</si>
  <si>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</si>
  <si>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</si>
  <si>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</si>
  <si>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</si>
  <si>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</si>
  <si>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</si>
  <si>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</si>
  <si>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</si>
  <si>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</si>
  <si>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</si>
  <si>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</si>
  <si>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</si>
  <si>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</si>
  <si>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</si>
  <si>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</si>
  <si>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</si>
  <si>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</si>
  <si>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</si>
  <si>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</si>
  <si>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</si>
  <si>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</si>
  <si>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</si>
  <si>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</si>
  <si>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</si>
  <si>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</si>
  <si>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</si>
  <si>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</si>
  <si>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</si>
  <si>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</si>
  <si>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</si>
  <si>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</si>
  <si>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</si>
  <si>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</si>
  <si>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</si>
  <si>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</si>
  <si>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</si>
  <si>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</si>
  <si>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</si>
  <si>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</si>
  <si>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</si>
  <si>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</si>
  <si>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</si>
  <si>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</si>
  <si>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</si>
  <si>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</si>
  <si>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</si>
  <si>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</si>
  <si>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</si>
  <si>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</si>
  <si>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</si>
  <si>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</si>
  <si>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</si>
  <si>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</si>
  <si>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</si>
  <si>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</si>
  <si>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</si>
  <si>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</si>
  <si>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</si>
  <si>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</si>
  <si>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</si>
  <si>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</si>
  <si>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</si>
  <si>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</si>
  <si>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</si>
  <si>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</si>
  <si>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</si>
  <si>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</si>
  <si>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</si>
  <si>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</si>
  <si>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</si>
  <si>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</si>
  <si>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</si>
  <si>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</si>
  <si>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</si>
  <si>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</si>
  <si>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</si>
  <si>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</si>
  <si>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</si>
  <si>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</si>
  <si>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</si>
  <si>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</si>
  <si>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</si>
  <si>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</si>
  <si>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</si>
  <si>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</si>
  <si>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</si>
  <si>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</si>
  <si>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</si>
  <si>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</si>
  <si>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</si>
  <si>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</si>
  <si>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</si>
  <si>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</si>
  <si>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</si>
  <si>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</si>
  <si>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</si>
  <si>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</si>
  <si>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</si>
  <si>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</si>
  <si>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</si>
  <si>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</si>
  <si>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</si>
  <si>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</si>
  <si>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</si>
  <si>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</si>
  <si>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</si>
  <si>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</si>
  <si>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</si>
  <si>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</si>
  <si>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</si>
  <si>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</si>
  <si>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</si>
  <si>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</si>
  <si>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</si>
  <si>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</si>
  <si>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</si>
  <si>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</si>
  <si>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</si>
  <si>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</si>
  <si>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</si>
  <si>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</si>
  <si>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</si>
  <si>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</si>
  <si>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</si>
  <si>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</si>
  <si>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</si>
  <si>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</si>
  <si>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</si>
  <si>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</si>
  <si>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</si>
  <si>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</si>
  <si>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</si>
  <si>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</si>
  <si>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</si>
  <si>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</si>
  <si>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</si>
  <si>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</si>
  <si>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</si>
  <si>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</si>
  <si>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</si>
  <si>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</si>
  <si>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</si>
  <si>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</si>
  <si>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</si>
  <si>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</si>
  <si>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</si>
  <si>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</si>
  <si>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</si>
  <si>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</si>
  <si>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</si>
  <si>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</si>
  <si>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</si>
  <si>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</si>
  <si>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</si>
  <si>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</si>
  <si>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</si>
  <si>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</si>
  <si>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</si>
  <si>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</si>
  <si>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</si>
  <si>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</si>
  <si>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</si>
  <si>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</si>
  <si>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</si>
  <si>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</si>
  <si>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</si>
  <si>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</si>
  <si>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</si>
  <si>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</si>
  <si>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</si>
  <si>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</si>
  <si>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</si>
  <si>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</si>
  <si>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</si>
  <si>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</si>
  <si>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</si>
  <si>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</si>
  <si>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</si>
  <si>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</si>
  <si>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</si>
  <si>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</si>
  <si>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</si>
  <si>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</si>
  <si>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</si>
  <si>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</si>
  <si>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</si>
  <si>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</si>
  <si>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</si>
  <si>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</si>
  <si>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</si>
  <si>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</si>
  <si>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</si>
  <si>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</si>
  <si>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</si>
  <si>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</si>
  <si>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</si>
  <si>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</si>
  <si>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</si>
  <si>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</si>
  <si>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</si>
  <si>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</si>
  <si>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</si>
  <si>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</si>
  <si>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</si>
  <si>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</si>
  <si>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</si>
  <si>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</si>
  <si>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</si>
  <si>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</si>
  <si>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</si>
  <si>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</si>
  <si>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</si>
  <si>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</si>
  <si>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</si>
  <si>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</si>
  <si>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</si>
  <si>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</si>
  <si>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</si>
  <si>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</si>
  <si>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</si>
  <si>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</si>
  <si>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</si>
  <si>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</si>
  <si>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</si>
  <si>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</si>
  <si>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</si>
  <si>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</si>
  <si>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</si>
  <si>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</si>
  <si>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</si>
  <si>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</si>
  <si>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</si>
  <si>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</si>
  <si>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</si>
  <si>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</si>
  <si>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</si>
  <si>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</si>
  <si>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</si>
  <si>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</si>
  <si>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</si>
  <si>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</si>
  <si>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</si>
  <si>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</si>
  <si>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</si>
  <si>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</si>
  <si>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</si>
  <si>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</si>
  <si>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</si>
  <si>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</si>
  <si>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</si>
  <si>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</si>
  <si>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</si>
  <si>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</si>
  <si>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</si>
  <si>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</si>
  <si>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</si>
  <si>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</si>
  <si>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</si>
  <si>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</si>
  <si>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</si>
  <si>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</si>
  <si>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</si>
  <si>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</si>
  <si>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</si>
  <si>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</si>
  <si>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</si>
  <si>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</si>
  <si>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</si>
  <si>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</si>
  <si>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</si>
  <si>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</si>
  <si>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</si>
  <si>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</si>
  <si>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</si>
  <si>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</si>
  <si>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</si>
  <si>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</si>
  <si>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</si>
  <si>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</si>
  <si>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</si>
  <si>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</si>
  <si>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</si>
  <si>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</si>
  <si>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</si>
  <si>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</si>
  <si>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</si>
  <si>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</si>
  <si>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</si>
  <si>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</si>
  <si>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</si>
  <si>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</si>
  <si>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</si>
  <si>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</si>
  <si>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</si>
  <si>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</si>
  <si>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</si>
  <si>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</si>
  <si>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</si>
  <si>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</si>
  <si>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</si>
  <si>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</si>
  <si>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</si>
  <si>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</si>
  <si>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</si>
  <si>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</si>
  <si>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</si>
  <si>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</si>
  <si>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</si>
  <si>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</si>
  <si>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</si>
  <si>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</si>
  <si>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</si>
  <si>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</si>
  <si>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</si>
  <si>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</si>
  <si>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</si>
  <si>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</si>
  <si>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</si>
  <si>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</si>
  <si>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</si>
  <si>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</si>
  <si>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</si>
  <si>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</si>
  <si>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</si>
  <si>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</si>
  <si>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</si>
  <si>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</si>
  <si>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</si>
  <si>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</si>
  <si>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</si>
  <si>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</si>
  <si>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</si>
  <si>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</si>
  <si>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</si>
  <si>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</si>
  <si>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</si>
  <si>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</si>
  <si>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</si>
  <si>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</si>
  <si>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</si>
  <si>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</si>
  <si>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</si>
  <si>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</si>
  <si>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</si>
  <si>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</si>
  <si>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</si>
  <si>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</si>
  <si>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</si>
  <si>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</si>
  <si>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</si>
  <si>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</si>
  <si>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</si>
  <si>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</si>
  <si>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</si>
  <si>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</si>
  <si>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</si>
  <si>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</si>
  <si>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</si>
  <si>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</si>
  <si>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</si>
  <si>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</si>
  <si>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</si>
  <si>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</si>
  <si>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</si>
  <si>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</si>
  <si>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</si>
  <si>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</si>
  <si>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</si>
  <si>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</si>
  <si>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</si>
  <si>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</si>
  <si>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</si>
  <si>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</si>
  <si>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</si>
  <si>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</si>
  <si>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</si>
  <si>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</si>
  <si>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</si>
  <si>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</si>
  <si>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</si>
  <si>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</si>
  <si>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</si>
  <si>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</si>
  <si>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</si>
  <si>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</si>
  <si>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</si>
  <si>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</si>
  <si>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</si>
  <si>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</si>
  <si>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</si>
  <si>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</si>
  <si>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</si>
  <si>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</si>
  <si>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</si>
  <si>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</si>
  <si>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</si>
  <si>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</si>
  <si>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</si>
  <si>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</si>
  <si>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</si>
  <si>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</si>
  <si>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</si>
  <si>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</si>
  <si>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</si>
  <si>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</si>
  <si>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</si>
  <si>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</si>
  <si>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</si>
  <si>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</si>
  <si>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</si>
  <si>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</si>
  <si>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</si>
  <si>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</si>
  <si>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</si>
  <si>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</si>
  <si>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</si>
  <si>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</si>
  <si>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</si>
  <si>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</si>
  <si>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</si>
  <si>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</si>
  <si>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</si>
  <si>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</si>
  <si>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</si>
  <si>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</si>
  <si>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</si>
  <si>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</si>
  <si>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</si>
  <si>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</si>
  <si>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</si>
  <si>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</si>
  <si>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</si>
  <si>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</si>
  <si>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</si>
  <si>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</si>
  <si>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</si>
  <si>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</si>
  <si>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</si>
  <si>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</si>
  <si>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</si>
  <si>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</si>
  <si>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</si>
  <si>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</si>
  <si>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</si>
  <si>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</si>
  <si>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</si>
  <si>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</si>
  <si>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</si>
  <si>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</si>
  <si>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</si>
  <si>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</si>
  <si>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</si>
  <si>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</si>
  <si>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</si>
  <si>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</si>
  <si>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</si>
  <si>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</si>
  <si>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</si>
  <si>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</si>
  <si>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</si>
  <si>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</si>
  <si>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</si>
  <si>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</si>
  <si>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</si>
  <si>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</si>
  <si>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</si>
  <si>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</si>
  <si>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</si>
  <si>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</si>
  <si>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</si>
  <si>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</si>
  <si>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</si>
  <si>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</si>
  <si>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</si>
  <si>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</si>
  <si>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</si>
  <si>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</si>
  <si>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</si>
  <si>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</si>
  <si>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</si>
  <si>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</si>
  <si>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</si>
  <si>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</si>
  <si>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</si>
  <si>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</si>
  <si>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</si>
  <si>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</si>
  <si>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</si>
  <si>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</si>
  <si>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</si>
  <si>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</si>
  <si>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</si>
  <si>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</si>
  <si>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</si>
  <si>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</si>
  <si>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</si>
  <si>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</si>
  <si>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</si>
  <si>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</si>
  <si>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</si>
  <si>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</si>
  <si>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</si>
  <si>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</si>
  <si>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</si>
  <si>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</si>
  <si>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</si>
  <si>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</si>
  <si>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</si>
  <si>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</si>
  <si>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</si>
  <si>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</si>
  <si>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</si>
  <si>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</si>
  <si>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</si>
  <si>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</si>
  <si>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</si>
  <si>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</si>
  <si>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</si>
  <si>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</si>
  <si>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</si>
  <si>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</si>
  <si>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</si>
  <si>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</si>
  <si>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</si>
  <si>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</si>
  <si>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</si>
  <si>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</si>
  <si>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</si>
  <si>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</si>
  <si>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</si>
  <si>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</si>
  <si>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</si>
  <si>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</si>
  <si>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</si>
  <si>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</si>
  <si>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</si>
  <si>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</si>
  <si>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</si>
  <si>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</si>
  <si>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</si>
  <si>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</si>
  <si>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</si>
  <si>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</si>
  <si>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</si>
  <si>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</si>
  <si>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</si>
  <si>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</si>
  <si>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</si>
  <si>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</si>
  <si>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</si>
  <si>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</si>
  <si>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</si>
  <si>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</si>
  <si>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</si>
  <si>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</si>
  <si>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</si>
  <si>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</si>
  <si>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</si>
  <si>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</si>
  <si>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</si>
  <si>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</si>
  <si>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</si>
  <si>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</si>
  <si>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</si>
  <si>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</si>
  <si>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</si>
  <si>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</si>
  <si>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</si>
  <si>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</si>
  <si>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</si>
  <si>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</si>
  <si>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</si>
  <si>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</si>
  <si>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</si>
  <si>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</si>
  <si>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</si>
  <si>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</si>
  <si>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</si>
  <si>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</si>
  <si>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</si>
  <si>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</si>
  <si>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</si>
  <si>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</si>
  <si>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</si>
  <si>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</si>
  <si>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</si>
  <si>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</si>
  <si>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</si>
  <si>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</si>
  <si>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</si>
  <si>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</si>
  <si>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</si>
  <si>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</si>
  <si>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</si>
  <si>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</si>
  <si>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</si>
  <si>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</si>
  <si>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</si>
  <si>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</si>
  <si>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</si>
  <si>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</si>
  <si>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</si>
  <si>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</si>
  <si>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</si>
  <si>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</si>
  <si>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</si>
  <si>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</si>
  <si>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</si>
  <si>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</si>
  <si>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</si>
  <si>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</si>
  <si>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</si>
  <si>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</si>
  <si>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</si>
  <si>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</si>
  <si>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</si>
  <si>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</si>
  <si>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</si>
  <si>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</si>
  <si>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</si>
  <si>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</si>
  <si>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</si>
  <si>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</si>
  <si>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</si>
  <si>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</si>
  <si>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</si>
  <si>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</si>
  <si>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</si>
  <si>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</si>
  <si>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</si>
  <si>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</si>
  <si>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</si>
  <si>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</si>
  <si>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</si>
  <si>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</si>
  <si>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</si>
  <si>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</si>
  <si>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</si>
  <si>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</si>
  <si>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</si>
  <si>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</si>
  <si>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</si>
  <si>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</si>
  <si>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</si>
  <si>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</si>
  <si>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</si>
  <si>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</si>
  <si>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</si>
  <si>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</si>
  <si>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</si>
  <si>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</si>
  <si>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</si>
  <si>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</si>
  <si>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</si>
  <si>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</si>
  <si>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</si>
  <si>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</si>
  <si>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</si>
  <si>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</si>
  <si>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</si>
  <si>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</si>
  <si>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</si>
  <si>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</si>
  <si>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</si>
  <si>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</si>
  <si>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</si>
  <si>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</si>
  <si>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</si>
  <si>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</si>
  <si>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</si>
  <si>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</si>
  <si>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</si>
  <si>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</si>
  <si>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</si>
  <si>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</si>
  <si>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</si>
  <si>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</si>
  <si>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</si>
  <si>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</si>
  <si>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</si>
  <si>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</si>
  <si>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</si>
  <si>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</si>
  <si>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</si>
  <si>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</si>
  <si>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</si>
  <si>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</si>
  <si>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</si>
  <si>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</si>
  <si>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</si>
  <si>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</si>
  <si>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</si>
  <si>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</si>
  <si>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</si>
  <si>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</si>
  <si>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</si>
  <si>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</si>
  <si>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</si>
  <si>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</si>
  <si>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</si>
  <si>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</si>
  <si>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</si>
  <si>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</si>
  <si>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</si>
  <si>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</si>
  <si>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</si>
  <si>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</si>
  <si>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</si>
  <si>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</si>
  <si>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</si>
  <si>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</si>
  <si>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</si>
  <si>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</si>
  <si>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</si>
  <si>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</si>
  <si>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</si>
  <si>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</si>
  <si>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</si>
  <si>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</si>
  <si>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</si>
  <si>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</si>
  <si>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</si>
  <si>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</si>
  <si>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</si>
  <si>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</si>
  <si>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</si>
  <si>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</si>
  <si>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</si>
  <si>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</si>
  <si>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</si>
  <si>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</si>
  <si>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</si>
  <si>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</si>
  <si>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</si>
  <si>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</si>
  <si>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</si>
  <si>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</si>
  <si>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</si>
  <si>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</si>
  <si>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</si>
  <si>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</si>
  <si>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</si>
  <si>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</si>
  <si>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</si>
  <si>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</si>
  <si>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</si>
  <si>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</si>
  <si>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</si>
  <si>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</si>
  <si>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</si>
  <si>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</si>
  <si>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</si>
  <si>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</si>
  <si>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</si>
  <si>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</si>
  <si>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</si>
  <si>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</si>
  <si>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</si>
  <si>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</si>
  <si>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</si>
  <si>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</si>
  <si>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</si>
  <si>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</si>
  <si>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</si>
  <si>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</si>
  <si>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</si>
  <si>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</si>
  <si>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</si>
  <si>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</si>
  <si>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</si>
  <si>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</si>
  <si>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</si>
  <si>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</si>
  <si>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</si>
  <si>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</si>
  <si>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</si>
  <si>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</si>
  <si>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</si>
  <si>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</si>
  <si>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</si>
  <si>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</si>
  <si>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</si>
  <si>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</si>
  <si>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</si>
  <si>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</si>
  <si>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</si>
  <si>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</si>
  <si>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</si>
  <si>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</si>
  <si>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</si>
  <si>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</si>
  <si>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</si>
  <si>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</si>
  <si>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</si>
  <si>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</si>
  <si>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</si>
  <si>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</si>
  <si>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</si>
  <si>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</si>
  <si>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</si>
  <si>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</si>
  <si>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</si>
  <si>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</si>
  <si>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</si>
  <si>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</si>
  <si>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</si>
  <si>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</si>
  <si>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</si>
  <si>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</si>
  <si>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</si>
  <si>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</si>
  <si>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</si>
  <si>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</si>
  <si>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</si>
  <si>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</si>
  <si>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</si>
  <si>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</si>
  <si>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</si>
  <si>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</si>
  <si>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</si>
  <si>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</si>
  <si>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</si>
  <si>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</si>
  <si>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</si>
  <si>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</si>
  <si>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</si>
  <si>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</si>
  <si>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</si>
  <si>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</si>
  <si>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</si>
  <si>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</si>
  <si>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</si>
  <si>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</si>
  <si>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</si>
  <si>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</si>
  <si>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</si>
  <si>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</si>
  <si>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</si>
  <si>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</si>
  <si>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</si>
  <si>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</si>
  <si>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</si>
  <si>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</si>
  <si>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</si>
  <si>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</si>
  <si>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</si>
  <si>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</si>
  <si>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</si>
  <si>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</si>
  <si>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</si>
  <si>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</si>
  <si>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</si>
  <si>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</si>
  <si>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</si>
  <si>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</si>
  <si>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</si>
  <si>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</si>
  <si>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</si>
  <si>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</si>
  <si>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</si>
  <si>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</si>
  <si>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</si>
  <si>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</si>
  <si>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</si>
  <si>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</si>
  <si>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</si>
  <si>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</si>
  <si>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</si>
  <si>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</si>
  <si>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</si>
  <si>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</si>
  <si>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</si>
  <si>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</si>
  <si>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</si>
  <si>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</si>
  <si>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</si>
  <si>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</si>
  <si>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</si>
  <si>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</si>
  <si>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</si>
  <si>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</si>
  <si>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</si>
  <si>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</si>
  <si>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</si>
  <si>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</si>
  <si>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</si>
  <si>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</si>
  <si>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</si>
  <si>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</si>
  <si>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</si>
  <si>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</si>
  <si>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</si>
  <si>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</si>
  <si>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</si>
  <si>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</si>
  <si>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</si>
  <si>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</si>
  <si>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</si>
  <si>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</si>
  <si>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</si>
  <si>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</si>
  <si>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</si>
  <si>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</si>
  <si>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</si>
  <si>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</si>
  <si>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</si>
  <si>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</si>
  <si>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</si>
  <si>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</si>
  <si>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</si>
  <si>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</si>
  <si>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</si>
  <si>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</si>
  <si>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</si>
  <si>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</si>
  <si>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</si>
  <si>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</si>
  <si>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</si>
  <si>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</si>
  <si>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</si>
  <si>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</si>
  <si>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</si>
  <si>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</si>
  <si>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</si>
  <si>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</si>
  <si>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</si>
  <si>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</si>
  <si>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</si>
  <si>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</si>
  <si>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</si>
  <si>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</si>
  <si>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</si>
  <si>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</si>
  <si>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</si>
  <si>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</si>
  <si>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</si>
  <si>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</si>
  <si>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</si>
  <si>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</si>
  <si>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</si>
  <si>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</si>
  <si>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</si>
  <si>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</si>
  <si>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</si>
  <si>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</si>
  <si>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</si>
  <si>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</si>
  <si>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</si>
  <si>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</si>
  <si>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</si>
  <si>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</si>
  <si>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</si>
  <si>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</si>
  <si>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</si>
  <si>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</si>
  <si>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</si>
  <si>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</si>
  <si>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</si>
  <si>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</si>
  <si>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</si>
  <si>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</si>
  <si>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</si>
  <si>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</si>
  <si>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</si>
  <si>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</si>
  <si>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</si>
  <si>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</si>
  <si>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</si>
  <si>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</si>
  <si>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</si>
  <si>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</si>
  <si>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</si>
  <si>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</si>
  <si>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</si>
  <si>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</si>
  <si>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</si>
  <si>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</si>
  <si>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</si>
  <si>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</si>
  <si>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</si>
  <si>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</si>
  <si>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</si>
  <si>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</si>
  <si>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</si>
  <si>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</si>
  <si>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</si>
  <si>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</si>
  <si>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</si>
  <si>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</si>
  <si>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</si>
  <si>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</si>
  <si>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</si>
  <si>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</si>
  <si>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</si>
  <si>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</si>
  <si>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</si>
  <si>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</si>
  <si>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</si>
  <si>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</si>
  <si>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</si>
  <si>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</si>
  <si>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</si>
  <si>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</si>
  <si>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</si>
  <si>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</si>
  <si>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</si>
  <si>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</si>
  <si>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</si>
  <si>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</si>
  <si>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</si>
  <si>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</si>
  <si>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</si>
  <si>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</si>
  <si>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</si>
  <si>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</si>
  <si>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</si>
  <si>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</si>
  <si>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</si>
  <si>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</si>
  <si>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</si>
  <si>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</si>
  <si>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</si>
  <si>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</si>
  <si>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</si>
  <si>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</si>
  <si>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</si>
  <si>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</si>
  <si>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</si>
  <si>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</si>
  <si>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</si>
  <si>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</si>
  <si>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</si>
  <si>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</si>
  <si>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</si>
  <si>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</si>
  <si>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</si>
  <si>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</si>
  <si>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</si>
  <si>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</si>
  <si>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</si>
  <si>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</si>
  <si>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</si>
  <si>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</si>
  <si>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</si>
  <si>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</si>
  <si>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</si>
  <si>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</si>
  <si>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</si>
  <si>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</si>
  <si>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</si>
  <si>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</si>
  <si>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</si>
  <si>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</si>
  <si>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</si>
  <si>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</si>
  <si>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</si>
  <si>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</si>
  <si>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</si>
  <si>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</si>
  <si>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</si>
  <si>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</si>
  <si>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</si>
  <si>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</si>
  <si>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</si>
  <si>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</si>
  <si>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</si>
  <si>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</si>
  <si>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</si>
  <si>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</si>
  <si>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</si>
  <si>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</si>
  <si>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</si>
  <si>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</si>
  <si>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</si>
  <si>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</si>
  <si>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</si>
  <si>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</si>
  <si>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</si>
  <si>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</si>
  <si>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</si>
  <si>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</si>
  <si>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</si>
  <si>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</si>
  <si>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</si>
  <si>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</si>
  <si>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</si>
  <si>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</si>
  <si>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</si>
  <si>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</si>
  <si>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</si>
  <si>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</si>
  <si>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</si>
  <si>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</si>
  <si>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</si>
  <si>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</si>
  <si>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</si>
  <si>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</si>
  <si>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</si>
  <si>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</si>
  <si>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</si>
  <si>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</si>
  <si>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</si>
  <si>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</si>
  <si>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</si>
  <si>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</si>
  <si>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</si>
  <si>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</si>
  <si>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</si>
  <si>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</si>
  <si>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</si>
  <si>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</si>
  <si>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</si>
  <si>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</si>
  <si>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</si>
  <si>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</si>
  <si>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</si>
  <si>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</si>
  <si>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</si>
  <si>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</si>
  <si>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</si>
  <si>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</si>
  <si>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</si>
  <si>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</si>
  <si>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</si>
  <si>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</si>
  <si>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</si>
  <si>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</si>
  <si>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</si>
  <si>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</si>
  <si>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</si>
  <si>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</si>
  <si>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</si>
  <si>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</si>
  <si>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</si>
  <si>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</si>
  <si>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</si>
  <si>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</si>
  <si>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</si>
  <si>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</si>
  <si>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</si>
  <si>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</si>
  <si>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</si>
  <si>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</si>
  <si>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</si>
  <si>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</si>
  <si>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</si>
  <si>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</si>
  <si>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</si>
  <si>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</si>
  <si>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</si>
  <si>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</si>
  <si>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</si>
  <si>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</si>
  <si>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</si>
  <si>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</si>
  <si>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</si>
  <si>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</si>
  <si>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</si>
  <si>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</si>
  <si>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</si>
  <si>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</si>
  <si>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</si>
  <si>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</si>
  <si>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</si>
  <si>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</si>
  <si>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</si>
  <si>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</si>
  <si>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</si>
  <si>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</si>
  <si>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</si>
  <si>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</si>
  <si>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</si>
  <si>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</si>
  <si>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</si>
  <si>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</si>
  <si>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</si>
  <si>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</si>
  <si>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</si>
  <si>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</si>
  <si>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</si>
  <si>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</si>
  <si>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</si>
  <si>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</si>
  <si>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</si>
  <si>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</si>
  <si>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</si>
  <si>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</si>
  <si>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</si>
  <si>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</si>
  <si>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</si>
  <si>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</si>
  <si>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</si>
  <si>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</si>
  <si>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</si>
  <si>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</si>
  <si>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</si>
  <si>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</si>
  <si>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</si>
  <si>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</si>
  <si>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</si>
  <si>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</si>
  <si>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</si>
  <si>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</si>
  <si>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</si>
  <si>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</si>
  <si>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</si>
  <si>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</si>
  <si>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</si>
  <si>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</si>
  <si>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</si>
  <si>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</si>
  <si>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</si>
  <si>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</si>
  <si>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</si>
  <si>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</si>
  <si>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</si>
  <si>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</si>
  <si>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</si>
  <si>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</si>
  <si>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</si>
  <si>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</si>
  <si>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</si>
  <si>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</si>
  <si>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</si>
  <si>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</si>
  <si>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</si>
  <si>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</si>
  <si>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</si>
  <si>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</si>
  <si>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</si>
  <si>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</si>
  <si>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</si>
  <si>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</si>
  <si>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</si>
  <si>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</si>
  <si>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</si>
  <si>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</si>
  <si>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</si>
  <si>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</si>
  <si>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</si>
  <si>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</si>
  <si>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</si>
  <si>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</si>
  <si>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</si>
  <si>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</si>
  <si>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</si>
  <si>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</si>
  <si>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</si>
  <si>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</si>
  <si>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</si>
  <si>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</si>
  <si>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</si>
  <si>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</si>
  <si>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</si>
  <si>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</si>
  <si>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</si>
  <si>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</si>
  <si>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</si>
  <si>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</si>
  <si>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</si>
  <si>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</si>
  <si>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</si>
  <si>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</si>
  <si>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</si>
  <si>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</si>
  <si>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</si>
  <si>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</si>
  <si>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</si>
  <si>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</si>
  <si>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</si>
  <si>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</si>
  <si>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</si>
  <si>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</si>
  <si>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</si>
  <si>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</si>
  <si>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</si>
  <si>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</si>
  <si>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</si>
  <si>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</si>
  <si>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</si>
  <si>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</si>
  <si>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</si>
  <si>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</si>
  <si>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</si>
  <si>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</si>
  <si>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</si>
  <si>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</si>
  <si>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</si>
  <si>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</si>
  <si>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</si>
  <si>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</si>
  <si>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</si>
  <si>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</si>
  <si>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</si>
  <si>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</si>
  <si>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</si>
  <si>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</si>
  <si>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</si>
  <si>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</si>
  <si>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</si>
  <si>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</si>
  <si>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</si>
  <si>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</si>
  <si>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</si>
  <si>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</si>
  <si>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</si>
  <si>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</si>
  <si>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</si>
  <si>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</si>
  <si>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</si>
  <si>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</si>
  <si>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</si>
  <si>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</si>
  <si>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</si>
  <si>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</si>
  <si>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</si>
  <si>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</si>
  <si>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</si>
  <si>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</si>
  <si>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</si>
  <si>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</si>
  <si>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</si>
  <si>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</si>
  <si>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</si>
  <si>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</si>
  <si>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</si>
  <si>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</si>
  <si>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</si>
  <si>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</si>
  <si>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</si>
  <si>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</si>
  <si>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</si>
  <si>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</si>
  <si>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</si>
  <si>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</si>
  <si>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</si>
  <si>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</si>
  <si>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</si>
  <si>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</si>
  <si>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</si>
  <si>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</si>
  <si>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</si>
  <si>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</si>
  <si>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</si>
  <si>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</si>
  <si>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</si>
  <si>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</si>
  <si>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</si>
  <si>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</si>
  <si>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</si>
  <si>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</si>
  <si>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</si>
  <si>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</si>
  <si>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</si>
  <si>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</si>
  <si>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</si>
  <si>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</si>
  <si>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</si>
  <si>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</si>
  <si>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</si>
  <si>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</si>
  <si>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</si>
  <si>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</si>
  <si>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</si>
  <si>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</si>
  <si>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</si>
  <si>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</si>
  <si>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</si>
  <si>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</si>
  <si>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</si>
  <si>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</si>
  <si>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</si>
  <si>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</si>
  <si>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</si>
  <si>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</si>
  <si>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</si>
  <si>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</si>
  <si>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</si>
  <si>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</si>
  <si>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</si>
  <si>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</si>
  <si>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</si>
  <si>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</si>
  <si>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</si>
  <si>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</si>
  <si>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</si>
  <si>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</si>
  <si>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</si>
  <si>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</si>
  <si>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</si>
  <si>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</si>
  <si>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</si>
  <si>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</si>
  <si>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</si>
  <si>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</si>
  <si>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</si>
  <si>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</si>
  <si>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</si>
  <si>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</si>
  <si>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</si>
  <si>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</si>
  <si>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</si>
  <si>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</si>
  <si>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</si>
  <si>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</si>
  <si>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</si>
  <si>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</si>
  <si>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</si>
  <si>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</si>
  <si>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</si>
  <si>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</si>
  <si>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</si>
  <si>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</si>
  <si>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</si>
  <si>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</si>
  <si>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</si>
  <si>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</si>
  <si>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</si>
  <si>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</si>
  <si>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</si>
  <si>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</si>
  <si>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</si>
  <si>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</si>
  <si>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</si>
  <si>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</si>
  <si>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</si>
  <si>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</si>
  <si>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</si>
  <si>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</si>
  <si>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</si>
  <si>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</si>
  <si>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</si>
  <si>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</si>
  <si>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</si>
  <si>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</si>
  <si>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</si>
  <si>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</si>
  <si>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</si>
  <si>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</si>
  <si>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</si>
  <si>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</si>
  <si>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</si>
  <si>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</si>
  <si>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</si>
  <si>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</si>
  <si>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</si>
  <si>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</si>
  <si>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</si>
  <si>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</si>
  <si>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</si>
  <si>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</si>
  <si>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</si>
  <si>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</si>
  <si>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</si>
  <si>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</si>
  <si>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</si>
  <si>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</si>
  <si>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</si>
  <si>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</si>
  <si>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</si>
  <si>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</si>
  <si>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</si>
  <si>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</si>
  <si>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</si>
  <si>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</si>
  <si>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</si>
  <si>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</si>
  <si>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</si>
  <si>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</si>
  <si>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</si>
  <si>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</si>
  <si>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</si>
  <si>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</si>
  <si>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</si>
  <si>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</si>
  <si>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</si>
  <si>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</si>
  <si>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</si>
  <si>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</si>
  <si>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</si>
  <si>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</si>
  <si>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</si>
  <si>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</si>
  <si>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</si>
  <si>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</si>
  <si>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</si>
  <si>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</si>
  <si>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</si>
  <si>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</si>
  <si>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</si>
  <si>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</si>
  <si>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</si>
  <si>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</si>
  <si>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</si>
  <si>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</si>
  <si>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</si>
  <si>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</si>
  <si>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</si>
  <si>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</si>
  <si>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</si>
  <si>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</si>
  <si>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</si>
  <si>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</si>
  <si>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</si>
  <si>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</si>
  <si>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</si>
  <si>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</si>
  <si>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</si>
  <si>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</si>
  <si>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</si>
  <si>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</si>
  <si>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</si>
  <si>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</si>
  <si>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</si>
  <si>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</si>
  <si>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</si>
  <si>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</si>
  <si>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</si>
  <si>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</si>
  <si>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</si>
  <si>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</si>
  <si>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</si>
  <si>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</si>
  <si>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</si>
  <si>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</si>
  <si>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</si>
  <si>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</si>
  <si>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</si>
  <si>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</si>
  <si>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</si>
  <si>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</si>
  <si>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</si>
  <si>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</si>
  <si>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</si>
  <si>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</si>
  <si>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</si>
  <si>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</si>
  <si>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</si>
  <si>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</si>
  <si>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</si>
  <si>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</si>
  <si>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</si>
  <si>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</si>
  <si>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</si>
  <si>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</si>
  <si>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</si>
  <si>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</si>
  <si>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</si>
  <si>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</si>
  <si>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</si>
  <si>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</si>
  <si>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</si>
  <si>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</si>
  <si>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</si>
  <si>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</si>
  <si>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</si>
  <si>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</si>
  <si>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</si>
  <si>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</si>
  <si>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</si>
  <si>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</si>
  <si>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</si>
  <si>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</si>
  <si>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</si>
  <si>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</si>
  <si>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</si>
  <si>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</si>
  <si>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</si>
  <si>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</si>
  <si>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</si>
  <si>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</si>
  <si>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</si>
  <si>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</si>
  <si>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</si>
  <si>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</si>
  <si>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</si>
  <si>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</si>
  <si>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</si>
  <si>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</si>
  <si>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</si>
  <si>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</si>
  <si>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</si>
  <si>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</si>
  <si>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</si>
  <si>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</si>
  <si>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</si>
  <si>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</si>
  <si>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</si>
  <si>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</si>
  <si>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</si>
  <si>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</si>
  <si>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</si>
  <si>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</si>
  <si>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</si>
  <si>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</si>
  <si>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</si>
  <si>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</si>
  <si>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</si>
  <si>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</si>
  <si>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</si>
  <si>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</si>
  <si>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</si>
  <si>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</si>
  <si>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</si>
  <si>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</si>
  <si>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</si>
  <si>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</si>
  <si>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</si>
  <si>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</si>
  <si>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</si>
  <si>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</si>
  <si>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</si>
  <si>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</si>
  <si>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</si>
  <si>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</si>
  <si>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</si>
  <si>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</si>
  <si>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</si>
  <si>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</si>
  <si>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</si>
  <si>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</si>
  <si>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</si>
  <si>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</si>
  <si>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</si>
  <si>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</si>
  <si>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</si>
  <si>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</si>
  <si>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</si>
  <si>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</si>
  <si>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</si>
  <si>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</si>
  <si>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</si>
  <si>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</si>
  <si>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</si>
  <si>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</si>
  <si>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</si>
  <si>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</si>
  <si>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</si>
  <si>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</si>
  <si>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</si>
  <si>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</si>
  <si>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</si>
  <si>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</si>
  <si>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</si>
  <si>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</si>
  <si>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</si>
  <si>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</si>
  <si>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</si>
  <si>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</si>
  <si>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</si>
  <si>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</si>
  <si>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</si>
  <si>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</si>
  <si>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</si>
  <si>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</si>
  <si>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</si>
  <si>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</si>
  <si>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</si>
  <si>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</si>
  <si>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</si>
  <si>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</si>
  <si>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</si>
  <si>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</si>
  <si>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</si>
  <si>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</si>
  <si>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</si>
  <si>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</si>
  <si>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</si>
  <si>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</si>
  <si>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</si>
  <si>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</si>
  <si>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</si>
  <si>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</si>
  <si>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</si>
  <si>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</si>
  <si>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</si>
  <si>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</si>
  <si>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</si>
  <si>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</si>
  <si>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</si>
  <si>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</si>
  <si>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</si>
  <si>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</si>
  <si>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</si>
  <si>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</si>
  <si>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</si>
  <si>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</si>
  <si>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</si>
  <si>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</si>
  <si>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</si>
  <si>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</si>
  <si>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</si>
  <si>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</si>
  <si>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</si>
  <si>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</si>
  <si>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</si>
  <si>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</si>
  <si>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</si>
  <si>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</si>
  <si>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</si>
  <si>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</si>
  <si>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</si>
  <si>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</si>
  <si>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</si>
  <si>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</si>
  <si>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</si>
  <si>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</si>
  <si>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</si>
  <si>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</si>
  <si>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</si>
  <si>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</si>
  <si>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</si>
  <si>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</si>
  <si>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</si>
  <si>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</si>
  <si>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</si>
  <si>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</si>
  <si>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</si>
  <si>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</si>
  <si>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</si>
  <si>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</si>
  <si>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</si>
  <si>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</si>
  <si>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</si>
  <si>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</si>
  <si>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</si>
  <si>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</si>
  <si>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</si>
  <si>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</si>
  <si>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</si>
  <si>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</si>
  <si>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</si>
  <si>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</si>
  <si>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</si>
  <si>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</si>
  <si>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</si>
  <si>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</si>
  <si>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</si>
  <si>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</si>
  <si>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</si>
  <si>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</si>
  <si>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</si>
  <si>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</si>
  <si>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</si>
  <si>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</si>
  <si>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</si>
  <si>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</si>
  <si>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</si>
  <si>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</si>
  <si>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</si>
  <si>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</si>
  <si>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</si>
  <si>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</si>
  <si>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</si>
  <si>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</si>
  <si>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</si>
  <si>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</si>
  <si>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</si>
  <si>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</si>
  <si>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</si>
  <si>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</si>
  <si>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</si>
  <si>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</si>
  <si>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</si>
  <si>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</si>
  <si>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</si>
  <si>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</si>
  <si>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</si>
  <si>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</si>
  <si>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</si>
  <si>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</si>
  <si>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</si>
  <si>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</si>
  <si>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</si>
  <si>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</si>
  <si>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</si>
  <si>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</si>
  <si>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</si>
  <si>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</si>
  <si>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</si>
  <si>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</si>
  <si>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</si>
  <si>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</si>
  <si>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</si>
  <si>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</si>
  <si>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</si>
  <si>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</si>
  <si>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</si>
  <si>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</si>
  <si>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</si>
  <si>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</si>
  <si>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</si>
  <si>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</si>
  <si>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</si>
  <si>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</si>
  <si>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</si>
  <si>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</si>
  <si>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</si>
  <si>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</si>
  <si>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</si>
  <si>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</si>
  <si>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</si>
  <si>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</si>
  <si>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</si>
  <si>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</si>
  <si>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</si>
  <si>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</si>
  <si>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</si>
  <si>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</si>
  <si>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</si>
  <si>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</si>
  <si>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</si>
  <si>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</si>
  <si>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</si>
  <si>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</si>
  <si>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</si>
  <si>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</si>
  <si>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</si>
  <si>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</si>
  <si>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</si>
  <si>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</si>
  <si>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</si>
  <si>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</si>
  <si>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</si>
  <si>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</si>
  <si>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</si>
  <si>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</si>
  <si>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</si>
  <si>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</si>
  <si>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</si>
  <si>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</si>
  <si>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</si>
  <si>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</si>
  <si>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</si>
  <si>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</si>
  <si>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</si>
  <si>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</si>
  <si>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</si>
  <si>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</si>
  <si>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</si>
  <si>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</si>
  <si>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</si>
  <si>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</si>
  <si>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</si>
  <si>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</si>
  <si>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</si>
  <si>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</si>
  <si>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</si>
  <si>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</si>
  <si>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</si>
  <si>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</si>
  <si>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</si>
  <si>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</si>
  <si>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</si>
  <si>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</si>
  <si>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</si>
  <si>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</si>
  <si>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</si>
  <si>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</si>
  <si>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</si>
  <si>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</si>
  <si>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</si>
  <si>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</si>
  <si>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</si>
  <si>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</si>
  <si>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</si>
  <si>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</si>
  <si>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</si>
  <si>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</si>
  <si>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</si>
  <si>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</si>
  <si>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</si>
  <si>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</si>
  <si>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</si>
  <si>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</si>
  <si>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</si>
  <si>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</si>
  <si>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</si>
  <si>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</si>
  <si>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</si>
  <si>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</si>
  <si>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</si>
  <si>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</si>
  <si>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</si>
  <si>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</si>
  <si>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</si>
  <si>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</si>
  <si>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</si>
  <si>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</si>
  <si>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</si>
  <si>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</si>
  <si>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</si>
  <si>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</si>
  <si>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</si>
  <si>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</si>
  <si>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</si>
  <si>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</si>
  <si>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</si>
  <si>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</si>
  <si>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</si>
  <si>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</si>
  <si>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</si>
  <si>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</si>
  <si>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</si>
  <si>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</si>
  <si>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</si>
  <si>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</si>
  <si>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</si>
  <si>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</si>
  <si>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</si>
  <si>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</si>
  <si>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</si>
  <si>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</si>
  <si>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</si>
  <si>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</si>
  <si>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</si>
  <si>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</si>
  <si>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</si>
  <si>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</si>
  <si>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</si>
  <si>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</si>
  <si>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</si>
  <si>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</si>
  <si>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</si>
  <si>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</si>
  <si>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</si>
  <si>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</si>
  <si>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</si>
  <si>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</si>
  <si>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</si>
  <si>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</si>
  <si>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</si>
  <si>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</si>
  <si>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</si>
  <si>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</si>
  <si>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</si>
  <si>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</si>
  <si>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</si>
  <si>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</si>
  <si>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</si>
  <si>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</si>
  <si>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</si>
  <si>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</si>
  <si>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</si>
  <si>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</si>
  <si>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</si>
  <si>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</si>
  <si>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</si>
  <si>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</si>
  <si>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</si>
  <si>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</si>
  <si>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</si>
  <si>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</si>
  <si>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</si>
  <si>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</si>
  <si>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</si>
  <si>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</si>
  <si>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</si>
  <si>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</si>
  <si>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</si>
  <si>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</si>
  <si>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</si>
  <si>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</si>
  <si>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</si>
  <si>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</si>
  <si>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</si>
  <si>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</si>
  <si>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</si>
  <si>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</si>
  <si>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</si>
  <si>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</si>
  <si>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</si>
  <si>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</si>
  <si>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</si>
  <si>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</si>
  <si>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</si>
  <si>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</si>
  <si>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</si>
  <si>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</si>
  <si>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</si>
  <si>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</si>
  <si>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</si>
  <si>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</si>
  <si>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</si>
  <si>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</si>
  <si>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</si>
  <si>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</si>
  <si>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</si>
  <si>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</si>
  <si>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</si>
  <si>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</si>
  <si>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</si>
  <si>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</si>
  <si>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</si>
  <si>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</si>
  <si>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</si>
  <si>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</si>
  <si>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</si>
  <si>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</si>
  <si>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</si>
  <si>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</si>
  <si>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</si>
  <si>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</si>
  <si>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</si>
  <si>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</si>
  <si>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</si>
  <si>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</si>
  <si>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</si>
  <si>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</si>
  <si>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</si>
  <si>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</si>
  <si>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</si>
  <si>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</si>
  <si>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</si>
  <si>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</si>
  <si>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</si>
  <si>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</si>
  <si>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</si>
  <si>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</si>
  <si>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</si>
  <si>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</si>
  <si>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</si>
  <si>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</si>
  <si>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</si>
  <si>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</si>
  <si>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</si>
  <si>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</si>
  <si>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</si>
  <si>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</si>
  <si>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</si>
  <si>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</si>
  <si>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</si>
  <si>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</si>
  <si>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</si>
  <si>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</si>
  <si>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</si>
  <si>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</si>
  <si>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</si>
  <si>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</si>
  <si>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</si>
  <si>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</si>
  <si>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</si>
  <si>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</si>
  <si>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</si>
  <si>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</si>
  <si>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</si>
  <si>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</si>
  <si>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</si>
  <si>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</si>
  <si>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</si>
  <si>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</si>
  <si>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</si>
  <si>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</si>
  <si>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</si>
  <si>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</si>
  <si>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</si>
  <si>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</si>
  <si>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</si>
  <si>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</si>
  <si>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</si>
  <si>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</si>
  <si>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</si>
  <si>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</si>
  <si>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</si>
  <si>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</si>
  <si>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</si>
  <si>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</si>
  <si>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</si>
  <si>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</si>
  <si>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</si>
  <si>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</si>
  <si>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</si>
  <si>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</si>
  <si>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</si>
  <si>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</si>
  <si>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</si>
  <si>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</si>
  <si>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</si>
  <si>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</si>
  <si>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</si>
  <si>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</si>
  <si>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</si>
  <si>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</si>
  <si>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</si>
  <si>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</si>
  <si>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</si>
  <si>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</si>
  <si>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</si>
  <si>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</si>
  <si>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</si>
  <si>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</si>
  <si>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</si>
  <si>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</si>
  <si>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</si>
  <si>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</si>
  <si>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</si>
  <si>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</si>
  <si>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</si>
  <si>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</si>
  <si>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</si>
  <si>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</si>
  <si>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</si>
  <si>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</si>
  <si>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</si>
  <si>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</si>
  <si>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</si>
  <si>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</si>
  <si>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</si>
  <si>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</si>
  <si>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</si>
  <si>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</si>
  <si>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</si>
  <si>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</si>
  <si>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</si>
  <si>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</si>
  <si>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</si>
  <si>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</si>
  <si>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</si>
  <si>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</si>
  <si>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</si>
  <si>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</si>
  <si>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</si>
  <si>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</si>
  <si>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</si>
  <si>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</si>
  <si>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</si>
  <si>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</si>
  <si>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</si>
  <si>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</si>
  <si>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</si>
  <si>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</si>
  <si>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</si>
  <si>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</si>
  <si>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</si>
  <si>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</si>
  <si>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</si>
  <si>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</si>
  <si>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</si>
  <si>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</si>
  <si>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</si>
  <si>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</si>
  <si>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</si>
  <si>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</si>
  <si>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</si>
  <si>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</si>
  <si>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</si>
  <si>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</si>
  <si>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</si>
  <si>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</si>
  <si>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</si>
  <si>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</si>
  <si>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</si>
  <si>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</si>
  <si>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</si>
  <si>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</si>
  <si>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</si>
  <si>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</si>
  <si>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</si>
  <si>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</si>
  <si>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</si>
  <si>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</si>
  <si>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</si>
  <si>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</si>
  <si>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</si>
  <si>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</si>
  <si>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</si>
  <si>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</si>
  <si>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</si>
  <si>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</si>
  <si>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</si>
  <si>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</si>
  <si>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</si>
  <si>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</si>
  <si>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</si>
  <si>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</si>
  <si>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</si>
  <si>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</si>
  <si>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</si>
  <si>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</si>
  <si>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</si>
  <si>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</si>
  <si>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</si>
  <si>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</si>
  <si>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</si>
  <si>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</si>
  <si>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</si>
  <si>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</si>
  <si>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</si>
  <si>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</si>
  <si>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</si>
  <si>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</si>
  <si>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</si>
  <si>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</si>
  <si>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</si>
  <si>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</si>
  <si>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</si>
  <si>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</si>
  <si>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</si>
  <si>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</si>
  <si>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</si>
  <si>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</si>
  <si>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</si>
  <si>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</si>
  <si>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</si>
  <si>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</si>
  <si>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</si>
  <si>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</si>
  <si>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</si>
  <si>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</si>
  <si>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</si>
  <si>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</si>
  <si>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</si>
  <si>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</si>
  <si>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</si>
  <si>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</si>
  <si>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</si>
  <si>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</si>
  <si>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</si>
  <si>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</si>
  <si>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</si>
  <si>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</si>
  <si>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</si>
  <si>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</si>
  <si>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</si>
  <si>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</si>
  <si>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</si>
  <si>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</si>
  <si>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</si>
  <si>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</si>
  <si>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</si>
  <si>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</si>
  <si>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</si>
  <si>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</si>
  <si>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</si>
  <si>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</si>
  <si>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</si>
  <si>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</si>
  <si>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</si>
  <si>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</si>
  <si>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</si>
  <si>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</si>
  <si>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</si>
  <si>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</si>
  <si>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</si>
  <si>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</si>
  <si>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</si>
  <si>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</si>
  <si>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</si>
  <si>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</si>
  <si>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</si>
  <si>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</si>
  <si>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</si>
  <si>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</si>
  <si>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</si>
  <si>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</si>
  <si>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</si>
  <si>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</si>
  <si>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</si>
  <si>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</si>
  <si>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</si>
  <si>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</si>
  <si>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</si>
  <si>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</si>
  <si>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</si>
  <si>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</si>
  <si>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</si>
  <si>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</si>
  <si>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</si>
  <si>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</si>
  <si>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</si>
  <si>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</si>
  <si>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</si>
  <si>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</si>
  <si>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</si>
  <si>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</si>
  <si>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</si>
  <si>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</si>
  <si>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</si>
  <si>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</si>
  <si>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</si>
  <si>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</si>
  <si>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</si>
  <si>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</si>
  <si>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</si>
  <si>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</si>
  <si>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</si>
  <si>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</si>
  <si>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</si>
  <si>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</si>
  <si>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</si>
  <si>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</si>
  <si>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</si>
  <si>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</si>
  <si>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</si>
  <si>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</si>
  <si>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</si>
  <si>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</si>
  <si>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</si>
  <si>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</si>
  <si>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</si>
  <si>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</si>
  <si>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</si>
  <si>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</si>
  <si>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</si>
  <si>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</si>
  <si>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</si>
  <si>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</si>
  <si>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</si>
  <si>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</si>
  <si>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</si>
  <si>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</si>
  <si>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</si>
  <si>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</si>
  <si>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</si>
  <si>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</si>
  <si>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</si>
  <si>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</si>
  <si>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</si>
  <si>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</si>
  <si>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</si>
  <si>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</si>
  <si>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</si>
  <si>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</si>
  <si>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</si>
  <si>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</si>
  <si>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</si>
  <si>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</si>
  <si>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</si>
  <si>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</si>
  <si>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</si>
  <si>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</si>
  <si>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</si>
  <si>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</si>
  <si>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</si>
  <si>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</si>
  <si>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</si>
  <si>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</si>
  <si>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</si>
  <si>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</si>
  <si>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</si>
  <si>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</si>
  <si>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</si>
  <si>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</si>
  <si>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</si>
  <si>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</si>
  <si>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</si>
  <si>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</si>
  <si>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</si>
  <si>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</si>
  <si>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</si>
  <si>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</si>
  <si>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</si>
  <si>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</si>
  <si>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</si>
  <si>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</si>
  <si>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</si>
  <si>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</si>
  <si>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</si>
  <si>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</si>
  <si>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</si>
  <si>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</si>
  <si>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</si>
  <si>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</si>
  <si>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</si>
  <si>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</si>
  <si>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</si>
  <si>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</si>
  <si>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</si>
  <si>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</si>
  <si>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</si>
  <si>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</si>
  <si>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</si>
  <si>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</si>
  <si>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</si>
  <si>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</si>
  <si>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</si>
  <si>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</si>
  <si>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</si>
  <si>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</si>
  <si>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</si>
  <si>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</si>
  <si>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</si>
  <si>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</si>
  <si>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</si>
  <si>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</si>
  <si>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</si>
  <si>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</si>
  <si>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</si>
  <si>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</si>
  <si>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</si>
  <si>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</si>
  <si>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</si>
  <si>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</si>
  <si>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</si>
  <si>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</si>
  <si>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</si>
  <si>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</si>
  <si>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</si>
  <si>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</si>
  <si>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</si>
  <si>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</si>
  <si>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</si>
  <si>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</si>
  <si>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</si>
  <si>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</si>
  <si>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</si>
  <si>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</si>
  <si>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</si>
  <si>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</si>
  <si>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</si>
  <si>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</si>
  <si>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</si>
  <si>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</si>
  <si>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</si>
  <si>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</si>
  <si>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</si>
  <si>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</si>
  <si>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</si>
  <si>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</si>
  <si>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</si>
  <si>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</si>
  <si>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</si>
  <si>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</si>
  <si>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</si>
  <si>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</si>
  <si>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</si>
  <si>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</si>
  <si>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</si>
  <si>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</si>
  <si>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</si>
  <si>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</si>
  <si>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</si>
  <si>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</si>
  <si>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</si>
  <si>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</si>
  <si>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</si>
  <si>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</si>
  <si>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</si>
  <si>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</si>
  <si>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</si>
  <si>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</si>
  <si>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</si>
  <si>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</si>
  <si>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</si>
  <si>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</si>
  <si>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</si>
  <si>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</si>
  <si>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</si>
  <si>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</si>
  <si>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</si>
  <si>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</si>
  <si>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</si>
  <si>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</si>
  <si>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</si>
  <si>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</si>
  <si>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</si>
  <si>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</si>
  <si>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</si>
  <si>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</si>
  <si>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</si>
  <si>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</si>
  <si>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</si>
  <si>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</si>
  <si>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</si>
  <si>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</si>
  <si>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</si>
  <si>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</si>
  <si>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</si>
  <si>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</si>
  <si>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</si>
  <si>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</si>
  <si>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</si>
  <si>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</si>
  <si>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</si>
  <si>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</si>
  <si>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</si>
  <si>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</si>
  <si>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</si>
  <si>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</si>
  <si>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</si>
  <si>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</si>
  <si>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</si>
  <si>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</si>
  <si>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</si>
  <si>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</si>
  <si>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</si>
  <si>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</si>
  <si>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</si>
  <si>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</si>
  <si>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</si>
  <si>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</si>
  <si>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</si>
  <si>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</si>
  <si>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</si>
  <si>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</si>
  <si>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</si>
  <si>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</si>
  <si>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</si>
  <si>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</si>
  <si>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</si>
  <si>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</si>
  <si>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</si>
  <si>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</si>
  <si>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</si>
  <si>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</si>
  <si>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</si>
  <si>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</si>
  <si>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</si>
  <si>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</si>
  <si>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</si>
  <si>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</si>
  <si>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</si>
  <si>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</si>
  <si>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</si>
  <si>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</si>
  <si>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</si>
  <si>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</si>
  <si>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</si>
  <si>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</si>
  <si>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</si>
  <si>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</si>
  <si>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</si>
  <si>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</si>
  <si>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</si>
  <si>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</si>
  <si>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</si>
  <si>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</si>
  <si>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</si>
  <si>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</si>
  <si>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</si>
  <si>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</si>
  <si>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</si>
  <si>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</si>
  <si>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</si>
  <si>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</si>
  <si>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</si>
  <si>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</si>
  <si>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</si>
  <si>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</si>
  <si>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</si>
  <si>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</si>
  <si>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</si>
  <si>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</si>
  <si>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</si>
  <si>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</si>
  <si>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</si>
  <si>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</si>
  <si>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</si>
  <si>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</si>
  <si>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</si>
  <si>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</si>
  <si>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</si>
  <si>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</si>
  <si>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</si>
  <si>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</si>
  <si>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</si>
  <si>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</si>
  <si>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</si>
  <si>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</si>
  <si>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</si>
  <si>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</si>
  <si>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</si>
  <si>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</si>
  <si>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</si>
  <si>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</si>
  <si>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</si>
  <si>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</si>
  <si>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</si>
  <si>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</si>
  <si>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</si>
  <si>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</si>
  <si>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</si>
  <si>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</si>
  <si>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</si>
  <si>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</si>
  <si>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</si>
  <si>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</si>
  <si>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</si>
  <si>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</si>
  <si>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</si>
  <si>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</si>
  <si>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</si>
  <si>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</si>
  <si>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</si>
  <si>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</si>
  <si>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</si>
  <si>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</si>
  <si>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</si>
  <si>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</si>
  <si>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</si>
  <si>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</si>
  <si>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</si>
  <si>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</si>
  <si>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</si>
  <si>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</si>
  <si>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</si>
  <si>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</si>
  <si>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</si>
  <si>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</si>
  <si>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</si>
  <si>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</si>
  <si>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</si>
  <si>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</si>
  <si>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</si>
  <si>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</si>
  <si>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</si>
  <si>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</si>
  <si>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</si>
  <si>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</si>
  <si>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</si>
  <si>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</si>
  <si>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</si>
  <si>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</si>
  <si>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</si>
  <si>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</si>
  <si>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</si>
  <si>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</si>
  <si>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</si>
  <si>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</si>
  <si>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</si>
  <si>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</si>
  <si>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</si>
  <si>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</si>
  <si>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</si>
  <si>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</si>
  <si>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</si>
  <si>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</si>
  <si>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</si>
  <si>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</si>
  <si>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</si>
  <si>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</si>
  <si>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</si>
  <si>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</si>
  <si>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</si>
  <si>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</si>
  <si>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</si>
  <si>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</si>
  <si>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</si>
  <si>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</si>
  <si>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</si>
  <si>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</si>
  <si>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</si>
  <si>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</si>
  <si>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</si>
  <si>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</si>
  <si>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</si>
  <si>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</si>
  <si>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</si>
  <si>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</si>
  <si>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</si>
  <si>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</si>
  <si>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</si>
  <si>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</si>
  <si>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</si>
  <si>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</si>
  <si>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</si>
  <si>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</si>
  <si>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</si>
  <si>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</si>
  <si>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</si>
  <si>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</si>
  <si>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</si>
  <si>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</si>
  <si>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</si>
  <si>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</si>
  <si>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</si>
  <si>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</si>
  <si>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</si>
  <si>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</si>
  <si>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</si>
  <si>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</si>
  <si>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</si>
  <si>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</si>
  <si>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</si>
  <si>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</si>
  <si>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</si>
  <si>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</si>
  <si>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</si>
  <si>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</si>
  <si>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</si>
  <si>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</si>
  <si>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</si>
  <si>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</si>
  <si>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</si>
  <si>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</si>
  <si>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</si>
  <si>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</si>
  <si>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</si>
  <si>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</si>
  <si>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</si>
  <si>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</si>
  <si>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</si>
  <si>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</si>
  <si>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</si>
  <si>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</si>
  <si>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</si>
  <si>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</si>
  <si>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</si>
  <si>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</si>
  <si>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</si>
  <si>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</si>
  <si>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</si>
  <si>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</si>
  <si>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</si>
  <si>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</si>
  <si>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</si>
  <si>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</si>
  <si>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</si>
  <si>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</si>
  <si>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</si>
  <si>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</si>
  <si>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</si>
  <si>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</si>
  <si>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</si>
  <si>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</si>
  <si>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</si>
  <si>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</si>
  <si>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</si>
  <si>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</si>
  <si>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</si>
  <si>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</si>
  <si>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</si>
  <si>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</si>
  <si>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</si>
  <si>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</si>
  <si>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</si>
  <si>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</si>
  <si>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</si>
  <si>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</si>
  <si>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</si>
  <si>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</si>
  <si>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</si>
  <si>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</si>
  <si>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</si>
  <si>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</si>
  <si>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</si>
  <si>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</si>
  <si>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</si>
  <si>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</si>
  <si>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</si>
  <si>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</si>
  <si>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</si>
  <si>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</si>
  <si>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</si>
  <si>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</si>
  <si>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</si>
  <si>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</si>
  <si>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</si>
  <si>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</si>
  <si>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</si>
  <si>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</si>
  <si>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</si>
  <si>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</si>
  <si>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</si>
  <si>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</si>
  <si>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</si>
  <si>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</si>
  <si>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</si>
  <si>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</si>
  <si>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</si>
  <si>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</si>
  <si>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</si>
  <si>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</si>
  <si>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</si>
  <si>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</si>
  <si>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</si>
  <si>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</si>
  <si>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</si>
  <si>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</si>
  <si>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</si>
  <si>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</si>
  <si>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</si>
  <si>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</si>
  <si>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</si>
  <si>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</si>
  <si>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</si>
  <si>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</si>
  <si>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</si>
  <si>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</si>
  <si>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</si>
  <si>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</si>
  <si>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</si>
  <si>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</si>
  <si>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</si>
  <si>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</si>
  <si>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</si>
  <si>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</si>
  <si>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</si>
  <si>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</si>
  <si>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</si>
  <si>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</si>
  <si>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</si>
  <si>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</si>
  <si>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</si>
  <si>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</si>
  <si>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</si>
  <si>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</si>
  <si>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</si>
  <si>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</si>
  <si>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</si>
  <si>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</si>
  <si>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</si>
  <si>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</si>
  <si>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</si>
  <si>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</si>
  <si>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</si>
  <si>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</si>
  <si>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</si>
  <si>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</si>
  <si>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</si>
  <si>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</si>
  <si>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</si>
  <si>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</si>
  <si>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</si>
  <si>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</si>
  <si>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</si>
  <si>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</si>
  <si>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</si>
  <si>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</si>
  <si>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</si>
  <si>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</si>
  <si>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</si>
  <si>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</si>
  <si>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</si>
  <si>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</si>
  <si>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</si>
  <si>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</si>
  <si>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</si>
  <si>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</si>
  <si>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</si>
  <si>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</si>
  <si>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</si>
  <si>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</si>
  <si>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</si>
  <si>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</si>
  <si>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</si>
  <si>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</si>
  <si>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</si>
  <si>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</si>
  <si>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</si>
  <si>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</si>
  <si>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</si>
  <si>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</si>
  <si>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</si>
  <si>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</si>
  <si>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</si>
  <si>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</si>
  <si>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</si>
  <si>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</si>
  <si>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</si>
  <si>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</si>
  <si>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</si>
  <si>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</si>
  <si>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</si>
  <si>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</si>
  <si>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</si>
  <si>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</si>
  <si>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</si>
  <si>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</si>
  <si>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</si>
  <si>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</si>
  <si>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</si>
  <si>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</si>
  <si>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</si>
  <si>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</si>
  <si>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</si>
  <si>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</si>
  <si>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</si>
  <si>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</si>
  <si>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</si>
  <si>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</si>
  <si>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</si>
  <si>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</si>
  <si>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</si>
  <si>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</si>
  <si>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</si>
  <si>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</si>
  <si>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</si>
  <si>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</si>
  <si>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</si>
  <si>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</si>
  <si>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</si>
  <si>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</si>
  <si>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</si>
  <si>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</si>
  <si>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</si>
  <si>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</si>
  <si>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</si>
  <si>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</si>
  <si>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</si>
  <si>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</si>
  <si>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</si>
  <si>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</si>
  <si>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</si>
  <si>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</si>
  <si>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</si>
  <si>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</si>
  <si>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</si>
  <si>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</si>
  <si>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</si>
  <si>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</si>
  <si>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</si>
  <si>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</si>
  <si>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</si>
  <si>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</si>
  <si>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</si>
  <si>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</si>
  <si>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</si>
  <si>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</si>
  <si>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</si>
  <si>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</si>
  <si>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</si>
  <si>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</si>
  <si>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</si>
  <si>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</si>
  <si>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</si>
  <si>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</si>
  <si>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</si>
  <si>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</si>
  <si>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</si>
  <si>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</si>
  <si>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</si>
  <si>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</si>
  <si>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</si>
  <si>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</si>
  <si>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</si>
  <si>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</si>
  <si>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</si>
  <si>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</si>
  <si>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</si>
  <si>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</si>
  <si>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</si>
  <si>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</si>
  <si>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</si>
  <si>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</si>
  <si>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</si>
  <si>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</si>
  <si>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</si>
  <si>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</si>
  <si>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</si>
  <si>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</si>
  <si>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</si>
  <si>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</si>
  <si>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</si>
  <si>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</si>
  <si>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</si>
  <si>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</si>
  <si>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</si>
  <si>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</si>
  <si>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</si>
  <si>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</si>
  <si>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</si>
  <si>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</si>
  <si>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</si>
  <si>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</si>
  <si>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</si>
  <si>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</si>
  <si>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</si>
  <si>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</si>
  <si>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</si>
  <si>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</si>
  <si>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</si>
  <si>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</si>
  <si>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</si>
  <si>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</si>
  <si>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</si>
  <si>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</si>
  <si>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</si>
  <si>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</si>
  <si>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</si>
  <si>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</si>
  <si>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</si>
  <si>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</si>
  <si>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</si>
  <si>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</si>
  <si>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</si>
  <si>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</si>
  <si>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</si>
  <si>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</si>
  <si>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</si>
  <si>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</si>
  <si>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</si>
  <si>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</si>
  <si>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</si>
  <si>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</si>
  <si>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</si>
  <si>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</si>
  <si>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</si>
  <si>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</si>
  <si>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</si>
  <si>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</si>
  <si>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</si>
  <si>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</si>
  <si>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</si>
  <si>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</si>
  <si>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</si>
  <si>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</si>
  <si>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</si>
  <si>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</si>
  <si>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</si>
  <si>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</si>
  <si>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</si>
  <si>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</si>
  <si>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</si>
  <si>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</si>
  <si>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</si>
  <si>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</si>
  <si>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</si>
  <si>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</si>
  <si>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</si>
  <si>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</si>
  <si>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</si>
  <si>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</si>
  <si>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</si>
  <si>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</si>
  <si>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</si>
  <si>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</si>
  <si>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</si>
  <si>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</si>
  <si>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</si>
  <si>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</si>
  <si>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</si>
  <si>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</si>
  <si>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</si>
  <si>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</si>
  <si>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</si>
  <si>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</si>
  <si>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</si>
  <si>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</si>
  <si>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</si>
  <si>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</si>
  <si>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</si>
  <si>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</si>
  <si>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</si>
  <si>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</si>
  <si>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</si>
  <si>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</si>
  <si>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</si>
  <si>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</si>
  <si>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</si>
  <si>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</si>
  <si>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</si>
  <si>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</si>
  <si>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</si>
  <si>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</si>
  <si>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</si>
  <si>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</si>
  <si>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</si>
  <si>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</si>
  <si>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</si>
  <si>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</si>
  <si>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</si>
  <si>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</si>
  <si>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</si>
  <si>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</si>
  <si>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</si>
  <si>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</si>
  <si>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</si>
  <si>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</si>
  <si>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</si>
  <si>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</si>
  <si>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</si>
  <si>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</si>
  <si>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</si>
  <si>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</si>
  <si>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</si>
  <si>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</si>
  <si>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</si>
  <si>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</si>
  <si>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</si>
  <si>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</si>
  <si>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</si>
  <si>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</si>
  <si>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</si>
  <si>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</si>
  <si>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</si>
  <si>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</si>
  <si>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</si>
  <si>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</si>
  <si>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</si>
  <si>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</si>
  <si>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</si>
  <si>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</si>
  <si>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</si>
  <si>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</si>
  <si>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</si>
  <si>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</si>
  <si>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</si>
  <si>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</si>
  <si>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</si>
  <si>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</si>
  <si>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</si>
  <si>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</si>
  <si>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</si>
  <si>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</si>
  <si>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</si>
  <si>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</si>
  <si>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</si>
  <si>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</si>
  <si>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</si>
  <si>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</si>
  <si>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</si>
  <si>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</si>
  <si>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</si>
  <si>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</si>
  <si>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</si>
  <si>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</si>
  <si>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</si>
  <si>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</si>
  <si>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</si>
  <si>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</si>
  <si>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</si>
  <si>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</si>
  <si>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</si>
  <si>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</si>
  <si>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</si>
  <si>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</si>
  <si>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</si>
  <si>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</si>
  <si>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</si>
  <si>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</si>
  <si>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</si>
  <si>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</si>
  <si>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</si>
  <si>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</si>
  <si>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</si>
  <si>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</si>
  <si>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</si>
  <si>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</si>
  <si>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</si>
  <si>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</si>
  <si>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</si>
  <si>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</si>
  <si>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</si>
  <si>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</si>
  <si>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</si>
  <si>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</si>
  <si>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</si>
  <si>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</si>
  <si>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</si>
  <si>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</si>
  <si>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</si>
  <si>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</si>
  <si>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</si>
  <si>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</si>
  <si>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</si>
  <si>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</si>
  <si>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</si>
  <si>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</si>
  <si>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</si>
  <si>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</si>
  <si>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</si>
  <si>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</si>
  <si>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</si>
  <si>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</si>
  <si>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</si>
  <si>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</si>
  <si>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</si>
  <si>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</si>
  <si>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</si>
  <si>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</si>
  <si>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</si>
  <si>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</si>
  <si>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</si>
  <si>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</si>
  <si>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</si>
  <si>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</si>
  <si>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</si>
  <si>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</si>
  <si>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</si>
  <si>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</si>
  <si>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</si>
  <si>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</si>
  <si>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</si>
  <si>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</si>
  <si>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</si>
  <si>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</si>
  <si>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</si>
  <si>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</si>
  <si>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</si>
  <si>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</si>
  <si>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</si>
  <si>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</si>
  <si>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</si>
  <si>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</si>
  <si>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</si>
  <si>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</si>
  <si>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</si>
  <si>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</si>
  <si>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</si>
  <si>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</si>
  <si>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</si>
  <si>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</si>
  <si>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</si>
  <si>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</si>
  <si>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</si>
  <si>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</si>
  <si>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</si>
  <si>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</si>
  <si>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</si>
  <si>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</si>
  <si>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</si>
  <si>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</si>
  <si>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</si>
  <si>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</si>
  <si>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</si>
  <si>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</si>
  <si>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</si>
  <si>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</si>
  <si>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</si>
  <si>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</si>
  <si>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</si>
  <si>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</si>
  <si>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</si>
  <si>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</si>
  <si>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</si>
  <si>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</si>
  <si>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</si>
  <si>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</si>
  <si>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</si>
  <si>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</si>
  <si>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</si>
  <si>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</si>
  <si>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</si>
  <si>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</si>
  <si>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</si>
  <si>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</si>
  <si>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</si>
  <si>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</si>
  <si>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</si>
  <si>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</si>
  <si>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</si>
  <si>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</si>
  <si>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</si>
  <si>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</si>
  <si>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</si>
  <si>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</si>
  <si>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</si>
  <si>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</si>
  <si>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</si>
  <si>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</si>
  <si>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</si>
  <si>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</si>
  <si>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</si>
  <si>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</si>
  <si>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</si>
  <si>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</si>
  <si>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</si>
  <si>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</si>
  <si>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</si>
  <si>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</si>
  <si>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</si>
  <si>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</si>
  <si>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</si>
  <si>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</si>
  <si>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</si>
  <si>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</si>
  <si>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</si>
  <si>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</si>
  <si>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</si>
  <si>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</si>
  <si>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</si>
  <si>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</si>
  <si>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</si>
  <si>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</si>
  <si>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</si>
  <si>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</si>
  <si>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</si>
  <si>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</si>
  <si>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</si>
  <si>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</si>
  <si>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</si>
  <si>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</si>
  <si>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</si>
  <si>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</si>
  <si>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</si>
  <si>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</si>
  <si>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</si>
  <si>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</si>
  <si>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</si>
  <si>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</si>
  <si>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</si>
  <si>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</si>
  <si>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</si>
  <si>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</si>
  <si>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</si>
  <si>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</si>
  <si>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</si>
  <si>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</si>
  <si>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</si>
  <si>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</si>
  <si>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</si>
  <si>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</si>
  <si>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</si>
  <si>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</si>
  <si>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</si>
  <si>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</si>
  <si>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</si>
  <si>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</si>
  <si>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</si>
  <si>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</si>
  <si>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</si>
  <si>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</si>
  <si>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</si>
  <si>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</si>
  <si>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</si>
  <si>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</si>
  <si>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</si>
  <si>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</si>
  <si>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</si>
  <si>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</si>
  <si>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</si>
  <si>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</si>
  <si>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</si>
  <si>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</si>
  <si>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</si>
  <si>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</si>
  <si>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</si>
  <si>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</si>
  <si>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</si>
  <si>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</si>
  <si>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</si>
  <si>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</si>
  <si>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</si>
  <si>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</si>
  <si>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</si>
  <si>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</si>
  <si>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</si>
  <si>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</si>
  <si>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</si>
  <si>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</si>
  <si>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</si>
  <si>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</si>
  <si>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</si>
  <si>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</si>
  <si>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</si>
  <si>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</si>
  <si>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</si>
  <si>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</si>
  <si>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</si>
  <si>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</si>
  <si>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</si>
  <si>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</si>
  <si>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</si>
  <si>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</si>
  <si>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</si>
  <si>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</si>
  <si>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</si>
  <si>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</si>
  <si>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</si>
  <si>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</si>
  <si>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</si>
  <si>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</si>
  <si>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</si>
  <si>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</si>
  <si>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</si>
  <si>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</si>
  <si>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</si>
  <si>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</si>
  <si>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</si>
  <si>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</si>
  <si>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</si>
  <si>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</si>
  <si>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</si>
  <si>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</si>
  <si>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</si>
  <si>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</si>
  <si>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</si>
  <si>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</si>
  <si>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</si>
  <si>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</si>
  <si>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</si>
  <si>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</si>
  <si>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</si>
  <si>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</si>
  <si>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</si>
  <si>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</si>
  <si>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</si>
  <si>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</si>
  <si>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</si>
  <si>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</si>
  <si>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</si>
  <si>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</si>
  <si>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</si>
  <si>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</si>
  <si>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</si>
  <si>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</si>
  <si>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</si>
  <si>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</si>
  <si>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</si>
  <si>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</si>
  <si>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</si>
  <si>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</si>
  <si>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</si>
  <si>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</si>
  <si>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</si>
  <si>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</si>
  <si>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</si>
  <si>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</si>
  <si>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</si>
  <si>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</si>
  <si>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</si>
  <si>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</si>
  <si>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</si>
  <si>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</si>
  <si>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</si>
  <si>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</si>
  <si>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</si>
  <si>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</si>
  <si>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</si>
  <si>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</si>
  <si>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</si>
  <si>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</si>
  <si>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</si>
  <si>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</si>
  <si>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</si>
  <si>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</si>
  <si>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</si>
  <si>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</si>
  <si>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</si>
  <si>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</si>
  <si>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</si>
  <si>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</si>
  <si>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</si>
  <si>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</si>
  <si>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</si>
  <si>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</si>
  <si>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</si>
  <si>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</si>
  <si>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</si>
  <si>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</si>
  <si>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</si>
  <si>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</si>
  <si>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</si>
  <si>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</si>
  <si>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</si>
  <si>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</si>
  <si>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</si>
  <si>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</si>
  <si>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</si>
  <si>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</si>
  <si>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</si>
  <si>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</si>
  <si>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</si>
  <si>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</si>
  <si>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</si>
  <si>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</si>
  <si>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</si>
  <si>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</si>
  <si>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</si>
  <si>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</si>
  <si>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</si>
  <si>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</si>
  <si>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</si>
  <si>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</si>
  <si>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</si>
  <si>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</si>
  <si>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</si>
  <si>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</si>
  <si>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</si>
  <si>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</si>
  <si>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</si>
  <si>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</si>
  <si>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</si>
  <si>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</si>
  <si>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</si>
  <si>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</si>
  <si>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</si>
  <si>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</si>
  <si>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</si>
  <si>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</si>
  <si>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</si>
  <si>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</si>
  <si>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</si>
  <si>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</si>
  <si>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</si>
  <si>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</si>
  <si>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</si>
  <si>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</si>
  <si>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</si>
  <si>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</si>
  <si>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</si>
  <si>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</si>
  <si>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</si>
  <si>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</si>
  <si>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</si>
  <si>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</si>
  <si>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</si>
  <si>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</si>
  <si>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</si>
  <si>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</si>
  <si>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</si>
  <si>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</si>
  <si>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</si>
  <si>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</si>
  <si>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</si>
  <si>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</si>
  <si>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</si>
  <si>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</si>
  <si>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</si>
  <si>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</si>
  <si>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</si>
  <si>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</si>
  <si>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</si>
  <si>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</si>
  <si>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</si>
  <si>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</si>
  <si>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</si>
  <si>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</si>
  <si>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</si>
  <si>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</si>
  <si>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</si>
  <si>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</si>
  <si>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</si>
  <si>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</si>
  <si>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</si>
  <si>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</si>
  <si>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</si>
  <si>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</si>
  <si>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</si>
  <si>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</si>
  <si>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</si>
  <si>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</si>
  <si>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</si>
  <si>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</si>
  <si>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</si>
  <si>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</si>
  <si>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</si>
  <si>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</si>
  <si>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</si>
  <si>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</si>
  <si>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</si>
  <si>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</si>
  <si>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</si>
  <si>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</si>
  <si>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</si>
  <si>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</si>
  <si>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</si>
  <si>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</si>
  <si>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</si>
  <si>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</si>
  <si>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</si>
  <si>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</si>
  <si>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</si>
  <si>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</si>
  <si>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</si>
  <si>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</si>
  <si>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</si>
  <si>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</si>
  <si>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</si>
  <si>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</si>
  <si>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</si>
  <si>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</si>
  <si>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</si>
  <si>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</si>
  <si>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</si>
  <si>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</si>
  <si>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</si>
  <si>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</si>
  <si>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</si>
  <si>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</si>
  <si>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</si>
  <si>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</si>
  <si>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</si>
  <si>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</si>
  <si>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</si>
  <si>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</si>
  <si>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</si>
  <si>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</si>
  <si>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</si>
  <si>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</si>
  <si>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</si>
  <si>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</si>
  <si>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</si>
  <si>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</si>
  <si>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</si>
  <si>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</si>
  <si>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</si>
  <si>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</si>
  <si>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</si>
  <si>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</si>
  <si>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</si>
  <si>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</si>
  <si>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</si>
  <si>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</si>
  <si>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</si>
  <si>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</si>
  <si>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</si>
  <si>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</si>
  <si>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</si>
  <si>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</si>
  <si>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</si>
  <si>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</si>
  <si>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</si>
  <si>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</si>
  <si>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</si>
  <si>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</si>
  <si>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</si>
  <si>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</si>
  <si>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</si>
  <si>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</si>
  <si>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</si>
  <si>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</si>
  <si>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</si>
  <si>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</si>
  <si>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</si>
  <si>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</si>
  <si>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</si>
  <si>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</si>
  <si>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</si>
  <si>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</si>
  <si>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</si>
  <si>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</si>
  <si>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</si>
  <si>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</si>
  <si>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</si>
  <si>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</si>
  <si>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</si>
  <si>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</si>
  <si>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</si>
  <si>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</si>
  <si>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</si>
  <si>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</si>
  <si>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</si>
  <si>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</si>
  <si>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</si>
  <si>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</si>
  <si>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</si>
  <si>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</si>
  <si>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</si>
  <si>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</si>
  <si>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</si>
  <si>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</si>
  <si>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</si>
  <si>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</si>
  <si>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</si>
  <si>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</si>
  <si>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</si>
  <si>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</si>
  <si>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</si>
  <si>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</si>
  <si>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</si>
  <si>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</si>
  <si>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</si>
  <si>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</si>
  <si>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</si>
  <si>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</si>
  <si>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</si>
  <si>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</si>
  <si>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</si>
  <si>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</si>
  <si>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</si>
  <si>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</si>
  <si>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</si>
  <si>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</si>
  <si>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</si>
  <si>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</si>
  <si>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</si>
  <si>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</si>
  <si>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</si>
  <si>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</si>
  <si>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</si>
  <si>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</si>
  <si>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</si>
  <si>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</si>
  <si>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</si>
  <si>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</si>
  <si>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</si>
  <si>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</si>
  <si>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</si>
  <si>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</si>
  <si>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</si>
  <si>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</si>
  <si>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</si>
  <si>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</si>
  <si>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</si>
  <si>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</si>
  <si>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</si>
  <si>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</si>
  <si>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</si>
  <si>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</si>
  <si>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</si>
  <si>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</si>
  <si>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</si>
  <si>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</si>
  <si>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</si>
  <si>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</si>
  <si>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</si>
  <si>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</si>
  <si>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</si>
  <si>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</si>
  <si>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</si>
  <si>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</si>
  <si>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</si>
  <si>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</si>
  <si>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</si>
  <si>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</si>
  <si>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</si>
  <si>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</si>
  <si>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</si>
  <si>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</si>
  <si>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</si>
  <si>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</si>
  <si>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</si>
  <si>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</si>
  <si>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</si>
  <si>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</si>
  <si>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</si>
  <si>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</si>
  <si>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</si>
  <si>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</si>
  <si>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</si>
  <si>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</si>
  <si>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</si>
  <si>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</si>
  <si>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</si>
  <si>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</si>
  <si>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</si>
  <si>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</si>
  <si>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</si>
  <si>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</si>
  <si>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</si>
  <si>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</si>
  <si>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</si>
  <si>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</si>
  <si>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</si>
  <si>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</si>
  <si>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</si>
  <si>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</si>
  <si>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</si>
  <si>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</si>
  <si>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</si>
  <si>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</si>
  <si>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</si>
  <si>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</si>
  <si>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</si>
  <si>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</si>
  <si>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</si>
  <si>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</si>
  <si>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</si>
  <si>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</si>
  <si>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</si>
  <si>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</si>
  <si>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</si>
  <si>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</si>
  <si>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</si>
  <si>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</si>
  <si>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</si>
  <si>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</si>
  <si>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</si>
  <si>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</si>
  <si>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</si>
  <si>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</si>
  <si>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</si>
  <si>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</si>
  <si>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</si>
  <si>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</si>
  <si>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</si>
  <si>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</si>
  <si>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</si>
  <si>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</si>
  <si>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</si>
  <si>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</si>
  <si>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</si>
  <si>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</si>
  <si>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</si>
  <si>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</si>
  <si>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</si>
  <si>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</si>
  <si>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</si>
  <si>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</si>
  <si>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</si>
  <si>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</si>
  <si>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</si>
  <si>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</si>
  <si>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</si>
  <si>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</si>
  <si>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</si>
  <si>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</si>
  <si>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</si>
  <si>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</si>
  <si>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</si>
  <si>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</si>
  <si>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</si>
  <si>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</si>
  <si>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</si>
  <si>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</si>
  <si>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</si>
  <si>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</si>
  <si>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</si>
  <si>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</si>
  <si>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</si>
  <si>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</si>
  <si>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</si>
  <si>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</si>
  <si>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</si>
  <si>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</si>
  <si>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</si>
  <si>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</si>
  <si>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</si>
  <si>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</si>
  <si>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</si>
  <si>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</si>
  <si>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</si>
  <si>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</si>
  <si>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</si>
  <si>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</si>
  <si>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</si>
  <si>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</si>
  <si>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</si>
  <si>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</si>
  <si>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</si>
  <si>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</si>
  <si>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</si>
  <si>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</si>
  <si>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</si>
  <si>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</si>
  <si>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</si>
  <si>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</si>
  <si>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</si>
  <si>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</si>
  <si>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</si>
  <si>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</si>
  <si>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</si>
  <si>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</si>
  <si>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</si>
  <si>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</si>
  <si>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</si>
  <si>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</si>
  <si>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</si>
  <si>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</si>
  <si>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</si>
  <si>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</si>
  <si>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</si>
  <si>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</si>
  <si>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</si>
  <si>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</si>
  <si>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</si>
  <si>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</si>
  <si>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</si>
  <si>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</si>
  <si>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</si>
  <si>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</si>
  <si>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</si>
  <si>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</si>
  <si>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</si>
  <si>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</si>
  <si>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</si>
  <si>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</si>
  <si>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</si>
  <si>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</si>
  <si>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</si>
  <si>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</si>
  <si>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</si>
  <si>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</si>
  <si>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</si>
  <si>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</si>
  <si>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</si>
  <si>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</si>
  <si>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</si>
  <si>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</si>
  <si>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</si>
  <si>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</si>
  <si>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</si>
  <si>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</si>
  <si>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</si>
  <si>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</si>
  <si>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</si>
  <si>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</si>
  <si>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</si>
  <si>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</si>
  <si>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</si>
  <si>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</si>
  <si>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</si>
  <si>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</si>
  <si>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2019PA-033</t>
  </si>
  <si>
    <t>9% Credit Competitive Round only</t>
  </si>
  <si>
    <t>Woodstone Apartments II, LP</t>
  </si>
  <si>
    <t>Pat Dobbins</t>
  </si>
  <si>
    <t>CFO</t>
  </si>
  <si>
    <t>P.O. Box 1909</t>
  </si>
  <si>
    <t>Albertville</t>
  </si>
  <si>
    <t>patdobbins@olympiaconstruction.net</t>
  </si>
  <si>
    <t>Butch Richardson</t>
  </si>
  <si>
    <t>Manager of Development</t>
  </si>
  <si>
    <t>tobutch51@yahoo.com</t>
  </si>
  <si>
    <t>Woodstone Apartments II</t>
  </si>
  <si>
    <t>Within City Limits</t>
  </si>
  <si>
    <t>203.00</t>
  </si>
  <si>
    <t>City of Leesburg</t>
  </si>
  <si>
    <t xml:space="preserve">http://www.cityofleesburgga.com/index.php </t>
  </si>
  <si>
    <t>Jim Quinn</t>
  </si>
  <si>
    <t>Mayor</t>
  </si>
  <si>
    <t>107 Walnut Ave South</t>
  </si>
  <si>
    <t>40% of Units at 60% of AMI</t>
  </si>
  <si>
    <t>N/a</t>
  </si>
  <si>
    <t>Jeff Beaver</t>
  </si>
  <si>
    <t>404 E McKinney Ave</t>
  </si>
  <si>
    <t>Pres. of Member of GP</t>
  </si>
  <si>
    <t>Applied For</t>
  </si>
  <si>
    <t>For Profit</t>
  </si>
  <si>
    <t>Olympia GP Holdings, LLC</t>
  </si>
  <si>
    <t>jeff@olympiaconstruction.net</t>
  </si>
  <si>
    <t>Regions Bank</t>
  </si>
  <si>
    <t>Reed Dolihite</t>
  </si>
  <si>
    <t>1900 5th Ave North</t>
  </si>
  <si>
    <t>Birmingham</t>
  </si>
  <si>
    <t>VP Regions Affrdbl Hsng</t>
  </si>
  <si>
    <t>reed.dolihite@regions.com</t>
  </si>
  <si>
    <t xml:space="preserve">Olympia Construction, Inc. </t>
  </si>
  <si>
    <t>President</t>
  </si>
  <si>
    <t>olympiaconstruction.net</t>
  </si>
  <si>
    <t>Olympia Construction, Inc.</t>
  </si>
  <si>
    <t>Olympia Management, Inc.</t>
  </si>
  <si>
    <t>450 E McKinney Ave</t>
  </si>
  <si>
    <t>Vice President</t>
  </si>
  <si>
    <t>olympiamanagement.net</t>
  </si>
  <si>
    <t>Coleman Talley LLP</t>
  </si>
  <si>
    <t>Russ Henry</t>
  </si>
  <si>
    <t>109 South Ashley Street</t>
  </si>
  <si>
    <t>Partner</t>
  </si>
  <si>
    <t>russ.henry@colemantalley.com</t>
  </si>
  <si>
    <t>Donald W. Causey &amp; Associates, P.C.</t>
  </si>
  <si>
    <t>Don Causey</t>
  </si>
  <si>
    <t>264 Sutton Bridge Road</t>
  </si>
  <si>
    <t>Rainbow City</t>
  </si>
  <si>
    <t>don@donaldwcauseycpa.com</t>
  </si>
  <si>
    <t>McKean &amp; Assocites, Architects, LLC</t>
  </si>
  <si>
    <t>Rory McKean</t>
  </si>
  <si>
    <t>2315 Eastchase Lane</t>
  </si>
  <si>
    <t>Member-Manager</t>
  </si>
  <si>
    <t>rmckean@mckeanarch.com</t>
  </si>
  <si>
    <t>Leesburg Housing, LP</t>
  </si>
  <si>
    <t>Management Agency and Developer?</t>
  </si>
  <si>
    <t>Olympia Construction, Inc. is acting as Developer and General Contractor for this proposal</t>
  </si>
  <si>
    <t>Olympia Construction, Inc.(Contractor)  is a Member of Olympia GP Holdings, LLC (General Partner)</t>
  </si>
  <si>
    <t>Jeff Beaver and Ralph Fullerton are owners of Olympia Management, Inc. Jeff and Ralph are also owners of Olympia Construction, Inc. (Developer, Contractor, and Member of the General Partner)</t>
  </si>
  <si>
    <t>Jeff Beaver and Ralph Fullerton: Owners of Olympia Management, Inc. and Olympia Construction, Inc.; Members of Olympia GP Holdings, LLC</t>
  </si>
  <si>
    <t>2-Story Walkup</t>
  </si>
  <si>
    <t>Acquisition/Rehab</t>
  </si>
  <si>
    <t>Residential</t>
  </si>
  <si>
    <t>Agree</t>
  </si>
  <si>
    <t>Purchase Contract</t>
  </si>
  <si>
    <t>N/Ap</t>
  </si>
  <si>
    <t>GIBCO Environmental LLC</t>
  </si>
  <si>
    <t>Sumter Elelctric Membership Corporation</t>
  </si>
  <si>
    <t>Yes - W&amp;D hookups installed in each unit</t>
  </si>
  <si>
    <t>On-site laundry</t>
  </si>
  <si>
    <t>Substantial Gut Rehab</t>
  </si>
  <si>
    <t>GIBCO Environmental, LLC</t>
  </si>
  <si>
    <t>Jim Howell</t>
  </si>
  <si>
    <t>Member of the General Partner</t>
  </si>
  <si>
    <t>Woodstone Apartments</t>
  </si>
  <si>
    <t xml:space="preserve">The Project Feasibility, Viability, and Conformance with the Qualified Allocation Plan for 2019 is evidenced by the needs listed in the Physical Needs Assessment. The Woodstone Apartments property has operated successfully for many years and continues to serve families in the Leesburg area. The rehabilitation of Woodstone Apartments will create a more energy efficient, safe, accessible, and compliant living environment for existing residents. During construction, tenants will be temporarily relocated until each unit is completed. The updated features of the property will improve the lives of current and future residents for many years to come. </t>
  </si>
  <si>
    <t>The project is within the cost limits for Acquisition/Rehabilitation in the Albany MSA</t>
  </si>
  <si>
    <t xml:space="preserve">The project currently houses individuals and families with children. </t>
  </si>
  <si>
    <t xml:space="preserve">Items in Section B 1-4 do not apply to this project. The Management agent has extensive experience in providing services and activities. </t>
  </si>
  <si>
    <t>Gibson Consulting, LLC</t>
  </si>
  <si>
    <t>Dempsey Appraisal</t>
  </si>
  <si>
    <t>Project does not involve HOME funds. There is no identity of interest between buyer and seller.</t>
  </si>
  <si>
    <t xml:space="preserve">Complex is an existing complex that is 20 years old and complies with all current regulations. Plans for rehabilitation will also comply with all regulations. </t>
  </si>
  <si>
    <t>Site accessed by existing paved streets- access and parking areas to be resurfaced as part of rehabilitation.</t>
  </si>
  <si>
    <t>Availability letter provided by the Corporation and included with the application.</t>
  </si>
  <si>
    <t xml:space="preserve">Evidence of easements and commitments as well as verification of annexation or improvements is not necessary for this project. The property is currently being served with adequate utilities. </t>
  </si>
  <si>
    <t>Gazebo</t>
  </si>
  <si>
    <t>Project is a family property consisting of 40 units</t>
  </si>
  <si>
    <t>Renovation of the property will increase energy efficiency. Included in the rehab are new appliances, lighting fixtures, windows, and insulation, all of which will create a higher level of energy efficiency.</t>
  </si>
  <si>
    <t>Direct</t>
  </si>
  <si>
    <t>Terracon- Melissa Middleton</t>
  </si>
  <si>
    <t xml:space="preserve">Although this section is not required for the Rural HOME Preservations Set Aside, we wanted to show that the project is in a great location within the Leesburg Community. Residents have opportunity to access services and activities within 2 miles of Woodstone Apartments II. </t>
  </si>
  <si>
    <t xml:space="preserve">Aerial photos are taken from Google. Site photos and adjacent property photos were taken April 18, 2019. </t>
  </si>
  <si>
    <t>Waiver for minumum countertop frontage: 3 bedroom kitchen</t>
  </si>
  <si>
    <t>Waiver for minimum bedroom size: 2 and 3 bedroom units</t>
  </si>
  <si>
    <t>An additional waiver for the covering of exposed stairs is also included. All Architectural Standards Waivers have been approved by DCA</t>
  </si>
  <si>
    <t>Olympia Construction, Inc. is the Certifying Entity for the project. The Determination Letter from DCA is included with the application. Olympia is considered qualified and in good standing.</t>
  </si>
  <si>
    <t>The Determination for this project is "Qualified" with Olympia Construction, Inc. as the Certifying Developer. No changes have been made to the development ownership/developer structure.</t>
  </si>
  <si>
    <t xml:space="preserve">All entities are considered for-profit entities. This section does not apply. </t>
  </si>
  <si>
    <t>Applicant is not applying under the CHDO Set Aside</t>
  </si>
  <si>
    <t xml:space="preserve">Evidence of Credit Eligibility for Acquisition can be found in the application. The applicant and all members of the ownership structure are qualified to participate in the Tax Credit Program. </t>
  </si>
  <si>
    <t>The Management Agent has highly trained individuals in its employ who regulate more than 90 properties throughout the southeast. Olympia Management, Inc. is more than qualified and experienced in the AFFH policies and requirements. Applicant will provide all above listed documentation as well as any additional documentation DCA requests.</t>
  </si>
  <si>
    <t xml:space="preserve">All members of the Development Team are committed to producing the most quality, energy-efficient, and economical project possible. Costs are kept to a minimum as each part of the development is reviewed for cost-effectiveness. After a stringent review of available products, materials and services are selected based on their superior quality, durability, and economic properties. Members of the Development Team have extensive experience in providing quality, safe, energy-efficient, affordable housing for communities throughout the southeast. </t>
  </si>
  <si>
    <t>Disagree</t>
  </si>
  <si>
    <t xml:space="preserve">Applicant agrees to assist DCA in obtaining housing for individuals in need of Integrated Supportive Housing. There is no current rental assistance contract or subsidy for the property. </t>
  </si>
  <si>
    <t>Internet, computer, software, education</t>
  </si>
  <si>
    <t>96-091</t>
  </si>
  <si>
    <t>GA-96-09101</t>
  </si>
  <si>
    <t>GA-96-09105</t>
  </si>
  <si>
    <t>Sugar Creek Capital</t>
  </si>
  <si>
    <t>Louis Bosso</t>
  </si>
  <si>
    <t>1819 Peachtree Road NE Suite 230</t>
  </si>
  <si>
    <t>lbosso@sugarcreekcapital.com</t>
  </si>
  <si>
    <t>State Equity Director</t>
  </si>
  <si>
    <t>Electric Heat Pump</t>
  </si>
  <si>
    <t>Relocation Specialist</t>
  </si>
  <si>
    <t>Custom Relocation Specialists, LLC</t>
  </si>
  <si>
    <t>Fire Sprinkler Monitoring</t>
  </si>
  <si>
    <t>Payroll Taxes, WorkmnsComp, Bond Ins.</t>
  </si>
  <si>
    <t>95-100%</t>
  </si>
  <si>
    <t>180 Days</t>
  </si>
  <si>
    <t>Park Senior Village</t>
  </si>
  <si>
    <t>Forest Senior Village</t>
  </si>
  <si>
    <t>2014-054</t>
  </si>
  <si>
    <t>2010-067</t>
  </si>
  <si>
    <t>Temporary relocation will occur, but there will be no displacement of tenants. There are several vacancies at Woodstone Apartments II which will be utilized for relocating residents during the substantial rehabilitation.</t>
  </si>
  <si>
    <t xml:space="preserve">Woodstone Apartments II has several vacancies which will be utilized as part of the relocation plan. Once the project is completely renovated, the units will be fully leased within 180 days.  </t>
  </si>
  <si>
    <t>770-386-2921</t>
  </si>
  <si>
    <t>cheryl@tmcmgt.com</t>
  </si>
  <si>
    <t>1341 Cassville Road</t>
  </si>
  <si>
    <t>The entity with site control is the owner of the project. The Option to Purchase is valid throught December 31, 2019 with an available extension.</t>
  </si>
  <si>
    <t>Edward Foskey of Synergy Custom Services</t>
  </si>
  <si>
    <t>Third-party</t>
  </si>
  <si>
    <t>Relocation specialist</t>
  </si>
  <si>
    <t xml:space="preserve">Custom Relocation Specialists, LLC boasts a thorough resume with more than 50 properties served. They are highly experienced in the relocation process, including requirements set forth by multiple state housing agencies as well as HUD.  </t>
  </si>
  <si>
    <t>Multifamily Rural projects w/out DCA HOME</t>
  </si>
  <si>
    <t>State Boost</t>
  </si>
  <si>
    <t xml:space="preserve">In a letter from DCA: "The request for a Pre-Application Designation of the Rural HOME Preservation Set Aside by [Woodstone Apartments II] is Granted"
XXII. B. 3): The Project Team has only completed one successful deal under the Rural HOME Preservation Set Aside; however the Project Team has completed numerous successful Tax Credit deals with DCA as well as other state housing agencies. Applicant is unsure which number DCA requires for this item.  </t>
  </si>
  <si>
    <t>Year 20 Replacement Reserve payments will be adjusted to eliminate cashflow deficit</t>
  </si>
  <si>
    <t>Submeter change out costs</t>
  </si>
  <si>
    <t>Engineering-Const Cost Analysis, PNA Report, radon testing, etc.</t>
  </si>
  <si>
    <t>Sugar Creek</t>
  </si>
  <si>
    <t>Regions Bank &amp; Sugar Creek</t>
  </si>
  <si>
    <t>The Project will not involve HOME funds. The ESA does show wetlands adjacent to the complex, however, the fully developed site does not have all three of the required components to be a wetland. (statement from page 26 of the Phase I ESA for Woodstone Apartments II)</t>
  </si>
  <si>
    <t>CRS as facilitator is experienced in all aspects of relocation including Resident Engagement.</t>
  </si>
  <si>
    <t>320 Main Street East</t>
  </si>
  <si>
    <t>Managing Member</t>
  </si>
  <si>
    <t>Cheryl Murphy-Fetcinko</t>
  </si>
  <si>
    <t>There will be no permanent debt  for  the Woodstone II property. The equity will be used to extinguish the existing HOME debt balance of approx. $752,783 (as of 3/1/2019) with the balance of the proceeds used for acquisition and rehab of the property as outlined in the rehabilitation schedule and the Physical Needs Assessment report.</t>
  </si>
  <si>
    <t>Asset Management Fees</t>
  </si>
  <si>
    <t>Units currently at 50% AMI will be changed to target 60% AMI once the HOME restrictions have expired July 5, 2020.
       The equity commitment letters provide for an Asset Management Reporting Fee to be payable to the Federal Equity Limited Partner Investor in the amount of $3,000 annually and with the State Investment Limited Partner receiving and annual fee equal to 1/2 of the Federal Equity Asset Management Reporting Fee.  The Uses Tab Part IV under Start Up Reserves provides for a special reserve to be established and held by the property for the purpose of paying the annual Asset Management/Investor Service Reporting Fee.  The reserve is provided  to guarantee the payment to the Asset Manager in the event cashflow is insufficient to pay the estimated fee in any given year.  The Proforma VII Tab and the Part VI-Revenues &amp; Expenses Tab have each been modified to reflect the cash coming into the Operating Budget and coming out of the annual budget on the Operating Proforma at the annual fee rate.   The Annual Reporting Fee will only be required during the actual tax credit compliance years.</t>
  </si>
  <si>
    <t xml:space="preserve">Relocation costs related to moving tenants temporarily during the rehab of each unit and cost of relocation consultant specialist to review all paperwork, coordinate meetings, and document appropriate tenant files, etc. for the temporary relocation of units. The cost of the move back into the units as needed is also included here. </t>
  </si>
  <si>
    <t>This cost of temporary relocation and consultant fees has been excluded from the tax credit basis.</t>
  </si>
  <si>
    <t>T &amp; I Escrow--$37,680; Asset Mgmt Fees --$45,000</t>
  </si>
  <si>
    <t xml:space="preserve">Equity will be used to fund Tax &amp; Insurance escrows for the initial year of operations and the Equity Investors/Syndicatos make an investment into the property to guarantee payment of the Annual Asset Management Fees. </t>
  </si>
  <si>
    <t>The T&amp;I Escrow and the Syndicator Reserves are not included in the tax credit basis.</t>
  </si>
  <si>
    <t>Physical Needs Assessment Report and inspections, construction cost analysis for construction &amp; equity lender, engineering related to rehab such as possible radon abatement, other engineering inspections and cost of mitigation of possible radon abatement.</t>
  </si>
  <si>
    <t xml:space="preserve">The items included in this line item are related to the actual design of and for the rehab of the physical units and therefore includable in the basis of the rehab units for the tax credits. </t>
  </si>
  <si>
    <t>Relocation cost explanation included on Tab IV-B-Other Items</t>
  </si>
  <si>
    <t>Calculations do not include Water and Sewer cost. The owner will pay Water and Sewer for the project. Submeters will be installed to comply with the Georgia State Law-- 2010 The Georgia Water Stewardship Act.</t>
  </si>
  <si>
    <t>APPLICANTS: Explain any any debt service payment amounts that deviate from the amount shown in Permanent Sources (Part III)--There are no debt service payments for this property.
    The EGI ratio for the property stays above the requirement at 1.10 through year 15. The rents used in the application are reflective of the proposed rents to be charged at the property currently. The expenses used in the operating budget are similar to the actual expenses that the property has been operating under for the past several years. See the 2016-2017 Financial Statements included in the Feasibility tab of the application. The QAP requires a minimum of $3,500 per unit in operating expenses before Replacement Reserves for Rural Projects located in a MSA. Leesburg is Rural although it is included in the Albany MSA for incomes and rents. The project is currently operating at approximately $4,309-$4,560 in operating expenses per unit with replacement reserves being funded at $200 per unit. The EGI declines over the remainder of the project operating pro forma due to the required annual increase in replacement reserves at $350 per unit with the annual required increase of 3%. The Effective Gross Income ratio over expenses is sufficient to cover the cost of operations through year 15. 
   The targeting shown in the Revenues/Rents Tab reflects the HOME Loan targeting and tax credit targeting currently covering the property.  The HOME Loan affordability period will end approx. July 5, 2020. The tax credit targeting of 100% of the units at 60% will be effective for the property beginning with the rentup of each unit.  The application is intended to meet the requirements of both the HOME affordability period through 7/5/2020 and the future tax credit targeting of 100% @ 60%.
    The equity commitment letters provide for an Asset Management Reporting Fee to be payable to the Federal Equity Limited Partner Investor in the amount of $3,000 annually and with the State Investment Limited Partner receiving and annual fee equal to 1/2 of the Federal Equity Asset Management Reporting Fee.  The Uses Tab Part IV under Start Up Reserves provides for a special reserve to be established and held by the property for the purpose of paying the annual Asset Management/Investor Service Reporting Fee.  The reserve is provided  to guarantee the payment to the Asset Manager in the event cashflow is insufficient to pay the estimated fee in any given year.  The Proforma VII Tab and the Part VI-Revenues &amp; Expenses Tab have each been modified to reflect the cash coming into the Operating Budget and coming out of the annual budget on the Operating Proforma at the annual fee rate.   The Annual Reporting Fee will only be required during the actual tax credit compliance years.</t>
  </si>
  <si>
    <t>Plans for the rehabilitation of Woodstone Apartments include improvements to all accessibility features. Sidewalks, striping, parking, and equipment within the units will all be improved and updated to meet the highest standard of accessibility.</t>
  </si>
  <si>
    <t xml:space="preserve">Woodstone Apartments II will be a substantial rehab of the existing Woodstone Apartments located at 320 Main Street just east of downtown Leesburg. The complex has 40 low income tax credit/HOME units and a community building. There are 12, one-bedroom units, 24 units that are two-bedroom, and 4, three-bedroom units. Woodstone is a well maintained and well managed property that has served the residents of this community for over 20 years. The complex is only 2 blocks from the Lee County High School and near downtown Leesburg. This location provides convenient and easy access to all area amenities and services. The PNA and scope of work indicate the  need for significant rehabilitation as originally planned. Some items include replacing all HVAC units, appliances, siding and gable repairs as needed, cabinets, stairways and railings, gutters and downspouts, grounds improvements and other cosmetic work as necessary. Also included will be all necessary work to guarantee proper accessibility. An outdoor gathering space will be added as well as a computer center in the community building. With the ability to bring energy efficiency to the complex and an elimination of debt, Woodstone Apartments will operate efficiently and be in a position to serve low income residents for many years to come. This project meets all the requirements for the Rural HOME Preservation set-aside and is a worthwhile preservation of existing housing.  The project team of Olympia Construction and its affiliates has 30 years of experience in Affordable Housing ownership, development, construction, and management in many states. This experience does include a substantial number of rehab and preservation projects. With the assistance of CRS, Relocation Specialists, Woodstone Apartments II anticipates nominal disturbance to tenants and expects to be able to relocate tenants within the complex and not displace anyone during renovation. </t>
  </si>
  <si>
    <t>spayne@cityofleesburgga.com</t>
  </si>
  <si>
    <t>* To all applicants: in addition to your other comments, please provide methodology for determining applicable construction hard costs.
.Uses of Funds Construction Loan Interest amount estimated is based upon  the interest rates quoted by Regions Bank LOI Commitment Letters for Equity and the Construction Loan.  Since the prime lending rate has risen over the past year several times and the construction loan interest rate will be based upon a blend of the LIBOR rate plus additional points and Regions used 7% as the construction loan interest rate for a safe harbor calculation in the Equity LOI the construction loan interest was calculated at a rate of 5.50% for a full 12 months on the full $4,100,000 construction loan request.  It is estimated that the construction loan will be satisfied once the rehabilitation is complete, the Certificates of Occupancy are received, and the units are occuppied by qualifying tenants.  If there are any interest cost savings, those savings can and will be used to further improve the property prior to completion of the cost certification and issuance of the Forms 8609.                    Hard costs were determined based on actual current costs of ongoing similar rehabilitation work being performed by Olympia Construction, Inc., the General Contractor of Woodstone Apartments II. Olympis is currently involved in several apartment rehab projects.</t>
  </si>
  <si>
    <t>Woodstone Apartments II is the only project applied for by the project team.</t>
  </si>
  <si>
    <t>Woodstone Apartments II, LP-Deferred Dev. Fee</t>
  </si>
  <si>
    <t>2019-049</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</si>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</sst>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s>
  <cellStyleXfs count="35">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xf numFmtId="0" fontId="4" fillId="0" borderId="142">
      <alignment horizontal="left" vertical="center"/>
    </xf>
    <xf numFmtId="10" fontId="3" fillId="3" borderId="144" applyNumberFormat="0" applyBorder="0" applyAlignment="0" applyProtection="0"/>
  </cellStyleXfs>
  <cellXfs count="4205">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4" fillId="0" borderId="29" xfId="1" applyNumberFormat="1" applyFont="1" applyFill="1" applyBorder="1" applyAlignment="1" applyProtection="1">
      <alignment horizontal="center" vertical="center"/>
    </xf>
    <xf numFmtId="164" fontId="264"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1"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4" fillId="0" borderId="28" xfId="0" applyFont="1" applyFill="1" applyBorder="1" applyAlignment="1" applyProtection="1">
      <alignment horizontal="center" vertical="center"/>
    </xf>
    <xf numFmtId="0" fontId="264"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80" fillId="0" borderId="0" xfId="13" applyFont="1" applyProtection="1"/>
    <xf numFmtId="0" fontId="187" fillId="0" borderId="0" xfId="13" applyFont="1" applyAlignment="1" applyProtection="1"/>
    <xf numFmtId="0" fontId="75" fillId="0" borderId="0" xfId="13" applyFont="1" applyAlignment="1" applyProtection="1"/>
    <xf numFmtId="0" fontId="188"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5"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143"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2"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5">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eader2 2 2" xfId="33"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Input [yellow] 2 2" xfId="34" xr:uid="{00000000-0005-0000-0000-000012000000}"/>
    <cellStyle name="LINK" xfId="21" xr:uid="{00000000-0005-0000-0000-000013000000}"/>
    <cellStyle name="no dec" xfId="22" xr:uid="{00000000-0005-0000-0000-000014000000}"/>
    <cellStyle name="Nor@„l_IRRSENS" xfId="23" xr:uid="{00000000-0005-0000-0000-000015000000}"/>
    <cellStyle name="Normal" xfId="0" builtinId="0"/>
    <cellStyle name="Normal - Style1" xfId="8" xr:uid="{00000000-0005-0000-0000-000017000000}"/>
    <cellStyle name="Normal 2" xfId="12" xr:uid="{00000000-0005-0000-0000-000018000000}"/>
    <cellStyle name="Normal 3" xfId="13" xr:uid="{00000000-0005-0000-0000-000019000000}"/>
    <cellStyle name="Normal 4" xfId="24" xr:uid="{00000000-0005-0000-0000-00001A000000}"/>
    <cellStyle name="Normal 5" xfId="30"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33203125" defaultRowHeight="13.2"/>
  <cols>
    <col min="1" max="1" width="171.44140625" style="26" customWidth="1"/>
    <col min="2" max="16384" width="9.33203125" style="26"/>
  </cols>
  <sheetData>
    <row r="1" spans="1:6" ht="15" customHeight="1">
      <c r="A1" s="862" t="s">
        <v>978</v>
      </c>
    </row>
    <row r="2" spans="1:6" ht="15" customHeight="1">
      <c r="A2" s="863" t="str">
        <f>'Part I-Project Information'!F34</f>
        <v>Woodstone Apartments II</v>
      </c>
    </row>
    <row r="3" spans="1:6" ht="15" customHeight="1">
      <c r="A3" s="863" t="str">
        <f>CONCATENATE('Part I-Project Information'!F38,", ", 'Part I-Project Information'!J39," County")</f>
        <v>Leesburg, Lee County</v>
      </c>
    </row>
    <row r="4" spans="1:6" ht="12" customHeight="1">
      <c r="A4" s="1982"/>
    </row>
    <row r="5" spans="1:6" ht="96" customHeight="1">
      <c r="A5" s="2764" t="s">
        <v>5298</v>
      </c>
      <c r="B5" s="2765" t="s">
        <v>5045</v>
      </c>
      <c r="C5" s="2765"/>
      <c r="D5" s="2765"/>
      <c r="E5" s="2765"/>
      <c r="F5" s="2765"/>
    </row>
    <row r="6" spans="1:6" ht="24" customHeight="1">
      <c r="A6" s="2764"/>
      <c r="B6" s="2765"/>
      <c r="C6" s="2765"/>
      <c r="D6" s="2765"/>
      <c r="E6" s="2765"/>
      <c r="F6" s="2765"/>
    </row>
    <row r="7" spans="1:6" ht="72" customHeight="1">
      <c r="A7" s="2764"/>
      <c r="B7" s="2765"/>
      <c r="C7" s="2765"/>
      <c r="D7" s="2765"/>
      <c r="E7" s="2765"/>
      <c r="F7" s="2765"/>
    </row>
    <row r="8" spans="1:6" ht="6.6" customHeight="1">
      <c r="A8" s="2764"/>
    </row>
    <row r="9" spans="1:6" ht="72" customHeight="1">
      <c r="A9" s="2764"/>
    </row>
    <row r="10" spans="1:6" ht="6.6" customHeight="1">
      <c r="A10" s="2764"/>
    </row>
    <row r="11" spans="1:6" ht="72" customHeight="1">
      <c r="A11" s="2764"/>
    </row>
    <row r="12" spans="1:6" ht="6.6" customHeight="1">
      <c r="A12" s="2764"/>
    </row>
    <row r="13" spans="1:6" ht="72" customHeight="1">
      <c r="A13" s="2764"/>
    </row>
    <row r="14" spans="1:6" ht="6.6" customHeight="1">
      <c r="A14" s="2764"/>
    </row>
    <row r="15" spans="1:6" ht="72" customHeight="1">
      <c r="A15" s="2764"/>
    </row>
    <row r="16" spans="1:6" ht="6.6" customHeight="1">
      <c r="A16" s="2764"/>
    </row>
    <row r="17" spans="1:1" ht="72" customHeight="1">
      <c r="A17" s="2764"/>
    </row>
    <row r="18" spans="1:1" ht="6.6" customHeight="1">
      <c r="A18" s="2764"/>
    </row>
    <row r="19" spans="1:1" ht="72" customHeight="1">
      <c r="A19" s="2764"/>
    </row>
    <row r="20" spans="1:1" ht="6.6" customHeight="1">
      <c r="A20" s="2764"/>
    </row>
    <row r="21" spans="1:1" ht="72" customHeight="1">
      <c r="A21" s="2764"/>
    </row>
    <row r="22" spans="1:1" ht="6.6" customHeight="1">
      <c r="A22" s="2764"/>
    </row>
    <row r="23" spans="1:1" ht="72" customHeight="1">
      <c r="A23" s="2764"/>
    </row>
  </sheetData>
  <sheetProtection algorithmName="SHA-512" hashValue="q3uXT0FIMTJ30/wSSIvb19qwgJ/Nr0+P0x1OMbEa6wF4Fd5e38MnrEc/g7ljsoSvRxI5IdTrL/mr4Lodnn5VNg==" saltValue="Y9Yh0ayz2oxzuG87gRpKIw==" spinCount="100000" sheet="1" object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0" zoomScaleNormal="100" workbookViewId="0">
      <selection activeCell="A40" sqref="A1:XFD1048576"/>
    </sheetView>
  </sheetViews>
  <sheetFormatPr defaultColWidth="9.3320312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33203125" style="7" customWidth="1"/>
    <col min="7" max="8" width="9.6640625" style="7" customWidth="1"/>
    <col min="9" max="9" width="11.6640625" style="7" customWidth="1"/>
    <col min="10" max="10" width="10.3320312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33203125" style="82" customWidth="1"/>
    <col min="22" max="22" width="47.6640625" style="82" customWidth="1"/>
    <col min="23" max="136" width="9.33203125" style="448" customWidth="1"/>
    <col min="137" max="137" width="12.5546875" style="448" customWidth="1"/>
    <col min="138" max="138" width="8.33203125" style="448" customWidth="1"/>
    <col min="139" max="142" width="7.33203125" style="448" customWidth="1"/>
    <col min="143" max="143" width="8.33203125" style="448" customWidth="1"/>
    <col min="144" max="147" width="7.33203125" style="448" customWidth="1"/>
    <col min="148" max="157" width="9.33203125" style="448" customWidth="1"/>
    <col min="158" max="158" width="8.33203125" style="448" customWidth="1"/>
    <col min="159" max="162" width="7.33203125" style="448" customWidth="1"/>
    <col min="163" max="167" width="9.33203125" style="448" customWidth="1"/>
    <col min="168" max="168" width="8.33203125" style="448" customWidth="1"/>
    <col min="169" max="172" width="7.33203125" style="448" customWidth="1"/>
    <col min="173" max="252" width="9.33203125" style="448" customWidth="1"/>
    <col min="253" max="257" width="11.33203125" style="448" customWidth="1"/>
    <col min="258" max="272" width="9.33203125" style="448" customWidth="1"/>
    <col min="273" max="273" width="10.33203125" style="448" customWidth="1"/>
    <col min="274" max="277" width="10" style="448" customWidth="1"/>
    <col min="278" max="281" width="9.33203125" style="448" customWidth="1"/>
    <col min="282" max="282" width="9.33203125" style="453" customWidth="1"/>
    <col min="283" max="286" width="9.33203125" style="448" customWidth="1"/>
    <col min="287" max="297" width="9.33203125" style="453" customWidth="1"/>
    <col min="298" max="307" width="11.5546875" style="453" customWidth="1"/>
    <col min="308" max="318" width="9.33203125" style="453" customWidth="1"/>
    <col min="319" max="324" width="9.33203125" style="448" customWidth="1"/>
    <col min="325" max="325" width="9.33203125" style="456" customWidth="1"/>
    <col min="326" max="340" width="9.33203125" style="448" customWidth="1"/>
    <col min="341" max="342" width="9.33203125" style="456" customWidth="1"/>
    <col min="343" max="349" width="10.33203125" style="448" customWidth="1"/>
    <col min="350" max="352" width="9.33203125" style="448"/>
    <col min="353" max="353" width="10.44140625" style="448" customWidth="1"/>
    <col min="354" max="357" width="10.33203125" style="448" customWidth="1"/>
    <col min="358" max="393" width="9.33203125" style="448"/>
    <col min="394" max="492" width="9.33203125" style="147"/>
    <col min="493" max="16384" width="9.33203125" style="82"/>
  </cols>
  <sheetData>
    <row r="1" spans="1:492" s="90" customFormat="1" ht="13.95" customHeight="1">
      <c r="A1" s="3172" t="str">
        <f>CONCATENATE("PART SIX - PROJECTED REVENUES &amp; EXPENSES","  -  ",'Part I-Project Information'!$O$6," ",'Part I-Project Information'!$F$34,", ",'Part I-Project Information'!F38,", ",'Part I-Project Information'!J39," County")</f>
        <v>PART SIX - PROJECTED REVENUES &amp; EXPENSES  -  2019-049 Woodstone Apartments II, Leesburg, Lee County</v>
      </c>
      <c r="B1" s="3173"/>
      <c r="C1" s="3173"/>
      <c r="D1" s="3173"/>
      <c r="E1" s="3173"/>
      <c r="F1" s="3173"/>
      <c r="G1" s="3173"/>
      <c r="H1" s="3173"/>
      <c r="I1" s="3173"/>
      <c r="J1" s="3173"/>
      <c r="K1" s="3173"/>
      <c r="L1" s="3173"/>
      <c r="M1" s="3173"/>
      <c r="N1" s="3173"/>
      <c r="O1" s="3173"/>
      <c r="P1" s="3174"/>
      <c r="U1" s="3456" t="str">
        <f>A1</f>
        <v>PART SIX - PROJECTED REVENUES &amp; EXPENSES  -  2019-049 Woodstone Apartments II, Leesburg, Lee County</v>
      </c>
      <c r="V1" s="3456"/>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615</v>
      </c>
      <c r="B3" s="3" t="s">
        <v>2365</v>
      </c>
      <c r="C3" s="1"/>
      <c r="D3" s="924" t="s">
        <v>3567</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484</v>
      </c>
      <c r="IE3" s="452" t="s">
        <v>2439</v>
      </c>
      <c r="IF3" s="452" t="s">
        <v>2440</v>
      </c>
      <c r="IG3" s="452" t="s">
        <v>2441</v>
      </c>
      <c r="IH3" s="452" t="s">
        <v>2442</v>
      </c>
      <c r="II3" s="452" t="s">
        <v>484</v>
      </c>
      <c r="IJ3" s="452" t="s">
        <v>2439</v>
      </c>
      <c r="IK3" s="452" t="s">
        <v>2440</v>
      </c>
      <c r="IL3" s="452" t="s">
        <v>2441</v>
      </c>
      <c r="IM3" s="452" t="s">
        <v>2442</v>
      </c>
      <c r="IN3" s="2253"/>
      <c r="IO3" s="2253"/>
      <c r="IP3" s="2253"/>
      <c r="IQ3" s="2253"/>
      <c r="IR3" s="2253"/>
      <c r="IS3" s="2253"/>
      <c r="IT3" s="2253"/>
      <c r="IU3" s="2253"/>
      <c r="IV3" s="2253"/>
      <c r="IW3" s="2253"/>
      <c r="IX3" s="452" t="s">
        <v>484</v>
      </c>
      <c r="IY3" s="452" t="s">
        <v>2439</v>
      </c>
      <c r="IZ3" s="452" t="s">
        <v>2440</v>
      </c>
      <c r="JA3" s="452" t="s">
        <v>2441</v>
      </c>
      <c r="JB3" s="452" t="s">
        <v>2442</v>
      </c>
      <c r="JC3" s="452" t="s">
        <v>484</v>
      </c>
      <c r="JD3" s="452" t="s">
        <v>2439</v>
      </c>
      <c r="JE3" s="452" t="s">
        <v>2440</v>
      </c>
      <c r="JF3" s="452" t="s">
        <v>2441</v>
      </c>
      <c r="JG3" s="452" t="s">
        <v>2442</v>
      </c>
      <c r="JH3" s="452" t="s">
        <v>484</v>
      </c>
      <c r="JI3" s="452" t="s">
        <v>2439</v>
      </c>
      <c r="JJ3" s="452" t="s">
        <v>2440</v>
      </c>
      <c r="JK3" s="452" t="s">
        <v>2441</v>
      </c>
      <c r="JL3" s="452" t="s">
        <v>2442</v>
      </c>
      <c r="JM3" s="452" t="s">
        <v>484</v>
      </c>
      <c r="JN3" s="452" t="s">
        <v>2439</v>
      </c>
      <c r="JO3" s="452" t="s">
        <v>2440</v>
      </c>
      <c r="JP3" s="452" t="s">
        <v>2441</v>
      </c>
      <c r="JQ3" s="452" t="s">
        <v>2442</v>
      </c>
      <c r="JR3" s="452" t="s">
        <v>484</v>
      </c>
      <c r="JS3" s="452" t="s">
        <v>2439</v>
      </c>
      <c r="JT3" s="452" t="s">
        <v>2440</v>
      </c>
      <c r="JU3" s="452" t="s">
        <v>2441</v>
      </c>
      <c r="JV3" s="452" t="s">
        <v>2442</v>
      </c>
      <c r="JW3" s="452" t="s">
        <v>484</v>
      </c>
      <c r="JX3" s="452" t="s">
        <v>2439</v>
      </c>
      <c r="JY3" s="452" t="s">
        <v>2440</v>
      </c>
      <c r="JZ3" s="452" t="s">
        <v>2441</v>
      </c>
      <c r="KA3" s="452" t="s">
        <v>2442</v>
      </c>
      <c r="KB3" s="452" t="s">
        <v>484</v>
      </c>
      <c r="KC3" s="452" t="s">
        <v>2439</v>
      </c>
      <c r="KD3" s="452" t="s">
        <v>2440</v>
      </c>
      <c r="KE3" s="452" t="s">
        <v>2441</v>
      </c>
      <c r="KF3" s="452" t="s">
        <v>2442</v>
      </c>
      <c r="KG3" s="452" t="s">
        <v>484</v>
      </c>
      <c r="KH3" s="452" t="s">
        <v>2439</v>
      </c>
      <c r="KI3" s="452" t="s">
        <v>2440</v>
      </c>
      <c r="KJ3" s="452" t="s">
        <v>2441</v>
      </c>
      <c r="KK3" s="452" t="s">
        <v>2442</v>
      </c>
      <c r="KL3" s="452" t="s">
        <v>484</v>
      </c>
      <c r="KM3" s="452" t="s">
        <v>2439</v>
      </c>
      <c r="KN3" s="452" t="s">
        <v>2440</v>
      </c>
      <c r="KO3" s="452" t="s">
        <v>2441</v>
      </c>
      <c r="KP3" s="452" t="s">
        <v>2442</v>
      </c>
      <c r="KQ3" s="452" t="s">
        <v>484</v>
      </c>
      <c r="KR3" s="452" t="s">
        <v>2439</v>
      </c>
      <c r="KS3" s="452" t="s">
        <v>2440</v>
      </c>
      <c r="KT3" s="452" t="s">
        <v>2441</v>
      </c>
      <c r="KU3" s="452" t="s">
        <v>2442</v>
      </c>
      <c r="KV3" s="452" t="s">
        <v>484</v>
      </c>
      <c r="KW3" s="452" t="s">
        <v>2439</v>
      </c>
      <c r="KX3" s="452" t="s">
        <v>2440</v>
      </c>
      <c r="KY3" s="452" t="s">
        <v>2441</v>
      </c>
      <c r="KZ3" s="452" t="s">
        <v>2442</v>
      </c>
      <c r="LA3" s="452" t="s">
        <v>484</v>
      </c>
      <c r="LB3" s="452" t="s">
        <v>2439</v>
      </c>
      <c r="LC3" s="452" t="s">
        <v>2440</v>
      </c>
      <c r="LD3" s="452" t="s">
        <v>2441</v>
      </c>
      <c r="LE3" s="452" t="s">
        <v>2442</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3440" t="s">
        <v>3421</v>
      </c>
      <c r="MF3" s="3440" t="s">
        <v>3422</v>
      </c>
      <c r="MG3" s="3440" t="s">
        <v>3423</v>
      </c>
      <c r="MH3" s="3440" t="s">
        <v>3424</v>
      </c>
      <c r="MI3" s="3440" t="s">
        <v>3425</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52" t="s">
        <v>3697</v>
      </c>
      <c r="Q4" s="2286"/>
      <c r="R4" s="416"/>
      <c r="S4" s="416"/>
      <c r="T4" s="416"/>
      <c r="U4" s="416"/>
      <c r="V4" s="417"/>
      <c r="W4" s="3400" t="s">
        <v>4621</v>
      </c>
      <c r="X4" s="3400" t="s">
        <v>4622</v>
      </c>
      <c r="Y4" s="3400" t="s">
        <v>4623</v>
      </c>
      <c r="Z4" s="3400" t="s">
        <v>4624</v>
      </c>
      <c r="AA4" s="3400" t="s">
        <v>4625</v>
      </c>
      <c r="AB4" s="3400" t="s">
        <v>4626</v>
      </c>
      <c r="AC4" s="3400" t="s">
        <v>4627</v>
      </c>
      <c r="AD4" s="3400" t="s">
        <v>4628</v>
      </c>
      <c r="AE4" s="3400" t="s">
        <v>4629</v>
      </c>
      <c r="AF4" s="3400" t="s">
        <v>4630</v>
      </c>
      <c r="AG4" s="3400" t="s">
        <v>918</v>
      </c>
      <c r="AH4" s="3400" t="s">
        <v>755</v>
      </c>
      <c r="AI4" s="3400" t="s">
        <v>756</v>
      </c>
      <c r="AJ4" s="3400" t="s">
        <v>757</v>
      </c>
      <c r="AK4" s="3400" t="s">
        <v>758</v>
      </c>
      <c r="AL4" s="3400" t="s">
        <v>919</v>
      </c>
      <c r="AM4" s="3400" t="s">
        <v>2309</v>
      </c>
      <c r="AN4" s="3400" t="s">
        <v>2310</v>
      </c>
      <c r="AO4" s="3400" t="s">
        <v>2311</v>
      </c>
      <c r="AP4" s="3400" t="s">
        <v>2312</v>
      </c>
      <c r="AQ4" s="3400" t="s">
        <v>4632</v>
      </c>
      <c r="AR4" s="3400" t="s">
        <v>4633</v>
      </c>
      <c r="AS4" s="3400" t="s">
        <v>4634</v>
      </c>
      <c r="AT4" s="3400" t="s">
        <v>4635</v>
      </c>
      <c r="AU4" s="3400" t="s">
        <v>4631</v>
      </c>
      <c r="AV4" s="3400" t="s">
        <v>920</v>
      </c>
      <c r="AW4" s="3400" t="s">
        <v>2313</v>
      </c>
      <c r="AX4" s="3400" t="s">
        <v>2314</v>
      </c>
      <c r="AY4" s="3400" t="s">
        <v>2315</v>
      </c>
      <c r="AZ4" s="3400" t="s">
        <v>2316</v>
      </c>
      <c r="BA4" s="3400" t="s">
        <v>4636</v>
      </c>
      <c r="BB4" s="3400" t="s">
        <v>4637</v>
      </c>
      <c r="BC4" s="3400" t="s">
        <v>4638</v>
      </c>
      <c r="BD4" s="3400" t="s">
        <v>4639</v>
      </c>
      <c r="BE4" s="3400" t="s">
        <v>4640</v>
      </c>
      <c r="BF4" s="3400" t="s">
        <v>129</v>
      </c>
      <c r="BG4" s="3400" t="s">
        <v>2317</v>
      </c>
      <c r="BH4" s="3400" t="s">
        <v>2318</v>
      </c>
      <c r="BI4" s="3400" t="s">
        <v>2319</v>
      </c>
      <c r="BJ4" s="3400" t="s">
        <v>1147</v>
      </c>
      <c r="BK4" s="3400" t="s">
        <v>4641</v>
      </c>
      <c r="BL4" s="3400" t="s">
        <v>4642</v>
      </c>
      <c r="BM4" s="3400" t="s">
        <v>4643</v>
      </c>
      <c r="BN4" s="3400" t="s">
        <v>4644</v>
      </c>
      <c r="BO4" s="3400" t="s">
        <v>4645</v>
      </c>
      <c r="BP4" s="3400" t="s">
        <v>555</v>
      </c>
      <c r="BQ4" s="3400" t="s">
        <v>556</v>
      </c>
      <c r="BR4" s="3400" t="s">
        <v>576</v>
      </c>
      <c r="BS4" s="3400" t="s">
        <v>577</v>
      </c>
      <c r="BT4" s="3400" t="s">
        <v>578</v>
      </c>
      <c r="BU4" s="3400" t="s">
        <v>4646</v>
      </c>
      <c r="BV4" s="3400" t="s">
        <v>4647</v>
      </c>
      <c r="BW4" s="3400" t="s">
        <v>4648</v>
      </c>
      <c r="BX4" s="3400" t="s">
        <v>4649</v>
      </c>
      <c r="BY4" s="3400" t="s">
        <v>4650</v>
      </c>
      <c r="BZ4" s="3400" t="s">
        <v>579</v>
      </c>
      <c r="CA4" s="3400" t="s">
        <v>580</v>
      </c>
      <c r="CB4" s="3400" t="s">
        <v>581</v>
      </c>
      <c r="CC4" s="3400" t="s">
        <v>582</v>
      </c>
      <c r="CD4" s="3400" t="s">
        <v>583</v>
      </c>
      <c r="CE4" s="3400" t="s">
        <v>584</v>
      </c>
      <c r="CF4" s="3400" t="s">
        <v>585</v>
      </c>
      <c r="CG4" s="3400" t="s">
        <v>930</v>
      </c>
      <c r="CH4" s="3400" t="s">
        <v>931</v>
      </c>
      <c r="CI4" s="3400" t="s">
        <v>932</v>
      </c>
      <c r="CJ4" s="3400" t="s">
        <v>4656</v>
      </c>
      <c r="CK4" s="3400" t="s">
        <v>4657</v>
      </c>
      <c r="CL4" s="3400" t="s">
        <v>4658</v>
      </c>
      <c r="CM4" s="3400" t="s">
        <v>4659</v>
      </c>
      <c r="CN4" s="3400" t="s">
        <v>4660</v>
      </c>
      <c r="CO4" s="3400" t="s">
        <v>4651</v>
      </c>
      <c r="CP4" s="3400" t="s">
        <v>4652</v>
      </c>
      <c r="CQ4" s="3400" t="s">
        <v>4653</v>
      </c>
      <c r="CR4" s="3400" t="s">
        <v>4654</v>
      </c>
      <c r="CS4" s="3400" t="s">
        <v>4655</v>
      </c>
      <c r="CT4" s="3400" t="s">
        <v>4661</v>
      </c>
      <c r="CU4" s="3400" t="s">
        <v>4662</v>
      </c>
      <c r="CV4" s="3400" t="s">
        <v>4663</v>
      </c>
      <c r="CW4" s="3400" t="s">
        <v>4664</v>
      </c>
      <c r="CX4" s="3400" t="s">
        <v>4665</v>
      </c>
      <c r="CY4" s="3400" t="s">
        <v>495</v>
      </c>
      <c r="CZ4" s="3400" t="s">
        <v>496</v>
      </c>
      <c r="DA4" s="3400" t="s">
        <v>497</v>
      </c>
      <c r="DB4" s="3400" t="s">
        <v>498</v>
      </c>
      <c r="DC4" s="3400" t="s">
        <v>499</v>
      </c>
      <c r="DD4" s="3400" t="s">
        <v>4666</v>
      </c>
      <c r="DE4" s="3400" t="s">
        <v>4667</v>
      </c>
      <c r="DF4" s="3400" t="s">
        <v>4668</v>
      </c>
      <c r="DG4" s="3400" t="s">
        <v>4669</v>
      </c>
      <c r="DH4" s="3400" t="s">
        <v>4670</v>
      </c>
      <c r="DI4" s="3400" t="s">
        <v>879</v>
      </c>
      <c r="DJ4" s="3400" t="s">
        <v>880</v>
      </c>
      <c r="DK4" s="3400" t="s">
        <v>881</v>
      </c>
      <c r="DL4" s="3400" t="s">
        <v>882</v>
      </c>
      <c r="DM4" s="3400" t="s">
        <v>883</v>
      </c>
      <c r="DN4" s="3400" t="s">
        <v>884</v>
      </c>
      <c r="DO4" s="3400" t="s">
        <v>885</v>
      </c>
      <c r="DP4" s="3400" t="s">
        <v>886</v>
      </c>
      <c r="DQ4" s="3400" t="s">
        <v>887</v>
      </c>
      <c r="DR4" s="3400" t="s">
        <v>888</v>
      </c>
      <c r="DS4" s="3400" t="s">
        <v>4671</v>
      </c>
      <c r="DT4" s="3400" t="s">
        <v>4672</v>
      </c>
      <c r="DU4" s="3400" t="s">
        <v>4673</v>
      </c>
      <c r="DV4" s="3400" t="s">
        <v>4674</v>
      </c>
      <c r="DW4" s="3400" t="s">
        <v>4675</v>
      </c>
      <c r="DX4" s="3400" t="s">
        <v>4676</v>
      </c>
      <c r="DY4" s="3400" t="s">
        <v>4677</v>
      </c>
      <c r="DZ4" s="3400" t="s">
        <v>4678</v>
      </c>
      <c r="EA4" s="3400" t="s">
        <v>4679</v>
      </c>
      <c r="EB4" s="3400" t="s">
        <v>4680</v>
      </c>
      <c r="EC4" s="3400" t="s">
        <v>2429</v>
      </c>
      <c r="ED4" s="3400" t="s">
        <v>2430</v>
      </c>
      <c r="EE4" s="3400" t="s">
        <v>2431</v>
      </c>
      <c r="EF4" s="3400" t="s">
        <v>2432</v>
      </c>
      <c r="EG4" s="3400" t="s">
        <v>2433</v>
      </c>
      <c r="EH4" s="3400" t="s">
        <v>4681</v>
      </c>
      <c r="EI4" s="3400" t="s">
        <v>4682</v>
      </c>
      <c r="EJ4" s="3400" t="s">
        <v>4683</v>
      </c>
      <c r="EK4" s="3400" t="s">
        <v>4684</v>
      </c>
      <c r="EL4" s="3400" t="s">
        <v>4685</v>
      </c>
      <c r="EM4" s="3400" t="s">
        <v>4686</v>
      </c>
      <c r="EN4" s="3400" t="s">
        <v>4687</v>
      </c>
      <c r="EO4" s="3400" t="s">
        <v>4688</v>
      </c>
      <c r="EP4" s="3400" t="s">
        <v>4689</v>
      </c>
      <c r="EQ4" s="3400" t="s">
        <v>4690</v>
      </c>
      <c r="ER4" s="3440" t="s">
        <v>117</v>
      </c>
      <c r="ES4" s="3440" t="s">
        <v>1150</v>
      </c>
      <c r="ET4" s="3440" t="s">
        <v>1151</v>
      </c>
      <c r="EU4" s="3440" t="s">
        <v>1212</v>
      </c>
      <c r="EV4" s="3440" t="s">
        <v>1213</v>
      </c>
      <c r="EW4" s="3440" t="s">
        <v>132</v>
      </c>
      <c r="EX4" s="3440" t="s">
        <v>1214</v>
      </c>
      <c r="EY4" s="3440" t="s">
        <v>1215</v>
      </c>
      <c r="EZ4" s="3440" t="s">
        <v>1216</v>
      </c>
      <c r="FA4" s="3440" t="s">
        <v>1217</v>
      </c>
      <c r="FB4" s="3400" t="s">
        <v>4691</v>
      </c>
      <c r="FC4" s="3400" t="s">
        <v>4692</v>
      </c>
      <c r="FD4" s="3400" t="s">
        <v>4693</v>
      </c>
      <c r="FE4" s="3400" t="s">
        <v>4694</v>
      </c>
      <c r="FF4" s="3400" t="s">
        <v>4695</v>
      </c>
      <c r="FG4" s="3440" t="s">
        <v>131</v>
      </c>
      <c r="FH4" s="3440" t="s">
        <v>910</v>
      </c>
      <c r="FI4" s="3440" t="s">
        <v>911</v>
      </c>
      <c r="FJ4" s="3440" t="s">
        <v>912</v>
      </c>
      <c r="FK4" s="3440" t="s">
        <v>913</v>
      </c>
      <c r="FL4" s="3400" t="s">
        <v>4696</v>
      </c>
      <c r="FM4" s="3400" t="s">
        <v>4697</v>
      </c>
      <c r="FN4" s="3400" t="s">
        <v>4698</v>
      </c>
      <c r="FO4" s="3400" t="s">
        <v>4699</v>
      </c>
      <c r="FP4" s="3400" t="s">
        <v>4700</v>
      </c>
      <c r="FQ4" s="3440" t="s">
        <v>130</v>
      </c>
      <c r="FR4" s="3440" t="s">
        <v>914</v>
      </c>
      <c r="FS4" s="3440" t="s">
        <v>915</v>
      </c>
      <c r="FT4" s="3440" t="s">
        <v>916</v>
      </c>
      <c r="FU4" s="3440" t="s">
        <v>917</v>
      </c>
      <c r="FV4" s="3440" t="s">
        <v>808</v>
      </c>
      <c r="FW4" s="3440" t="s">
        <v>809</v>
      </c>
      <c r="FX4" s="3440" t="s">
        <v>810</v>
      </c>
      <c r="FY4" s="3440" t="s">
        <v>811</v>
      </c>
      <c r="FZ4" s="3440" t="s">
        <v>812</v>
      </c>
      <c r="GA4" s="3440" t="s">
        <v>956</v>
      </c>
      <c r="GB4" s="3440" t="s">
        <v>957</v>
      </c>
      <c r="GC4" s="3440" t="s">
        <v>958</v>
      </c>
      <c r="GD4" s="3440" t="s">
        <v>959</v>
      </c>
      <c r="GE4" s="3440" t="s">
        <v>2428</v>
      </c>
      <c r="GF4" s="3440" t="s">
        <v>1432</v>
      </c>
      <c r="GG4" s="3440" t="s">
        <v>1433</v>
      </c>
      <c r="GH4" s="3440" t="s">
        <v>1434</v>
      </c>
      <c r="GI4" s="3440" t="s">
        <v>1435</v>
      </c>
      <c r="GJ4" s="3440" t="s">
        <v>1436</v>
      </c>
      <c r="GK4" s="3440" t="s">
        <v>436</v>
      </c>
      <c r="GL4" s="3440" t="s">
        <v>437</v>
      </c>
      <c r="GM4" s="3440" t="s">
        <v>438</v>
      </c>
      <c r="GN4" s="3440" t="s">
        <v>439</v>
      </c>
      <c r="GO4" s="3440" t="s">
        <v>440</v>
      </c>
      <c r="GP4" s="3440" t="s">
        <v>17</v>
      </c>
      <c r="GQ4" s="3440" t="s">
        <v>18</v>
      </c>
      <c r="GR4" s="3440" t="s">
        <v>19</v>
      </c>
      <c r="GS4" s="3440" t="s">
        <v>20</v>
      </c>
      <c r="GT4" s="3440" t="s">
        <v>21</v>
      </c>
      <c r="GU4" s="3440" t="s">
        <v>222</v>
      </c>
      <c r="GV4" s="3440" t="s">
        <v>223</v>
      </c>
      <c r="GW4" s="3440" t="s">
        <v>224</v>
      </c>
      <c r="GX4" s="3440" t="s">
        <v>1810</v>
      </c>
      <c r="GY4" s="3440" t="s">
        <v>1811</v>
      </c>
      <c r="GZ4" s="3440" t="s">
        <v>1812</v>
      </c>
      <c r="HA4" s="3440" t="s">
        <v>591</v>
      </c>
      <c r="HB4" s="3440" t="s">
        <v>592</v>
      </c>
      <c r="HC4" s="3440" t="s">
        <v>593</v>
      </c>
      <c r="HD4" s="3440" t="s">
        <v>594</v>
      </c>
      <c r="HE4" s="3440" t="s">
        <v>22</v>
      </c>
      <c r="HF4" s="3440" t="s">
        <v>23</v>
      </c>
      <c r="HG4" s="3440" t="s">
        <v>24</v>
      </c>
      <c r="HH4" s="3440" t="s">
        <v>25</v>
      </c>
      <c r="HI4" s="3440" t="s">
        <v>26</v>
      </c>
      <c r="HJ4" s="3440" t="s">
        <v>494</v>
      </c>
      <c r="HK4" s="3440" t="s">
        <v>432</v>
      </c>
      <c r="HL4" s="3440" t="s">
        <v>433</v>
      </c>
      <c r="HM4" s="3440" t="s">
        <v>434</v>
      </c>
      <c r="HN4" s="3440" t="s">
        <v>435</v>
      </c>
      <c r="HO4" s="3440" t="s">
        <v>2207</v>
      </c>
      <c r="HP4" s="3440" t="s">
        <v>2208</v>
      </c>
      <c r="HQ4" s="3440" t="s">
        <v>2209</v>
      </c>
      <c r="HR4" s="3440" t="s">
        <v>1478</v>
      </c>
      <c r="HS4" s="3440" t="s">
        <v>1479</v>
      </c>
      <c r="HT4" s="3440" t="s">
        <v>27</v>
      </c>
      <c r="HU4" s="3440" t="s">
        <v>28</v>
      </c>
      <c r="HV4" s="3440" t="s">
        <v>29</v>
      </c>
      <c r="HW4" s="3440" t="s">
        <v>30</v>
      </c>
      <c r="HX4" s="3440"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3440" t="s">
        <v>1624</v>
      </c>
      <c r="LG4" s="3440" t="s">
        <v>2522</v>
      </c>
      <c r="LH4" s="3440" t="s">
        <v>2523</v>
      </c>
      <c r="LI4" s="3440" t="s">
        <v>386</v>
      </c>
      <c r="LJ4" s="3440" t="s">
        <v>387</v>
      </c>
      <c r="LK4" s="3440" t="s">
        <v>388</v>
      </c>
      <c r="LL4" s="3440" t="s">
        <v>389</v>
      </c>
      <c r="LM4" s="3440" t="s">
        <v>390</v>
      </c>
      <c r="LN4" s="3440" t="s">
        <v>391</v>
      </c>
      <c r="LO4" s="3440" t="s">
        <v>392</v>
      </c>
      <c r="LP4" s="3440" t="s">
        <v>202</v>
      </c>
      <c r="LQ4" s="3440" t="s">
        <v>203</v>
      </c>
      <c r="LR4" s="3440" t="s">
        <v>204</v>
      </c>
      <c r="LS4" s="3440" t="s">
        <v>205</v>
      </c>
      <c r="LT4" s="3440" t="s">
        <v>206</v>
      </c>
      <c r="LU4" s="3440" t="s">
        <v>207</v>
      </c>
      <c r="LV4" s="3440" t="s">
        <v>208</v>
      </c>
      <c r="LW4" s="3440" t="s">
        <v>209</v>
      </c>
      <c r="LX4" s="3440" t="s">
        <v>210</v>
      </c>
      <c r="LY4" s="3440" t="s">
        <v>211</v>
      </c>
      <c r="LZ4" s="3440" t="s">
        <v>212</v>
      </c>
      <c r="MA4" s="3440" t="s">
        <v>213</v>
      </c>
      <c r="MB4" s="3440" t="s">
        <v>214</v>
      </c>
      <c r="MC4" s="3440" t="s">
        <v>215</v>
      </c>
      <c r="MD4" s="3440" t="s">
        <v>216</v>
      </c>
      <c r="ME4" s="3440"/>
      <c r="MF4" s="3440"/>
      <c r="MG4" s="3440"/>
      <c r="MH4" s="3440"/>
      <c r="MI4" s="3440"/>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3459" t="str">
        <f>IF(A48&gt;0,"Finish Row!","")</f>
        <v/>
      </c>
      <c r="B5" s="3" t="s">
        <v>1845</v>
      </c>
      <c r="D5" s="1"/>
      <c r="E5" s="3"/>
      <c r="F5" s="1"/>
      <c r="G5" s="2585" t="s">
        <v>201</v>
      </c>
      <c r="J5" s="2288" t="s">
        <v>3562</v>
      </c>
      <c r="K5" s="3460" t="str">
        <f>'Part I-Project Information'!$B$6</f>
        <v>April 2019 Final</v>
      </c>
      <c r="L5" s="3461"/>
      <c r="M5" s="2285" t="s">
        <v>575</v>
      </c>
      <c r="O5" s="2287" t="s">
        <v>4716</v>
      </c>
      <c r="P5" s="3452"/>
      <c r="Q5" s="2286"/>
      <c r="R5" s="94"/>
      <c r="S5" s="94"/>
      <c r="T5" s="94"/>
      <c r="W5" s="3400"/>
      <c r="X5" s="3400"/>
      <c r="Y5" s="3400"/>
      <c r="Z5" s="3400"/>
      <c r="AA5" s="3400"/>
      <c r="AB5" s="3400"/>
      <c r="AC5" s="3400"/>
      <c r="AD5" s="3400"/>
      <c r="AE5" s="3400"/>
      <c r="AF5" s="3400"/>
      <c r="AG5" s="3400"/>
      <c r="AH5" s="3400"/>
      <c r="AI5" s="3400"/>
      <c r="AJ5" s="3400"/>
      <c r="AK5" s="3400"/>
      <c r="AL5" s="3400"/>
      <c r="AM5" s="3400"/>
      <c r="AN5" s="3400"/>
      <c r="AO5" s="3400"/>
      <c r="AP5" s="3400"/>
      <c r="AQ5" s="3400"/>
      <c r="AR5" s="3400"/>
      <c r="AS5" s="3400"/>
      <c r="AT5" s="3400"/>
      <c r="AU5" s="3400"/>
      <c r="AV5" s="3400"/>
      <c r="AW5" s="3400"/>
      <c r="AX5" s="3400"/>
      <c r="AY5" s="3400"/>
      <c r="AZ5" s="3400"/>
      <c r="BA5" s="3400"/>
      <c r="BB5" s="3400"/>
      <c r="BC5" s="3400"/>
      <c r="BD5" s="3400"/>
      <c r="BE5" s="3400"/>
      <c r="BF5" s="3400"/>
      <c r="BG5" s="3400"/>
      <c r="BH5" s="3400"/>
      <c r="BI5" s="3400"/>
      <c r="BJ5" s="3400"/>
      <c r="BK5" s="3400"/>
      <c r="BL5" s="3400"/>
      <c r="BM5" s="3400"/>
      <c r="BN5" s="3400"/>
      <c r="BO5" s="3400"/>
      <c r="BP5" s="3400"/>
      <c r="BQ5" s="3400"/>
      <c r="BR5" s="3400"/>
      <c r="BS5" s="3400"/>
      <c r="BT5" s="3400"/>
      <c r="BU5" s="3400"/>
      <c r="BV5" s="3400"/>
      <c r="BW5" s="3400"/>
      <c r="BX5" s="3400"/>
      <c r="BY5" s="3400"/>
      <c r="BZ5" s="3400"/>
      <c r="CA5" s="3400"/>
      <c r="CB5" s="3400"/>
      <c r="CC5" s="3400"/>
      <c r="CD5" s="3400"/>
      <c r="CE5" s="3400"/>
      <c r="CF5" s="3400"/>
      <c r="CG5" s="3400"/>
      <c r="CH5" s="3400"/>
      <c r="CI5" s="3400"/>
      <c r="CJ5" s="3400"/>
      <c r="CK5" s="3400"/>
      <c r="CL5" s="3400"/>
      <c r="CM5" s="3400"/>
      <c r="CN5" s="3400"/>
      <c r="CO5" s="3400"/>
      <c r="CP5" s="3400"/>
      <c r="CQ5" s="3400"/>
      <c r="CR5" s="3400"/>
      <c r="CS5" s="3400"/>
      <c r="CT5" s="3400"/>
      <c r="CU5" s="3400"/>
      <c r="CV5" s="3400"/>
      <c r="CW5" s="3400"/>
      <c r="CX5" s="3400"/>
      <c r="CY5" s="3400"/>
      <c r="CZ5" s="3400"/>
      <c r="DA5" s="3400"/>
      <c r="DB5" s="3400"/>
      <c r="DC5" s="3400"/>
      <c r="DD5" s="3400"/>
      <c r="DE5" s="3400"/>
      <c r="DF5" s="3400"/>
      <c r="DG5" s="3400"/>
      <c r="DH5" s="3400"/>
      <c r="DI5" s="3400"/>
      <c r="DJ5" s="3400"/>
      <c r="DK5" s="3400"/>
      <c r="DL5" s="3400"/>
      <c r="DM5" s="3400"/>
      <c r="DN5" s="3400"/>
      <c r="DO5" s="3400"/>
      <c r="DP5" s="3400"/>
      <c r="DQ5" s="3400"/>
      <c r="DR5" s="3400"/>
      <c r="DS5" s="3400"/>
      <c r="DT5" s="3400"/>
      <c r="DU5" s="3400"/>
      <c r="DV5" s="3400"/>
      <c r="DW5" s="3400"/>
      <c r="DX5" s="3400"/>
      <c r="DY5" s="3400"/>
      <c r="DZ5" s="3400"/>
      <c r="EA5" s="3400"/>
      <c r="EB5" s="3400"/>
      <c r="EC5" s="3400"/>
      <c r="ED5" s="3400"/>
      <c r="EE5" s="3400"/>
      <c r="EF5" s="3400"/>
      <c r="EG5" s="3400"/>
      <c r="EH5" s="3400"/>
      <c r="EI5" s="3400"/>
      <c r="EJ5" s="3400"/>
      <c r="EK5" s="3400"/>
      <c r="EL5" s="3400"/>
      <c r="EM5" s="3400"/>
      <c r="EN5" s="3400"/>
      <c r="EO5" s="3400"/>
      <c r="EP5" s="3400"/>
      <c r="EQ5" s="3400"/>
      <c r="ER5" s="3440"/>
      <c r="ES5" s="3440"/>
      <c r="ET5" s="3440"/>
      <c r="EU5" s="3440"/>
      <c r="EV5" s="3440"/>
      <c r="EW5" s="3440"/>
      <c r="EX5" s="3440"/>
      <c r="EY5" s="3440"/>
      <c r="EZ5" s="3440"/>
      <c r="FA5" s="3440"/>
      <c r="FB5" s="3400"/>
      <c r="FC5" s="3400"/>
      <c r="FD5" s="3400"/>
      <c r="FE5" s="3400"/>
      <c r="FF5" s="3400"/>
      <c r="FG5" s="3440"/>
      <c r="FH5" s="3440"/>
      <c r="FI5" s="3440"/>
      <c r="FJ5" s="3440"/>
      <c r="FK5" s="3440"/>
      <c r="FL5" s="3400"/>
      <c r="FM5" s="3400"/>
      <c r="FN5" s="3400"/>
      <c r="FO5" s="3400"/>
      <c r="FP5" s="3400"/>
      <c r="FQ5" s="3440"/>
      <c r="FR5" s="3440"/>
      <c r="FS5" s="3440"/>
      <c r="FT5" s="3440"/>
      <c r="FU5" s="3440"/>
      <c r="FV5" s="3440"/>
      <c r="FW5" s="3440"/>
      <c r="FX5" s="3440"/>
      <c r="FY5" s="3440"/>
      <c r="FZ5" s="3440"/>
      <c r="GA5" s="3440"/>
      <c r="GB5" s="3440"/>
      <c r="GC5" s="3440"/>
      <c r="GD5" s="3440"/>
      <c r="GE5" s="3440"/>
      <c r="GF5" s="3440"/>
      <c r="GG5" s="3440"/>
      <c r="GH5" s="3440"/>
      <c r="GI5" s="3440"/>
      <c r="GJ5" s="3440"/>
      <c r="GK5" s="3440"/>
      <c r="GL5" s="3440"/>
      <c r="GM5" s="3440"/>
      <c r="GN5" s="3440"/>
      <c r="GO5" s="3440"/>
      <c r="GP5" s="3440"/>
      <c r="GQ5" s="3440"/>
      <c r="GR5" s="3440"/>
      <c r="GS5" s="3440"/>
      <c r="GT5" s="3440"/>
      <c r="GU5" s="3440"/>
      <c r="GV5" s="3440"/>
      <c r="GW5" s="3440"/>
      <c r="GX5" s="3440"/>
      <c r="GY5" s="3440"/>
      <c r="GZ5" s="3440"/>
      <c r="HA5" s="3440"/>
      <c r="HB5" s="3440"/>
      <c r="HC5" s="3440"/>
      <c r="HD5" s="3440"/>
      <c r="HE5" s="3440"/>
      <c r="HF5" s="3440"/>
      <c r="HG5" s="3440"/>
      <c r="HH5" s="3440"/>
      <c r="HI5" s="3440"/>
      <c r="HJ5" s="3440"/>
      <c r="HK5" s="3440"/>
      <c r="HL5" s="3440"/>
      <c r="HM5" s="3440"/>
      <c r="HN5" s="3440"/>
      <c r="HO5" s="3440"/>
      <c r="HP5" s="3440"/>
      <c r="HQ5" s="3440"/>
      <c r="HR5" s="3440"/>
      <c r="HS5" s="3440"/>
      <c r="HT5" s="3440"/>
      <c r="HU5" s="3440"/>
      <c r="HV5" s="3440"/>
      <c r="HW5" s="3440"/>
      <c r="HX5" s="3440"/>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3440"/>
      <c r="LG5" s="3440"/>
      <c r="LH5" s="3440"/>
      <c r="LI5" s="3440"/>
      <c r="LJ5" s="3440"/>
      <c r="LK5" s="3440"/>
      <c r="LL5" s="3440"/>
      <c r="LM5" s="3440"/>
      <c r="LN5" s="3440"/>
      <c r="LO5" s="3440"/>
      <c r="LP5" s="3440"/>
      <c r="LQ5" s="3440"/>
      <c r="LR5" s="3440"/>
      <c r="LS5" s="3440"/>
      <c r="LT5" s="3440"/>
      <c r="LU5" s="3440"/>
      <c r="LV5" s="3440"/>
      <c r="LW5" s="3440"/>
      <c r="LX5" s="3440"/>
      <c r="LY5" s="3440"/>
      <c r="LZ5" s="3440"/>
      <c r="MA5" s="3440"/>
      <c r="MB5" s="3440"/>
      <c r="MC5" s="3440"/>
      <c r="MD5" s="3440"/>
      <c r="ME5" s="3440"/>
      <c r="MF5" s="3440"/>
      <c r="MG5" s="3440"/>
      <c r="MH5" s="3440"/>
      <c r="MI5" s="3440"/>
      <c r="MJ5" s="3455" t="s">
        <v>3416</v>
      </c>
      <c r="MK5" s="3455" t="s">
        <v>3417</v>
      </c>
      <c r="ML5" s="3455" t="s">
        <v>3418</v>
      </c>
      <c r="MM5" s="3455" t="s">
        <v>3419</v>
      </c>
      <c r="MN5" s="3455" t="s">
        <v>3420</v>
      </c>
      <c r="MO5" s="3440" t="s">
        <v>3430</v>
      </c>
      <c r="MP5" s="3440" t="s">
        <v>3432</v>
      </c>
      <c r="MQ5" s="3440" t="s">
        <v>3433</v>
      </c>
      <c r="MR5" s="3440" t="s">
        <v>3434</v>
      </c>
      <c r="MS5" s="3440" t="s">
        <v>3435</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3459"/>
      <c r="B6" s="28" t="s">
        <v>1804</v>
      </c>
      <c r="D6" s="1"/>
      <c r="E6" s="3"/>
      <c r="F6" s="2586" t="s">
        <v>201</v>
      </c>
      <c r="G6" s="2288" t="s">
        <v>3662</v>
      </c>
      <c r="H6" s="3452" t="s">
        <v>3886</v>
      </c>
      <c r="I6" s="2288" t="s">
        <v>797</v>
      </c>
      <c r="J6" s="2288" t="s">
        <v>3665</v>
      </c>
      <c r="K6" s="3461"/>
      <c r="L6" s="3461"/>
      <c r="M6" s="3457" t="str">
        <f>'Part I-Project Information'!$O$40</f>
        <v>Albany</v>
      </c>
      <c r="N6" s="3457"/>
      <c r="O6" s="875">
        <f>VLOOKUP('Part I-Project Information'!$O$40,'DCA Underwriting Assumptions'!$C$158:$D$268,2)</f>
        <v>53400</v>
      </c>
      <c r="P6" s="3452"/>
      <c r="Q6" s="2286"/>
      <c r="R6" s="94"/>
      <c r="S6" s="3453" t="s">
        <v>2697</v>
      </c>
      <c r="T6" s="3453"/>
      <c r="W6" s="3400"/>
      <c r="X6" s="3400"/>
      <c r="Y6" s="3400"/>
      <c r="Z6" s="3400"/>
      <c r="AA6" s="3400"/>
      <c r="AB6" s="3400"/>
      <c r="AC6" s="3400"/>
      <c r="AD6" s="3400"/>
      <c r="AE6" s="3400"/>
      <c r="AF6" s="3400"/>
      <c r="AG6" s="3400"/>
      <c r="AH6" s="3400"/>
      <c r="AI6" s="3400"/>
      <c r="AJ6" s="3400"/>
      <c r="AK6" s="3400"/>
      <c r="AL6" s="3400"/>
      <c r="AM6" s="3400"/>
      <c r="AN6" s="3400"/>
      <c r="AO6" s="3400"/>
      <c r="AP6" s="3400"/>
      <c r="AQ6" s="3400"/>
      <c r="AR6" s="3400"/>
      <c r="AS6" s="3400"/>
      <c r="AT6" s="3400"/>
      <c r="AU6" s="3400"/>
      <c r="AV6" s="3400"/>
      <c r="AW6" s="3400"/>
      <c r="AX6" s="3400"/>
      <c r="AY6" s="3400"/>
      <c r="AZ6" s="3400"/>
      <c r="BA6" s="3400"/>
      <c r="BB6" s="3400"/>
      <c r="BC6" s="3400"/>
      <c r="BD6" s="3400"/>
      <c r="BE6" s="3400"/>
      <c r="BF6" s="3400"/>
      <c r="BG6" s="3400"/>
      <c r="BH6" s="3400"/>
      <c r="BI6" s="3400"/>
      <c r="BJ6" s="3400"/>
      <c r="BK6" s="3400"/>
      <c r="BL6" s="3400"/>
      <c r="BM6" s="3400"/>
      <c r="BN6" s="3400"/>
      <c r="BO6" s="3400"/>
      <c r="BP6" s="3400"/>
      <c r="BQ6" s="3400"/>
      <c r="BR6" s="3400"/>
      <c r="BS6" s="3400"/>
      <c r="BT6" s="3400"/>
      <c r="BU6" s="3400"/>
      <c r="BV6" s="3400"/>
      <c r="BW6" s="3400"/>
      <c r="BX6" s="3400"/>
      <c r="BY6" s="3400"/>
      <c r="BZ6" s="3400"/>
      <c r="CA6" s="3400"/>
      <c r="CB6" s="3400"/>
      <c r="CC6" s="3400"/>
      <c r="CD6" s="3400"/>
      <c r="CE6" s="3400"/>
      <c r="CF6" s="3400"/>
      <c r="CG6" s="3400"/>
      <c r="CH6" s="3400"/>
      <c r="CI6" s="3400"/>
      <c r="CJ6" s="3400"/>
      <c r="CK6" s="3400"/>
      <c r="CL6" s="3400"/>
      <c r="CM6" s="3400"/>
      <c r="CN6" s="3400"/>
      <c r="CO6" s="3400"/>
      <c r="CP6" s="3400"/>
      <c r="CQ6" s="3400"/>
      <c r="CR6" s="3400"/>
      <c r="CS6" s="3400"/>
      <c r="CT6" s="3400"/>
      <c r="CU6" s="3400"/>
      <c r="CV6" s="3400"/>
      <c r="CW6" s="3400"/>
      <c r="CX6" s="3400"/>
      <c r="CY6" s="3400"/>
      <c r="CZ6" s="3400"/>
      <c r="DA6" s="3400"/>
      <c r="DB6" s="3400"/>
      <c r="DC6" s="3400"/>
      <c r="DD6" s="3400"/>
      <c r="DE6" s="3400"/>
      <c r="DF6" s="3400"/>
      <c r="DG6" s="3400"/>
      <c r="DH6" s="3400"/>
      <c r="DI6" s="3400"/>
      <c r="DJ6" s="3400"/>
      <c r="DK6" s="3400"/>
      <c r="DL6" s="3400"/>
      <c r="DM6" s="3400"/>
      <c r="DN6" s="3400"/>
      <c r="DO6" s="3400"/>
      <c r="DP6" s="3400"/>
      <c r="DQ6" s="3400"/>
      <c r="DR6" s="3400"/>
      <c r="DS6" s="3400"/>
      <c r="DT6" s="3400"/>
      <c r="DU6" s="3400"/>
      <c r="DV6" s="3400"/>
      <c r="DW6" s="3400"/>
      <c r="DX6" s="3400"/>
      <c r="DY6" s="3400"/>
      <c r="DZ6" s="3400"/>
      <c r="EA6" s="3400"/>
      <c r="EB6" s="3400"/>
      <c r="EC6" s="3400"/>
      <c r="ED6" s="3400"/>
      <c r="EE6" s="3400"/>
      <c r="EF6" s="3400"/>
      <c r="EG6" s="3400"/>
      <c r="EH6" s="3400"/>
      <c r="EI6" s="3400"/>
      <c r="EJ6" s="3400"/>
      <c r="EK6" s="3400"/>
      <c r="EL6" s="3400"/>
      <c r="EM6" s="3400"/>
      <c r="EN6" s="3400"/>
      <c r="EO6" s="3400"/>
      <c r="EP6" s="3400"/>
      <c r="EQ6" s="3400"/>
      <c r="ER6" s="3440"/>
      <c r="ES6" s="3440"/>
      <c r="ET6" s="3440"/>
      <c r="EU6" s="3440"/>
      <c r="EV6" s="3440"/>
      <c r="EW6" s="3440"/>
      <c r="EX6" s="3440"/>
      <c r="EY6" s="3440"/>
      <c r="EZ6" s="3440"/>
      <c r="FA6" s="3440"/>
      <c r="FB6" s="3400"/>
      <c r="FC6" s="3400"/>
      <c r="FD6" s="3400"/>
      <c r="FE6" s="3400"/>
      <c r="FF6" s="3400"/>
      <c r="FG6" s="3440"/>
      <c r="FH6" s="3440"/>
      <c r="FI6" s="3440"/>
      <c r="FJ6" s="3440"/>
      <c r="FK6" s="3440"/>
      <c r="FL6" s="3400"/>
      <c r="FM6" s="3400"/>
      <c r="FN6" s="3400"/>
      <c r="FO6" s="3400"/>
      <c r="FP6" s="3400"/>
      <c r="FQ6" s="3440"/>
      <c r="FR6" s="3440"/>
      <c r="FS6" s="3440"/>
      <c r="FT6" s="3440"/>
      <c r="FU6" s="3440"/>
      <c r="FV6" s="3440"/>
      <c r="FW6" s="3440"/>
      <c r="FX6" s="3440"/>
      <c r="FY6" s="3440"/>
      <c r="FZ6" s="3440"/>
      <c r="GA6" s="3440"/>
      <c r="GB6" s="3440"/>
      <c r="GC6" s="3440"/>
      <c r="GD6" s="3440"/>
      <c r="GE6" s="3440"/>
      <c r="GF6" s="3440"/>
      <c r="GG6" s="3440"/>
      <c r="GH6" s="3440"/>
      <c r="GI6" s="3440"/>
      <c r="GJ6" s="3440"/>
      <c r="GK6" s="3440"/>
      <c r="GL6" s="3440"/>
      <c r="GM6" s="3440"/>
      <c r="GN6" s="3440"/>
      <c r="GO6" s="3440"/>
      <c r="GP6" s="3440"/>
      <c r="GQ6" s="3440"/>
      <c r="GR6" s="3440"/>
      <c r="GS6" s="3440"/>
      <c r="GT6" s="3440"/>
      <c r="GU6" s="3440"/>
      <c r="GV6" s="3440"/>
      <c r="GW6" s="3440"/>
      <c r="GX6" s="3440"/>
      <c r="GY6" s="3440"/>
      <c r="GZ6" s="3440"/>
      <c r="HA6" s="3440"/>
      <c r="HB6" s="3440"/>
      <c r="HC6" s="3440"/>
      <c r="HD6" s="3440"/>
      <c r="HE6" s="3440"/>
      <c r="HF6" s="3440"/>
      <c r="HG6" s="3440"/>
      <c r="HH6" s="3440"/>
      <c r="HI6" s="3440"/>
      <c r="HJ6" s="3440"/>
      <c r="HK6" s="3440"/>
      <c r="HL6" s="3440"/>
      <c r="HM6" s="3440"/>
      <c r="HN6" s="3440"/>
      <c r="HO6" s="3440"/>
      <c r="HP6" s="3440"/>
      <c r="HQ6" s="3440"/>
      <c r="HR6" s="3440"/>
      <c r="HS6" s="3440"/>
      <c r="HT6" s="3440"/>
      <c r="HU6" s="3440"/>
      <c r="HV6" s="3440"/>
      <c r="HW6" s="3440"/>
      <c r="HX6" s="3440"/>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3440"/>
      <c r="LG6" s="3440"/>
      <c r="LH6" s="3440"/>
      <c r="LI6" s="3440"/>
      <c r="LJ6" s="3440"/>
      <c r="LK6" s="3440"/>
      <c r="LL6" s="3440"/>
      <c r="LM6" s="3440"/>
      <c r="LN6" s="3440"/>
      <c r="LO6" s="3440"/>
      <c r="LP6" s="3440"/>
      <c r="LQ6" s="3440"/>
      <c r="LR6" s="3440"/>
      <c r="LS6" s="3440"/>
      <c r="LT6" s="3440"/>
      <c r="LU6" s="3440"/>
      <c r="LV6" s="3440"/>
      <c r="LW6" s="3440"/>
      <c r="LX6" s="3440"/>
      <c r="LY6" s="3440"/>
      <c r="LZ6" s="3440"/>
      <c r="MA6" s="3440"/>
      <c r="MB6" s="3440"/>
      <c r="MC6" s="3440"/>
      <c r="MD6" s="3440"/>
      <c r="ME6" s="3440"/>
      <c r="MF6" s="3440"/>
      <c r="MG6" s="3440"/>
      <c r="MH6" s="3440"/>
      <c r="MI6" s="3440"/>
      <c r="MJ6" s="3455"/>
      <c r="MK6" s="3455"/>
      <c r="ML6" s="3455"/>
      <c r="MM6" s="3455"/>
      <c r="MN6" s="3455"/>
      <c r="MO6" s="3440"/>
      <c r="MP6" s="3440"/>
      <c r="MQ6" s="3440"/>
      <c r="MR6" s="3440"/>
      <c r="MS6" s="3440"/>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59"/>
      <c r="B7" s="1055" t="s">
        <v>4703</v>
      </c>
      <c r="C7" s="1"/>
      <c r="D7" s="3"/>
      <c r="E7" s="1"/>
      <c r="F7" s="1"/>
      <c r="G7" s="2288" t="s">
        <v>3663</v>
      </c>
      <c r="H7" s="3452"/>
      <c r="I7" s="2288" t="s">
        <v>798</v>
      </c>
      <c r="J7" s="2288" t="s">
        <v>3666</v>
      </c>
      <c r="K7" s="867"/>
      <c r="L7" s="867"/>
      <c r="M7" s="3457"/>
      <c r="N7" s="3457"/>
      <c r="P7" s="3452"/>
      <c r="Q7" s="2286"/>
      <c r="R7" s="867"/>
      <c r="S7" s="868"/>
      <c r="T7" s="872" t="s">
        <v>2694</v>
      </c>
      <c r="U7" s="416"/>
      <c r="V7" s="417"/>
      <c r="W7" s="3400"/>
      <c r="X7" s="3400"/>
      <c r="Y7" s="3400"/>
      <c r="Z7" s="3400"/>
      <c r="AA7" s="3400"/>
      <c r="AB7" s="3400"/>
      <c r="AC7" s="3400"/>
      <c r="AD7" s="3400"/>
      <c r="AE7" s="3400"/>
      <c r="AF7" s="3400"/>
      <c r="AG7" s="3400"/>
      <c r="AH7" s="3400"/>
      <c r="AI7" s="3400"/>
      <c r="AJ7" s="3400"/>
      <c r="AK7" s="3400"/>
      <c r="AL7" s="3400"/>
      <c r="AM7" s="3400"/>
      <c r="AN7" s="3400"/>
      <c r="AO7" s="3400"/>
      <c r="AP7" s="3400"/>
      <c r="AQ7" s="3400"/>
      <c r="AR7" s="3400"/>
      <c r="AS7" s="3400"/>
      <c r="AT7" s="3400"/>
      <c r="AU7" s="3400"/>
      <c r="AV7" s="3400"/>
      <c r="AW7" s="3400"/>
      <c r="AX7" s="3400"/>
      <c r="AY7" s="3400"/>
      <c r="AZ7" s="3400"/>
      <c r="BA7" s="3400"/>
      <c r="BB7" s="3400"/>
      <c r="BC7" s="3400"/>
      <c r="BD7" s="3400"/>
      <c r="BE7" s="3400"/>
      <c r="BF7" s="3400"/>
      <c r="BG7" s="3400"/>
      <c r="BH7" s="3400"/>
      <c r="BI7" s="3400"/>
      <c r="BJ7" s="3400"/>
      <c r="BK7" s="3400"/>
      <c r="BL7" s="3400"/>
      <c r="BM7" s="3400"/>
      <c r="BN7" s="3400"/>
      <c r="BO7" s="3400"/>
      <c r="BP7" s="3400"/>
      <c r="BQ7" s="3400"/>
      <c r="BR7" s="3400"/>
      <c r="BS7" s="3400"/>
      <c r="BT7" s="3400"/>
      <c r="BU7" s="3400"/>
      <c r="BV7" s="3400"/>
      <c r="BW7" s="3400"/>
      <c r="BX7" s="3400"/>
      <c r="BY7" s="3400"/>
      <c r="BZ7" s="3400"/>
      <c r="CA7" s="3400"/>
      <c r="CB7" s="3400"/>
      <c r="CC7" s="3400"/>
      <c r="CD7" s="3400"/>
      <c r="CE7" s="3400"/>
      <c r="CF7" s="3400"/>
      <c r="CG7" s="3400"/>
      <c r="CH7" s="3400"/>
      <c r="CI7" s="3400"/>
      <c r="CJ7" s="3400"/>
      <c r="CK7" s="3400"/>
      <c r="CL7" s="3400"/>
      <c r="CM7" s="3400"/>
      <c r="CN7" s="3400"/>
      <c r="CO7" s="3400"/>
      <c r="CP7" s="3400"/>
      <c r="CQ7" s="3400"/>
      <c r="CR7" s="3400"/>
      <c r="CS7" s="3400"/>
      <c r="CT7" s="3400"/>
      <c r="CU7" s="3400"/>
      <c r="CV7" s="3400"/>
      <c r="CW7" s="3400"/>
      <c r="CX7" s="3400"/>
      <c r="CY7" s="3400"/>
      <c r="CZ7" s="3400"/>
      <c r="DA7" s="3400"/>
      <c r="DB7" s="3400"/>
      <c r="DC7" s="3400"/>
      <c r="DD7" s="3400"/>
      <c r="DE7" s="3400"/>
      <c r="DF7" s="3400"/>
      <c r="DG7" s="3400"/>
      <c r="DH7" s="3400"/>
      <c r="DI7" s="3400"/>
      <c r="DJ7" s="3400"/>
      <c r="DK7" s="3400"/>
      <c r="DL7" s="3400"/>
      <c r="DM7" s="3400"/>
      <c r="DN7" s="3400"/>
      <c r="DO7" s="3400"/>
      <c r="DP7" s="3400"/>
      <c r="DQ7" s="3400"/>
      <c r="DR7" s="3400"/>
      <c r="DS7" s="3400"/>
      <c r="DT7" s="3400"/>
      <c r="DU7" s="3400"/>
      <c r="DV7" s="3400"/>
      <c r="DW7" s="3400"/>
      <c r="DX7" s="3400"/>
      <c r="DY7" s="3400"/>
      <c r="DZ7" s="3400"/>
      <c r="EA7" s="3400"/>
      <c r="EB7" s="3400"/>
      <c r="EC7" s="3400"/>
      <c r="ED7" s="3400"/>
      <c r="EE7" s="3400"/>
      <c r="EF7" s="3400"/>
      <c r="EG7" s="3400"/>
      <c r="EH7" s="3400"/>
      <c r="EI7" s="3400"/>
      <c r="EJ7" s="3400"/>
      <c r="EK7" s="3400"/>
      <c r="EL7" s="3400"/>
      <c r="EM7" s="3400"/>
      <c r="EN7" s="3400"/>
      <c r="EO7" s="3400"/>
      <c r="EP7" s="3400"/>
      <c r="EQ7" s="3400"/>
      <c r="ER7" s="3440"/>
      <c r="ES7" s="3440"/>
      <c r="ET7" s="3440"/>
      <c r="EU7" s="3440"/>
      <c r="EV7" s="3440"/>
      <c r="EW7" s="3440"/>
      <c r="EX7" s="3440"/>
      <c r="EY7" s="3440"/>
      <c r="EZ7" s="3440"/>
      <c r="FA7" s="3440"/>
      <c r="FB7" s="3400"/>
      <c r="FC7" s="3400"/>
      <c r="FD7" s="3400"/>
      <c r="FE7" s="3400"/>
      <c r="FF7" s="3400"/>
      <c r="FG7" s="3440"/>
      <c r="FH7" s="3440"/>
      <c r="FI7" s="3440"/>
      <c r="FJ7" s="3440"/>
      <c r="FK7" s="3440"/>
      <c r="FL7" s="3400"/>
      <c r="FM7" s="3400"/>
      <c r="FN7" s="3400"/>
      <c r="FO7" s="3400"/>
      <c r="FP7" s="3400"/>
      <c r="FQ7" s="3440"/>
      <c r="FR7" s="3440"/>
      <c r="FS7" s="3440"/>
      <c r="FT7" s="3440"/>
      <c r="FU7" s="3440"/>
      <c r="FV7" s="3440"/>
      <c r="FW7" s="3440"/>
      <c r="FX7" s="3440"/>
      <c r="FY7" s="3440"/>
      <c r="FZ7" s="3440"/>
      <c r="GA7" s="3440"/>
      <c r="GB7" s="3440"/>
      <c r="GC7" s="3440"/>
      <c r="GD7" s="3440"/>
      <c r="GE7" s="3440"/>
      <c r="GF7" s="3440"/>
      <c r="GG7" s="3440"/>
      <c r="GH7" s="3440"/>
      <c r="GI7" s="3440"/>
      <c r="GJ7" s="3440"/>
      <c r="GK7" s="3440"/>
      <c r="GL7" s="3440"/>
      <c r="GM7" s="3440"/>
      <c r="GN7" s="3440"/>
      <c r="GO7" s="3440"/>
      <c r="GP7" s="3440"/>
      <c r="GQ7" s="3440"/>
      <c r="GR7" s="3440"/>
      <c r="GS7" s="3440"/>
      <c r="GT7" s="3440"/>
      <c r="GU7" s="3440"/>
      <c r="GV7" s="3440"/>
      <c r="GW7" s="3440"/>
      <c r="GX7" s="3440"/>
      <c r="GY7" s="3440"/>
      <c r="GZ7" s="3440"/>
      <c r="HA7" s="3440"/>
      <c r="HB7" s="3440"/>
      <c r="HC7" s="3440"/>
      <c r="HD7" s="3440"/>
      <c r="HE7" s="3440"/>
      <c r="HF7" s="3440"/>
      <c r="HG7" s="3440"/>
      <c r="HH7" s="3440"/>
      <c r="HI7" s="3440"/>
      <c r="HJ7" s="3440"/>
      <c r="HK7" s="3440"/>
      <c r="HL7" s="3440"/>
      <c r="HM7" s="3440"/>
      <c r="HN7" s="3440"/>
      <c r="HO7" s="3440"/>
      <c r="HP7" s="3440"/>
      <c r="HQ7" s="3440"/>
      <c r="HR7" s="3440"/>
      <c r="HS7" s="3440"/>
      <c r="HT7" s="3440"/>
      <c r="HU7" s="3440"/>
      <c r="HV7" s="3440"/>
      <c r="HW7" s="3440"/>
      <c r="HX7" s="3440"/>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440"/>
      <c r="LG7" s="3440"/>
      <c r="LH7" s="3440"/>
      <c r="LI7" s="3440"/>
      <c r="LJ7" s="3440"/>
      <c r="LK7" s="3440"/>
      <c r="LL7" s="3440"/>
      <c r="LM7" s="3440"/>
      <c r="LN7" s="3440"/>
      <c r="LO7" s="3440"/>
      <c r="LP7" s="3440"/>
      <c r="LQ7" s="3440"/>
      <c r="LR7" s="3440"/>
      <c r="LS7" s="3440"/>
      <c r="LT7" s="3440"/>
      <c r="LU7" s="3440"/>
      <c r="LV7" s="3440"/>
      <c r="LW7" s="3440"/>
      <c r="LX7" s="3440"/>
      <c r="LY7" s="3440"/>
      <c r="LZ7" s="3440"/>
      <c r="MA7" s="3440"/>
      <c r="MB7" s="3440"/>
      <c r="MC7" s="3440"/>
      <c r="MD7" s="3440"/>
      <c r="ME7" s="3440"/>
      <c r="MF7" s="3440"/>
      <c r="MG7" s="3440"/>
      <c r="MH7" s="3440"/>
      <c r="MI7" s="3440"/>
      <c r="MJ7" s="3455"/>
      <c r="MK7" s="3455"/>
      <c r="ML7" s="3455"/>
      <c r="MM7" s="3455"/>
      <c r="MN7" s="3455"/>
      <c r="MO7" s="3440"/>
      <c r="MP7" s="3440"/>
      <c r="MQ7" s="3440"/>
      <c r="MR7" s="3440"/>
      <c r="MS7" s="3440"/>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59"/>
      <c r="B8" s="1971" t="s">
        <v>4704</v>
      </c>
      <c r="C8" s="2288" t="s">
        <v>172</v>
      </c>
      <c r="D8" s="2288" t="s">
        <v>544</v>
      </c>
      <c r="E8" s="2288" t="s">
        <v>1475</v>
      </c>
      <c r="F8" s="2288" t="s">
        <v>1475</v>
      </c>
      <c r="G8" s="2288" t="s">
        <v>1477</v>
      </c>
      <c r="H8" s="2288" t="s">
        <v>3663</v>
      </c>
      <c r="I8" s="3462" t="s">
        <v>5067</v>
      </c>
      <c r="J8" s="2288" t="s">
        <v>2405</v>
      </c>
      <c r="K8" s="3454" t="s">
        <v>145</v>
      </c>
      <c r="L8" s="3454"/>
      <c r="M8" s="2288" t="s">
        <v>2366</v>
      </c>
      <c r="N8" s="2288" t="s">
        <v>531</v>
      </c>
      <c r="O8" s="2288" t="s">
        <v>383</v>
      </c>
      <c r="P8" s="3452"/>
      <c r="Q8" s="3454" t="s">
        <v>3571</v>
      </c>
      <c r="R8" s="3454"/>
      <c r="S8" s="2288" t="s">
        <v>2693</v>
      </c>
      <c r="T8" s="2288" t="s">
        <v>2695</v>
      </c>
      <c r="U8" s="418"/>
      <c r="V8" s="419"/>
      <c r="W8" s="3400"/>
      <c r="X8" s="3400"/>
      <c r="Y8" s="3400"/>
      <c r="Z8" s="3400"/>
      <c r="AA8" s="3400"/>
      <c r="AB8" s="3400"/>
      <c r="AC8" s="3400"/>
      <c r="AD8" s="3400"/>
      <c r="AE8" s="3400"/>
      <c r="AF8" s="3400"/>
      <c r="AG8" s="3400"/>
      <c r="AH8" s="3400"/>
      <c r="AI8" s="3400"/>
      <c r="AJ8" s="3400"/>
      <c r="AK8" s="3400"/>
      <c r="AL8" s="3400"/>
      <c r="AM8" s="3400"/>
      <c r="AN8" s="3400"/>
      <c r="AO8" s="3400"/>
      <c r="AP8" s="3400"/>
      <c r="AQ8" s="3400"/>
      <c r="AR8" s="3400"/>
      <c r="AS8" s="3400"/>
      <c r="AT8" s="3400"/>
      <c r="AU8" s="3400"/>
      <c r="AV8" s="3400"/>
      <c r="AW8" s="3400"/>
      <c r="AX8" s="3400"/>
      <c r="AY8" s="3400"/>
      <c r="AZ8" s="3400"/>
      <c r="BA8" s="3400"/>
      <c r="BB8" s="3400"/>
      <c r="BC8" s="3400"/>
      <c r="BD8" s="3400"/>
      <c r="BE8" s="3400"/>
      <c r="BF8" s="3400"/>
      <c r="BG8" s="3400"/>
      <c r="BH8" s="3400"/>
      <c r="BI8" s="3400"/>
      <c r="BJ8" s="3400"/>
      <c r="BK8" s="3400"/>
      <c r="BL8" s="3400"/>
      <c r="BM8" s="3400"/>
      <c r="BN8" s="3400"/>
      <c r="BO8" s="3400"/>
      <c r="BP8" s="3400"/>
      <c r="BQ8" s="3400"/>
      <c r="BR8" s="3400"/>
      <c r="BS8" s="3400"/>
      <c r="BT8" s="3400"/>
      <c r="BU8" s="3400"/>
      <c r="BV8" s="3400"/>
      <c r="BW8" s="3400"/>
      <c r="BX8" s="3400"/>
      <c r="BY8" s="3400"/>
      <c r="BZ8" s="3400"/>
      <c r="CA8" s="3400"/>
      <c r="CB8" s="3400"/>
      <c r="CC8" s="3400"/>
      <c r="CD8" s="3400"/>
      <c r="CE8" s="3400"/>
      <c r="CF8" s="3400"/>
      <c r="CG8" s="3400"/>
      <c r="CH8" s="3400"/>
      <c r="CI8" s="3400"/>
      <c r="CJ8" s="3400"/>
      <c r="CK8" s="3400"/>
      <c r="CL8" s="3400"/>
      <c r="CM8" s="3400"/>
      <c r="CN8" s="3400"/>
      <c r="CO8" s="3400"/>
      <c r="CP8" s="3400"/>
      <c r="CQ8" s="3400"/>
      <c r="CR8" s="3400"/>
      <c r="CS8" s="3400"/>
      <c r="CT8" s="3400"/>
      <c r="CU8" s="3400"/>
      <c r="CV8" s="3400"/>
      <c r="CW8" s="3400"/>
      <c r="CX8" s="3400"/>
      <c r="CY8" s="3400"/>
      <c r="CZ8" s="3400"/>
      <c r="DA8" s="3400"/>
      <c r="DB8" s="3400"/>
      <c r="DC8" s="3400"/>
      <c r="DD8" s="3400"/>
      <c r="DE8" s="3400"/>
      <c r="DF8" s="3400"/>
      <c r="DG8" s="3400"/>
      <c r="DH8" s="3400"/>
      <c r="DI8" s="3400"/>
      <c r="DJ8" s="3400"/>
      <c r="DK8" s="3400"/>
      <c r="DL8" s="3400"/>
      <c r="DM8" s="3400"/>
      <c r="DN8" s="3400"/>
      <c r="DO8" s="3400"/>
      <c r="DP8" s="3400"/>
      <c r="DQ8" s="3400"/>
      <c r="DR8" s="3400"/>
      <c r="DS8" s="3400"/>
      <c r="DT8" s="3400"/>
      <c r="DU8" s="3400"/>
      <c r="DV8" s="3400"/>
      <c r="DW8" s="3400"/>
      <c r="DX8" s="3400"/>
      <c r="DY8" s="3400"/>
      <c r="DZ8" s="3400"/>
      <c r="EA8" s="3400"/>
      <c r="EB8" s="3400"/>
      <c r="EC8" s="3400"/>
      <c r="ED8" s="3400"/>
      <c r="EE8" s="3400"/>
      <c r="EF8" s="3400"/>
      <c r="EG8" s="3400"/>
      <c r="EH8" s="3400"/>
      <c r="EI8" s="3400"/>
      <c r="EJ8" s="3400"/>
      <c r="EK8" s="3400"/>
      <c r="EL8" s="3400"/>
      <c r="EM8" s="3400"/>
      <c r="EN8" s="3400"/>
      <c r="EO8" s="3400"/>
      <c r="EP8" s="3400"/>
      <c r="EQ8" s="3400"/>
      <c r="ER8" s="3440"/>
      <c r="ES8" s="3440"/>
      <c r="ET8" s="3440"/>
      <c r="EU8" s="3440"/>
      <c r="EV8" s="3440"/>
      <c r="EW8" s="3440"/>
      <c r="EX8" s="3440"/>
      <c r="EY8" s="3440"/>
      <c r="EZ8" s="3440"/>
      <c r="FA8" s="3440"/>
      <c r="FB8" s="3400"/>
      <c r="FC8" s="3400"/>
      <c r="FD8" s="3400"/>
      <c r="FE8" s="3400"/>
      <c r="FF8" s="3400"/>
      <c r="FG8" s="3440"/>
      <c r="FH8" s="3440"/>
      <c r="FI8" s="3440"/>
      <c r="FJ8" s="3440"/>
      <c r="FK8" s="3440"/>
      <c r="FL8" s="3400"/>
      <c r="FM8" s="3400"/>
      <c r="FN8" s="3400"/>
      <c r="FO8" s="3400"/>
      <c r="FP8" s="3400"/>
      <c r="FQ8" s="3440"/>
      <c r="FR8" s="3440"/>
      <c r="FS8" s="3440"/>
      <c r="FT8" s="3440"/>
      <c r="FU8" s="3440"/>
      <c r="FV8" s="3440"/>
      <c r="FW8" s="3440"/>
      <c r="FX8" s="3440"/>
      <c r="FY8" s="3440"/>
      <c r="FZ8" s="3440"/>
      <c r="GA8" s="3440"/>
      <c r="GB8" s="3440"/>
      <c r="GC8" s="3440"/>
      <c r="GD8" s="3440"/>
      <c r="GE8" s="3440"/>
      <c r="GF8" s="3440"/>
      <c r="GG8" s="3440"/>
      <c r="GH8" s="3440"/>
      <c r="GI8" s="3440"/>
      <c r="GJ8" s="3440"/>
      <c r="GK8" s="3440"/>
      <c r="GL8" s="3440"/>
      <c r="GM8" s="3440"/>
      <c r="GN8" s="3440"/>
      <c r="GO8" s="3440"/>
      <c r="GP8" s="3440"/>
      <c r="GQ8" s="3440"/>
      <c r="GR8" s="3440"/>
      <c r="GS8" s="3440"/>
      <c r="GT8" s="3440"/>
      <c r="GU8" s="3440"/>
      <c r="GV8" s="3440"/>
      <c r="GW8" s="3440"/>
      <c r="GX8" s="3440"/>
      <c r="GY8" s="3440"/>
      <c r="GZ8" s="3440"/>
      <c r="HA8" s="3440"/>
      <c r="HB8" s="3440"/>
      <c r="HC8" s="3440"/>
      <c r="HD8" s="3440"/>
      <c r="HE8" s="3440"/>
      <c r="HF8" s="3440"/>
      <c r="HG8" s="3440"/>
      <c r="HH8" s="3440"/>
      <c r="HI8" s="3440"/>
      <c r="HJ8" s="3440"/>
      <c r="HK8" s="3440"/>
      <c r="HL8" s="3440"/>
      <c r="HM8" s="3440"/>
      <c r="HN8" s="3440"/>
      <c r="HO8" s="3440"/>
      <c r="HP8" s="3440"/>
      <c r="HQ8" s="3440"/>
      <c r="HR8" s="3440"/>
      <c r="HS8" s="3440"/>
      <c r="HT8" s="3440"/>
      <c r="HU8" s="3440"/>
      <c r="HV8" s="3440"/>
      <c r="HW8" s="3440"/>
      <c r="HX8" s="3440"/>
      <c r="HY8" s="3440" t="s">
        <v>1461</v>
      </c>
      <c r="HZ8" s="453" t="s">
        <v>2439</v>
      </c>
      <c r="IA8" s="453" t="s">
        <v>2440</v>
      </c>
      <c r="IB8" s="453" t="s">
        <v>2441</v>
      </c>
      <c r="IC8" s="453" t="s">
        <v>2442</v>
      </c>
      <c r="ID8" s="3440" t="s">
        <v>2496</v>
      </c>
      <c r="IE8" s="3440" t="s">
        <v>2496</v>
      </c>
      <c r="IF8" s="3440" t="s">
        <v>2496</v>
      </c>
      <c r="IG8" s="3440" t="s">
        <v>2496</v>
      </c>
      <c r="IH8" s="3440" t="s">
        <v>2496</v>
      </c>
      <c r="II8" s="3440" t="s">
        <v>3364</v>
      </c>
      <c r="IJ8" s="3440" t="s">
        <v>3364</v>
      </c>
      <c r="IK8" s="3440" t="s">
        <v>3364</v>
      </c>
      <c r="IL8" s="3440" t="s">
        <v>3364</v>
      </c>
      <c r="IM8" s="3440" t="s">
        <v>3364</v>
      </c>
      <c r="IN8" s="453" t="s">
        <v>567</v>
      </c>
      <c r="IO8" s="453" t="s">
        <v>2439</v>
      </c>
      <c r="IP8" s="453" t="s">
        <v>2440</v>
      </c>
      <c r="IQ8" s="453" t="s">
        <v>2441</v>
      </c>
      <c r="IR8" s="453" t="s">
        <v>2442</v>
      </c>
      <c r="IS8" s="453" t="s">
        <v>567</v>
      </c>
      <c r="IT8" s="453" t="s">
        <v>2439</v>
      </c>
      <c r="IU8" s="453" t="s">
        <v>2440</v>
      </c>
      <c r="IV8" s="453" t="s">
        <v>2441</v>
      </c>
      <c r="IW8" s="453" t="s">
        <v>2442</v>
      </c>
      <c r="IX8" s="3440" t="s">
        <v>2498</v>
      </c>
      <c r="IY8" s="3440" t="s">
        <v>2498</v>
      </c>
      <c r="IZ8" s="3440" t="s">
        <v>2498</v>
      </c>
      <c r="JA8" s="3440" t="s">
        <v>2498</v>
      </c>
      <c r="JB8" s="3440" t="s">
        <v>2498</v>
      </c>
      <c r="JC8" s="3440" t="s">
        <v>3360</v>
      </c>
      <c r="JD8" s="3440" t="s">
        <v>3360</v>
      </c>
      <c r="JE8" s="3440" t="s">
        <v>3360</v>
      </c>
      <c r="JF8" s="3440" t="s">
        <v>3360</v>
      </c>
      <c r="JG8" s="3440" t="s">
        <v>3360</v>
      </c>
      <c r="JH8" s="3440" t="s">
        <v>358</v>
      </c>
      <c r="JI8" s="3440" t="s">
        <v>358</v>
      </c>
      <c r="JJ8" s="3440" t="s">
        <v>358</v>
      </c>
      <c r="JK8" s="3440" t="s">
        <v>358</v>
      </c>
      <c r="JL8" s="3440" t="s">
        <v>358</v>
      </c>
      <c r="JM8" s="3440" t="s">
        <v>3359</v>
      </c>
      <c r="JN8" s="3440" t="s">
        <v>3359</v>
      </c>
      <c r="JO8" s="3440" t="s">
        <v>3359</v>
      </c>
      <c r="JP8" s="3440" t="s">
        <v>3359</v>
      </c>
      <c r="JQ8" s="3440" t="s">
        <v>3359</v>
      </c>
      <c r="JR8" s="3440" t="s">
        <v>359</v>
      </c>
      <c r="JS8" s="3440" t="s">
        <v>359</v>
      </c>
      <c r="JT8" s="3440" t="s">
        <v>359</v>
      </c>
      <c r="JU8" s="3440" t="s">
        <v>359</v>
      </c>
      <c r="JV8" s="3440" t="s">
        <v>359</v>
      </c>
      <c r="JW8" s="3440" t="s">
        <v>3358</v>
      </c>
      <c r="JX8" s="3440" t="s">
        <v>3358</v>
      </c>
      <c r="JY8" s="3440" t="s">
        <v>3358</v>
      </c>
      <c r="JZ8" s="3440" t="s">
        <v>3358</v>
      </c>
      <c r="KA8" s="3440" t="s">
        <v>3358</v>
      </c>
      <c r="KB8" s="3440" t="s">
        <v>360</v>
      </c>
      <c r="KC8" s="3440" t="s">
        <v>360</v>
      </c>
      <c r="KD8" s="3440" t="s">
        <v>360</v>
      </c>
      <c r="KE8" s="3440" t="s">
        <v>360</v>
      </c>
      <c r="KF8" s="3440" t="s">
        <v>360</v>
      </c>
      <c r="KG8" s="3440" t="s">
        <v>3361</v>
      </c>
      <c r="KH8" s="3440" t="s">
        <v>3361</v>
      </c>
      <c r="KI8" s="3440" t="s">
        <v>3361</v>
      </c>
      <c r="KJ8" s="3440" t="s">
        <v>3361</v>
      </c>
      <c r="KK8" s="3440" t="s">
        <v>3361</v>
      </c>
      <c r="KL8" s="3440" t="s">
        <v>361</v>
      </c>
      <c r="KM8" s="3440" t="s">
        <v>361</v>
      </c>
      <c r="KN8" s="3440" t="s">
        <v>361</v>
      </c>
      <c r="KO8" s="3440" t="s">
        <v>361</v>
      </c>
      <c r="KP8" s="3440" t="s">
        <v>361</v>
      </c>
      <c r="KQ8" s="3440" t="s">
        <v>3362</v>
      </c>
      <c r="KR8" s="3440" t="s">
        <v>3362</v>
      </c>
      <c r="KS8" s="3440" t="s">
        <v>3362</v>
      </c>
      <c r="KT8" s="3440" t="s">
        <v>3362</v>
      </c>
      <c r="KU8" s="3440" t="s">
        <v>3362</v>
      </c>
      <c r="KV8" s="3440" t="s">
        <v>1460</v>
      </c>
      <c r="KW8" s="3440" t="s">
        <v>1460</v>
      </c>
      <c r="KX8" s="3440" t="s">
        <v>1460</v>
      </c>
      <c r="KY8" s="3440" t="s">
        <v>1460</v>
      </c>
      <c r="KZ8" s="3440" t="s">
        <v>1460</v>
      </c>
      <c r="LA8" s="3440" t="s">
        <v>3363</v>
      </c>
      <c r="LB8" s="3440" t="s">
        <v>3363</v>
      </c>
      <c r="LC8" s="3440" t="s">
        <v>3363</v>
      </c>
      <c r="LD8" s="3440" t="s">
        <v>3363</v>
      </c>
      <c r="LE8" s="3440" t="s">
        <v>3363</v>
      </c>
      <c r="LF8" s="3440"/>
      <c r="LG8" s="3440"/>
      <c r="LH8" s="3440"/>
      <c r="LI8" s="3440"/>
      <c r="LJ8" s="3440"/>
      <c r="LK8" s="3440"/>
      <c r="LL8" s="3440"/>
      <c r="LM8" s="3440"/>
      <c r="LN8" s="3440"/>
      <c r="LO8" s="3440"/>
      <c r="LP8" s="3440"/>
      <c r="LQ8" s="3440"/>
      <c r="LR8" s="3440"/>
      <c r="LS8" s="3440"/>
      <c r="LT8" s="3440"/>
      <c r="LU8" s="3440"/>
      <c r="LV8" s="3440"/>
      <c r="LW8" s="3440"/>
      <c r="LX8" s="3440"/>
      <c r="LY8" s="3440"/>
      <c r="LZ8" s="3440"/>
      <c r="MA8" s="3440"/>
      <c r="MB8" s="3440"/>
      <c r="MC8" s="3440"/>
      <c r="MD8" s="3440"/>
      <c r="ME8" s="3440"/>
      <c r="MF8" s="3440"/>
      <c r="MG8" s="3440"/>
      <c r="MH8" s="3440"/>
      <c r="MI8" s="3440"/>
      <c r="MJ8" s="3455"/>
      <c r="MK8" s="3455"/>
      <c r="ML8" s="3455"/>
      <c r="MM8" s="3455"/>
      <c r="MN8" s="3455"/>
      <c r="MO8" s="3440"/>
      <c r="MP8" s="3440"/>
      <c r="MQ8" s="3440"/>
      <c r="MR8" s="3440"/>
      <c r="MS8" s="3440"/>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59"/>
      <c r="B9" s="2234" t="s">
        <v>5070</v>
      </c>
      <c r="C9" s="2288" t="s">
        <v>171</v>
      </c>
      <c r="D9" s="2288" t="s">
        <v>173</v>
      </c>
      <c r="E9" s="2288" t="s">
        <v>1476</v>
      </c>
      <c r="F9" s="2288" t="s">
        <v>1278</v>
      </c>
      <c r="G9" s="2288" t="s">
        <v>3664</v>
      </c>
      <c r="H9" s="2288" t="s">
        <v>1477</v>
      </c>
      <c r="I9" s="3463"/>
      <c r="J9" s="449" t="s">
        <v>350</v>
      </c>
      <c r="K9" s="2288" t="s">
        <v>1529</v>
      </c>
      <c r="L9" s="2288" t="s">
        <v>538</v>
      </c>
      <c r="M9" s="2288" t="s">
        <v>1475</v>
      </c>
      <c r="N9" s="2288" t="s">
        <v>3313</v>
      </c>
      <c r="O9" s="2288" t="s">
        <v>384</v>
      </c>
      <c r="P9" s="3458"/>
      <c r="Q9" s="2288" t="s">
        <v>3572</v>
      </c>
      <c r="R9" s="2288" t="s">
        <v>1039</v>
      </c>
      <c r="S9" s="2288" t="s">
        <v>1477</v>
      </c>
      <c r="T9" s="2288" t="s">
        <v>2696</v>
      </c>
      <c r="U9" s="3107" t="s">
        <v>1844</v>
      </c>
      <c r="V9" s="3107"/>
      <c r="W9" s="3400"/>
      <c r="X9" s="3400"/>
      <c r="Y9" s="3400"/>
      <c r="Z9" s="3400"/>
      <c r="AA9" s="3400"/>
      <c r="AB9" s="3400"/>
      <c r="AC9" s="3400"/>
      <c r="AD9" s="3400"/>
      <c r="AE9" s="3400"/>
      <c r="AF9" s="3400"/>
      <c r="AG9" s="3400"/>
      <c r="AH9" s="3400"/>
      <c r="AI9" s="3400"/>
      <c r="AJ9" s="3400"/>
      <c r="AK9" s="3400"/>
      <c r="AL9" s="3400"/>
      <c r="AM9" s="3400"/>
      <c r="AN9" s="3400"/>
      <c r="AO9" s="3400"/>
      <c r="AP9" s="3400"/>
      <c r="AQ9" s="3400"/>
      <c r="AR9" s="3400"/>
      <c r="AS9" s="3400"/>
      <c r="AT9" s="3400"/>
      <c r="AU9" s="3400"/>
      <c r="AV9" s="3400"/>
      <c r="AW9" s="3400"/>
      <c r="AX9" s="3400"/>
      <c r="AY9" s="3400"/>
      <c r="AZ9" s="3400"/>
      <c r="BA9" s="3400"/>
      <c r="BB9" s="3400"/>
      <c r="BC9" s="3400"/>
      <c r="BD9" s="3400"/>
      <c r="BE9" s="3400"/>
      <c r="BF9" s="3400"/>
      <c r="BG9" s="3400"/>
      <c r="BH9" s="3400"/>
      <c r="BI9" s="3400"/>
      <c r="BJ9" s="3400"/>
      <c r="BK9" s="3400"/>
      <c r="BL9" s="3400"/>
      <c r="BM9" s="3400"/>
      <c r="BN9" s="3400"/>
      <c r="BO9" s="3400"/>
      <c r="BP9" s="3400"/>
      <c r="BQ9" s="3400"/>
      <c r="BR9" s="3400"/>
      <c r="BS9" s="3400"/>
      <c r="BT9" s="3400"/>
      <c r="BU9" s="3400"/>
      <c r="BV9" s="3400"/>
      <c r="BW9" s="3400"/>
      <c r="BX9" s="3400"/>
      <c r="BY9" s="3400"/>
      <c r="BZ9" s="3400"/>
      <c r="CA9" s="3400"/>
      <c r="CB9" s="3400"/>
      <c r="CC9" s="3400"/>
      <c r="CD9" s="3400"/>
      <c r="CE9" s="3400"/>
      <c r="CF9" s="3400"/>
      <c r="CG9" s="3400"/>
      <c r="CH9" s="3400"/>
      <c r="CI9" s="3400"/>
      <c r="CJ9" s="3400"/>
      <c r="CK9" s="3400"/>
      <c r="CL9" s="3400"/>
      <c r="CM9" s="3400"/>
      <c r="CN9" s="3400"/>
      <c r="CO9" s="3400"/>
      <c r="CP9" s="3400"/>
      <c r="CQ9" s="3400"/>
      <c r="CR9" s="3400"/>
      <c r="CS9" s="3400"/>
      <c r="CT9" s="3400"/>
      <c r="CU9" s="3400"/>
      <c r="CV9" s="3400"/>
      <c r="CW9" s="3400"/>
      <c r="CX9" s="3400"/>
      <c r="CY9" s="3400"/>
      <c r="CZ9" s="3400"/>
      <c r="DA9" s="3400"/>
      <c r="DB9" s="3400"/>
      <c r="DC9" s="3400"/>
      <c r="DD9" s="3400"/>
      <c r="DE9" s="3400"/>
      <c r="DF9" s="3400"/>
      <c r="DG9" s="3400"/>
      <c r="DH9" s="3400"/>
      <c r="DI9" s="3400"/>
      <c r="DJ9" s="3400"/>
      <c r="DK9" s="3400"/>
      <c r="DL9" s="3400"/>
      <c r="DM9" s="3400"/>
      <c r="DN9" s="3400"/>
      <c r="DO9" s="3400"/>
      <c r="DP9" s="3400"/>
      <c r="DQ9" s="3400"/>
      <c r="DR9" s="3400"/>
      <c r="DS9" s="3400"/>
      <c r="DT9" s="3400"/>
      <c r="DU9" s="3400"/>
      <c r="DV9" s="3400"/>
      <c r="DW9" s="3400"/>
      <c r="DX9" s="3400"/>
      <c r="DY9" s="3400"/>
      <c r="DZ9" s="3400"/>
      <c r="EA9" s="3400"/>
      <c r="EB9" s="3400"/>
      <c r="EC9" s="3400"/>
      <c r="ED9" s="3400"/>
      <c r="EE9" s="3400"/>
      <c r="EF9" s="3400"/>
      <c r="EG9" s="3400"/>
      <c r="EH9" s="3400"/>
      <c r="EI9" s="3400"/>
      <c r="EJ9" s="3400"/>
      <c r="EK9" s="3400"/>
      <c r="EL9" s="3400"/>
      <c r="EM9" s="3400"/>
      <c r="EN9" s="3400"/>
      <c r="EO9" s="3400"/>
      <c r="EP9" s="3400"/>
      <c r="EQ9" s="3400"/>
      <c r="ER9" s="3440"/>
      <c r="ES9" s="3440"/>
      <c r="ET9" s="3440"/>
      <c r="EU9" s="3440"/>
      <c r="EV9" s="3440"/>
      <c r="EW9" s="3440"/>
      <c r="EX9" s="3440"/>
      <c r="EY9" s="3440"/>
      <c r="EZ9" s="3440"/>
      <c r="FA9" s="3440"/>
      <c r="FB9" s="3400"/>
      <c r="FC9" s="3400"/>
      <c r="FD9" s="3400"/>
      <c r="FE9" s="3400"/>
      <c r="FF9" s="3400"/>
      <c r="FG9" s="3440"/>
      <c r="FH9" s="3440"/>
      <c r="FI9" s="3440"/>
      <c r="FJ9" s="3440"/>
      <c r="FK9" s="3440"/>
      <c r="FL9" s="3400"/>
      <c r="FM9" s="3400"/>
      <c r="FN9" s="3400"/>
      <c r="FO9" s="3400"/>
      <c r="FP9" s="3400"/>
      <c r="FQ9" s="3440"/>
      <c r="FR9" s="3440"/>
      <c r="FS9" s="3440"/>
      <c r="FT9" s="3440"/>
      <c r="FU9" s="3440"/>
      <c r="FV9" s="3440"/>
      <c r="FW9" s="3440"/>
      <c r="FX9" s="3440"/>
      <c r="FY9" s="3440"/>
      <c r="FZ9" s="3440"/>
      <c r="GA9" s="3440"/>
      <c r="GB9" s="3440"/>
      <c r="GC9" s="3440"/>
      <c r="GD9" s="3440"/>
      <c r="GE9" s="3440"/>
      <c r="GF9" s="3440"/>
      <c r="GG9" s="3440"/>
      <c r="GH9" s="3440"/>
      <c r="GI9" s="3440"/>
      <c r="GJ9" s="3440"/>
      <c r="GK9" s="3440"/>
      <c r="GL9" s="3440"/>
      <c r="GM9" s="3440"/>
      <c r="GN9" s="3440"/>
      <c r="GO9" s="3440"/>
      <c r="GP9" s="3440"/>
      <c r="GQ9" s="3440"/>
      <c r="GR9" s="3440"/>
      <c r="GS9" s="3440"/>
      <c r="GT9" s="3440"/>
      <c r="GU9" s="3440"/>
      <c r="GV9" s="3440"/>
      <c r="GW9" s="3440"/>
      <c r="GX9" s="3440"/>
      <c r="GY9" s="3440"/>
      <c r="GZ9" s="3440"/>
      <c r="HA9" s="3440"/>
      <c r="HB9" s="3440"/>
      <c r="HC9" s="3440"/>
      <c r="HD9" s="3440"/>
      <c r="HE9" s="3440"/>
      <c r="HF9" s="3440"/>
      <c r="HG9" s="3440"/>
      <c r="HH9" s="3440"/>
      <c r="HI9" s="3440"/>
      <c r="HJ9" s="3440"/>
      <c r="HK9" s="3440"/>
      <c r="HL9" s="3440"/>
      <c r="HM9" s="3440"/>
      <c r="HN9" s="3440"/>
      <c r="HO9" s="3440"/>
      <c r="HP9" s="3440"/>
      <c r="HQ9" s="3440"/>
      <c r="HR9" s="3440"/>
      <c r="HS9" s="3440"/>
      <c r="HT9" s="3440"/>
      <c r="HU9" s="3440"/>
      <c r="HV9" s="3440"/>
      <c r="HW9" s="3440"/>
      <c r="HX9" s="3440"/>
      <c r="HY9" s="3440"/>
      <c r="HZ9" s="453" t="s">
        <v>2495</v>
      </c>
      <c r="IA9" s="453" t="s">
        <v>2495</v>
      </c>
      <c r="IB9" s="453" t="s">
        <v>2495</v>
      </c>
      <c r="IC9" s="453" t="s">
        <v>2495</v>
      </c>
      <c r="ID9" s="3440"/>
      <c r="IE9" s="3440"/>
      <c r="IF9" s="3440"/>
      <c r="IG9" s="3440"/>
      <c r="IH9" s="3440"/>
      <c r="II9" s="3440"/>
      <c r="IJ9" s="3440"/>
      <c r="IK9" s="3440"/>
      <c r="IL9" s="3440"/>
      <c r="IM9" s="3440"/>
      <c r="IN9" s="453" t="s">
        <v>2497</v>
      </c>
      <c r="IO9" s="453" t="s">
        <v>2497</v>
      </c>
      <c r="IP9" s="453" t="s">
        <v>2497</v>
      </c>
      <c r="IQ9" s="453" t="s">
        <v>2497</v>
      </c>
      <c r="IR9" s="453" t="s">
        <v>2497</v>
      </c>
      <c r="IS9" s="453" t="s">
        <v>3365</v>
      </c>
      <c r="IT9" s="453" t="s">
        <v>3365</v>
      </c>
      <c r="IU9" s="453" t="s">
        <v>3365</v>
      </c>
      <c r="IV9" s="453" t="s">
        <v>3365</v>
      </c>
      <c r="IW9" s="453" t="s">
        <v>3365</v>
      </c>
      <c r="IX9" s="3440"/>
      <c r="IY9" s="3440"/>
      <c r="IZ9" s="3440"/>
      <c r="JA9" s="3440"/>
      <c r="JB9" s="3440"/>
      <c r="JC9" s="3440"/>
      <c r="JD9" s="3440"/>
      <c r="JE9" s="3440"/>
      <c r="JF9" s="3440"/>
      <c r="JG9" s="3440"/>
      <c r="JH9" s="3440"/>
      <c r="JI9" s="3440"/>
      <c r="JJ9" s="3440"/>
      <c r="JK9" s="3440"/>
      <c r="JL9" s="3440"/>
      <c r="JM9" s="3440"/>
      <c r="JN9" s="3440"/>
      <c r="JO9" s="3440"/>
      <c r="JP9" s="3440"/>
      <c r="JQ9" s="3440"/>
      <c r="JR9" s="3440"/>
      <c r="JS9" s="3440"/>
      <c r="JT9" s="3440"/>
      <c r="JU9" s="3440"/>
      <c r="JV9" s="3440"/>
      <c r="JW9" s="3440"/>
      <c r="JX9" s="3440"/>
      <c r="JY9" s="3440"/>
      <c r="JZ9" s="3440"/>
      <c r="KA9" s="3440"/>
      <c r="KB9" s="3440"/>
      <c r="KC9" s="3440"/>
      <c r="KD9" s="3440"/>
      <c r="KE9" s="3440"/>
      <c r="KF9" s="3440"/>
      <c r="KG9" s="3440"/>
      <c r="KH9" s="3440"/>
      <c r="KI9" s="3440"/>
      <c r="KJ9" s="3440"/>
      <c r="KK9" s="3440"/>
      <c r="KL9" s="3440"/>
      <c r="KM9" s="3440"/>
      <c r="KN9" s="3440"/>
      <c r="KO9" s="3440"/>
      <c r="KP9" s="3440"/>
      <c r="KQ9" s="3440"/>
      <c r="KR9" s="3440"/>
      <c r="KS9" s="3440"/>
      <c r="KT9" s="3440"/>
      <c r="KU9" s="3440"/>
      <c r="KV9" s="3440"/>
      <c r="KW9" s="3440"/>
      <c r="KX9" s="3440"/>
      <c r="KY9" s="3440"/>
      <c r="KZ9" s="3440"/>
      <c r="LA9" s="3440"/>
      <c r="LB9" s="3440"/>
      <c r="LC9" s="3440"/>
      <c r="LD9" s="3440"/>
      <c r="LE9" s="3440"/>
      <c r="LF9" s="3440"/>
      <c r="LG9" s="3440"/>
      <c r="LH9" s="3440"/>
      <c r="LI9" s="3440"/>
      <c r="LJ9" s="3440"/>
      <c r="LK9" s="3440"/>
      <c r="LL9" s="3440"/>
      <c r="LM9" s="3440"/>
      <c r="LN9" s="3440"/>
      <c r="LO9" s="3440"/>
      <c r="LP9" s="3440"/>
      <c r="LQ9" s="3440"/>
      <c r="LR9" s="3440"/>
      <c r="LS9" s="3440"/>
      <c r="LT9" s="3440"/>
      <c r="LU9" s="3440"/>
      <c r="LV9" s="3440"/>
      <c r="LW9" s="3440"/>
      <c r="LX9" s="3440"/>
      <c r="LY9" s="3440"/>
      <c r="LZ9" s="3440"/>
      <c r="MA9" s="3440"/>
      <c r="MB9" s="3440"/>
      <c r="MC9" s="3440"/>
      <c r="MD9" s="3440"/>
      <c r="ME9" s="3440"/>
      <c r="MF9" s="3440"/>
      <c r="MG9" s="3440"/>
      <c r="MH9" s="3440"/>
      <c r="MI9" s="3440"/>
      <c r="MJ9" s="3455"/>
      <c r="MK9" s="3455"/>
      <c r="ML9" s="3455"/>
      <c r="MM9" s="3455"/>
      <c r="MN9" s="3455"/>
      <c r="MO9" s="3440"/>
      <c r="MP9" s="3440"/>
      <c r="MQ9" s="3440"/>
      <c r="MR9" s="3440"/>
      <c r="MS9" s="3440"/>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7" t="s">
        <v>4614</v>
      </c>
      <c r="C10" s="2588">
        <v>2</v>
      </c>
      <c r="D10" s="2589">
        <v>1</v>
      </c>
      <c r="E10" s="2590">
        <v>1</v>
      </c>
      <c r="F10" s="2590">
        <v>915</v>
      </c>
      <c r="G10" s="2590">
        <v>0</v>
      </c>
      <c r="H10" s="2590">
        <v>0</v>
      </c>
      <c r="I10" s="2591">
        <f>IF(C10="",0,HLOOKUP(C10,'Part V-Utility Allowances'!$I$11:$M$22,12))</f>
        <v>72</v>
      </c>
      <c r="J10" s="2592"/>
      <c r="K10" s="592">
        <f t="shared" ref="K10:K47" si="1">MAX(0,H10-I10)</f>
        <v>0</v>
      </c>
      <c r="L10" s="592">
        <f t="shared" ref="L10:L47" si="2">MAX(0,E10*K10)</f>
        <v>0</v>
      </c>
      <c r="M10" s="2593" t="s">
        <v>2510</v>
      </c>
      <c r="N10" s="2593" t="s">
        <v>5196</v>
      </c>
      <c r="O10" s="2593" t="s">
        <v>5197</v>
      </c>
      <c r="P10" s="2594" t="s">
        <v>2991</v>
      </c>
      <c r="Q10" s="2595">
        <f t="shared" ref="Q10:Q47" si="3">IF(H10="","",H10*12/0.3)</f>
        <v>0</v>
      </c>
      <c r="R10" s="2596">
        <f>IF(H10="","",IF(C10="Efficiency",Q10/($O$6*VLOOKUP(0,'DCA Underwriting Assumptions'!$J$146:$K$151,2,FALSE)),Q10/($O$6*VLOOKUP(C10,'DCA Underwriting Assumptions'!$J$146:$K$151,2,FALSE))))</f>
        <v>0</v>
      </c>
      <c r="S10" s="2597"/>
      <c r="T10" s="2598"/>
      <c r="U10" s="3383"/>
      <c r="V10" s="3385"/>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f t="shared" ref="EE10:EE47" si="116">IF(AND(C10=2,M10="Common Space"),E10,"")</f>
        <v>1</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f t="shared" ref="GC10:GC47" si="155">IF(AND(C10=2,M10="Common Space"),E10*F10,"")</f>
        <v>915</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f t="shared" ref="HG10:HG47" si="185">IF(AND($C10=2, $O10="Acquisition/Rehab",$B10="N/A-CS",$M10="Common Space"),$E10,"")</f>
        <v>1</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f t="shared" ref="IA10:IA47" si="205">IF(AND($C10=2, NOT(OR($N10="SF Detached",$N10="Mfd Home",$N10="Duplex",$N10="Townhome"))),$E10,"")</f>
        <v>1</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f t="shared" ref="KN10:KN47" si="270">IF(AND($C10=2, $N10="2-Story Walkup",NOT($P10="Yes")),$E10,"")</f>
        <v>1</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1</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599" t="s">
        <v>4614</v>
      </c>
      <c r="C11" s="2600"/>
      <c r="D11" s="2601"/>
      <c r="E11" s="2602"/>
      <c r="F11" s="2602"/>
      <c r="G11" s="2602"/>
      <c r="H11" s="2602"/>
      <c r="I11" s="2603">
        <f>IF(C11="",0,HLOOKUP(C11,'Part V-Utility Allowances'!$I$11:$M$22,12))</f>
        <v>0</v>
      </c>
      <c r="J11" s="2604"/>
      <c r="K11" s="593">
        <f t="shared" si="1"/>
        <v>0</v>
      </c>
      <c r="L11" s="593">
        <f t="shared" si="2"/>
        <v>0</v>
      </c>
      <c r="M11" s="2605"/>
      <c r="N11" s="2605"/>
      <c r="O11" s="2605"/>
      <c r="P11" s="2606"/>
      <c r="Q11" s="2607" t="str">
        <f t="shared" si="3"/>
        <v/>
      </c>
      <c r="R11" s="2608" t="str">
        <f>IF(H11="","",IF(C11="Efficiency",Q11/($O$6*VLOOKUP(0,'DCA Underwriting Assumptions'!$J$146:$K$151,2,FALSE)),Q11/($O$6*VLOOKUP(C11,'DCA Underwriting Assumptions'!$J$146:$K$151,2,FALSE))))</f>
        <v/>
      </c>
      <c r="S11" s="2609"/>
      <c r="T11" s="2610"/>
      <c r="U11" s="3388"/>
      <c r="V11" s="3390"/>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599" t="s">
        <v>303</v>
      </c>
      <c r="C12" s="2600"/>
      <c r="D12" s="2601"/>
      <c r="E12" s="2602"/>
      <c r="F12" s="2602"/>
      <c r="G12" s="2602"/>
      <c r="H12" s="2602"/>
      <c r="I12" s="2603">
        <f>IF(C12="",0,HLOOKUP(C12,'Part V-Utility Allowances'!$I$11:$M$22,12))</f>
        <v>0</v>
      </c>
      <c r="J12" s="2604"/>
      <c r="K12" s="593">
        <f t="shared" si="1"/>
        <v>0</v>
      </c>
      <c r="L12" s="593">
        <f t="shared" si="2"/>
        <v>0</v>
      </c>
      <c r="M12" s="2605"/>
      <c r="N12" s="2605"/>
      <c r="O12" s="2605"/>
      <c r="P12" s="2606"/>
      <c r="Q12" s="2607" t="str">
        <f t="shared" si="3"/>
        <v/>
      </c>
      <c r="R12" s="2608" t="str">
        <f>IF(H12="","",IF(C12="Efficiency",Q12/($O$6*VLOOKUP(0,'DCA Underwriting Assumptions'!$J$146:$K$151,2,FALSE)),Q12/($O$6*VLOOKUP(C12,'DCA Underwriting Assumptions'!$J$146:$K$151,2,FALSE))))</f>
        <v/>
      </c>
      <c r="S12" s="2609"/>
      <c r="T12" s="2610"/>
      <c r="U12" s="3388"/>
      <c r="V12" s="3390"/>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599" t="s">
        <v>303</v>
      </c>
      <c r="C13" s="2600"/>
      <c r="D13" s="2601"/>
      <c r="E13" s="2602"/>
      <c r="F13" s="2602"/>
      <c r="G13" s="2602"/>
      <c r="H13" s="2602"/>
      <c r="I13" s="2603">
        <f>IF(C13="",0,HLOOKUP(C13,'Part V-Utility Allowances'!$I$11:$M$22,12))</f>
        <v>0</v>
      </c>
      <c r="J13" s="2604"/>
      <c r="K13" s="593">
        <f t="shared" si="1"/>
        <v>0</v>
      </c>
      <c r="L13" s="593">
        <f t="shared" si="2"/>
        <v>0</v>
      </c>
      <c r="M13" s="2605"/>
      <c r="N13" s="2605"/>
      <c r="O13" s="2605"/>
      <c r="P13" s="2606"/>
      <c r="Q13" s="2607" t="str">
        <f t="shared" si="3"/>
        <v/>
      </c>
      <c r="R13" s="2608" t="str">
        <f>IF(H13="","",IF(C13="Efficiency",Q13/($O$6*VLOOKUP(0,'DCA Underwriting Assumptions'!$J$146:$K$151,2,FALSE)),Q13/($O$6*VLOOKUP(C13,'DCA Underwriting Assumptions'!$J$146:$K$151,2,FALSE))))</f>
        <v/>
      </c>
      <c r="S13" s="2609"/>
      <c r="T13" s="2610"/>
      <c r="U13" s="3388"/>
      <c r="V13" s="3390"/>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599" t="s">
        <v>303</v>
      </c>
      <c r="C14" s="2600"/>
      <c r="D14" s="2601"/>
      <c r="E14" s="2602"/>
      <c r="F14" s="2602"/>
      <c r="G14" s="2602"/>
      <c r="H14" s="2602"/>
      <c r="I14" s="2603">
        <f>IF(C14="",0,HLOOKUP(C14,'Part V-Utility Allowances'!$I$11:$M$22,12))</f>
        <v>0</v>
      </c>
      <c r="J14" s="2604"/>
      <c r="K14" s="593">
        <f t="shared" si="1"/>
        <v>0</v>
      </c>
      <c r="L14" s="593">
        <f t="shared" si="2"/>
        <v>0</v>
      </c>
      <c r="M14" s="2605"/>
      <c r="N14" s="2605"/>
      <c r="O14" s="2605"/>
      <c r="P14" s="2606"/>
      <c r="Q14" s="2607" t="str">
        <f t="shared" si="3"/>
        <v/>
      </c>
      <c r="R14" s="2608" t="str">
        <f>IF(H14="","",IF(C14="Efficiency",Q14/($O$6*VLOOKUP(0,'DCA Underwriting Assumptions'!$J$146:$K$151,2,FALSE)),Q14/($O$6*VLOOKUP(C14,'DCA Underwriting Assumptions'!$J$146:$K$151,2,FALSE))))</f>
        <v/>
      </c>
      <c r="S14" s="2609"/>
      <c r="T14" s="2610"/>
      <c r="U14" s="3388"/>
      <c r="V14" s="3390"/>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599" t="s">
        <v>303</v>
      </c>
      <c r="C15" s="2600"/>
      <c r="D15" s="2601"/>
      <c r="E15" s="2602"/>
      <c r="F15" s="2602"/>
      <c r="G15" s="2602"/>
      <c r="H15" s="2602"/>
      <c r="I15" s="2603">
        <f>IF(C15="",0,HLOOKUP(C15,'Part V-Utility Allowances'!$I$11:$M$22,12))</f>
        <v>0</v>
      </c>
      <c r="J15" s="2604"/>
      <c r="K15" s="593">
        <f t="shared" si="1"/>
        <v>0</v>
      </c>
      <c r="L15" s="593">
        <f t="shared" si="2"/>
        <v>0</v>
      </c>
      <c r="M15" s="2605"/>
      <c r="N15" s="2605"/>
      <c r="O15" s="2605"/>
      <c r="P15" s="2606"/>
      <c r="Q15" s="2607" t="str">
        <f t="shared" si="3"/>
        <v/>
      </c>
      <c r="R15" s="2608" t="str">
        <f>IF(H15="","",IF(C15="Efficiency",Q15/($O$6*VLOOKUP(0,'DCA Underwriting Assumptions'!$J$146:$K$151,2,FALSE)),Q15/($O$6*VLOOKUP(C15,'DCA Underwriting Assumptions'!$J$146:$K$151,2,FALSE))))</f>
        <v/>
      </c>
      <c r="S15" s="2609"/>
      <c r="T15" s="2610"/>
      <c r="U15" s="3388"/>
      <c r="V15" s="3390"/>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11" t="s">
        <v>303</v>
      </c>
      <c r="C16" s="2612"/>
      <c r="D16" s="2613"/>
      <c r="E16" s="2614"/>
      <c r="F16" s="2614"/>
      <c r="G16" s="2614"/>
      <c r="H16" s="2614"/>
      <c r="I16" s="2615">
        <f>IF(C16="",0,HLOOKUP(C16,'Part V-Utility Allowances'!$I$11:$M$22,12))</f>
        <v>0</v>
      </c>
      <c r="J16" s="2616"/>
      <c r="K16" s="1970">
        <f t="shared" si="1"/>
        <v>0</v>
      </c>
      <c r="L16" s="1970">
        <f t="shared" si="2"/>
        <v>0</v>
      </c>
      <c r="M16" s="2617"/>
      <c r="N16" s="2617"/>
      <c r="O16" s="2617"/>
      <c r="P16" s="2618"/>
      <c r="Q16" s="2607" t="str">
        <f t="shared" si="3"/>
        <v/>
      </c>
      <c r="R16" s="2608" t="str">
        <f>IF(H16="","",IF(C16="Efficiency",Q16/($O$6*VLOOKUP(0,'DCA Underwriting Assumptions'!$J$146:$K$151,2,FALSE)),Q16/($O$6*VLOOKUP(C16,'DCA Underwriting Assumptions'!$J$146:$K$151,2,FALSE))))</f>
        <v/>
      </c>
      <c r="S16" s="2609"/>
      <c r="T16" s="2610"/>
      <c r="U16" s="3388"/>
      <c r="V16" s="3390"/>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19">
        <v>50</v>
      </c>
      <c r="C17" s="2620">
        <v>1</v>
      </c>
      <c r="D17" s="2621">
        <v>1</v>
      </c>
      <c r="E17" s="2622">
        <v>6</v>
      </c>
      <c r="F17" s="2622">
        <v>756</v>
      </c>
      <c r="G17" s="2622">
        <v>513</v>
      </c>
      <c r="H17" s="2622">
        <v>455</v>
      </c>
      <c r="I17" s="2623">
        <f>IF(C17="",0,HLOOKUP(C17,'Part V-Utility Allowances'!$I$11:$M$22,12))</f>
        <v>55</v>
      </c>
      <c r="J17" s="2624"/>
      <c r="K17" s="1969">
        <f t="shared" si="1"/>
        <v>400</v>
      </c>
      <c r="L17" s="1969">
        <f t="shared" si="2"/>
        <v>2400</v>
      </c>
      <c r="M17" s="2625" t="s">
        <v>5198</v>
      </c>
      <c r="N17" s="2625" t="s">
        <v>5196</v>
      </c>
      <c r="O17" s="2625" t="s">
        <v>5197</v>
      </c>
      <c r="P17" s="2626" t="s">
        <v>2991</v>
      </c>
      <c r="Q17" s="2607">
        <f t="shared" si="3"/>
        <v>18200</v>
      </c>
      <c r="R17" s="2608">
        <f>IF(H17="","",IF(C17="Efficiency",Q17/($O$6*VLOOKUP(0,'DCA Underwriting Assumptions'!$J$146:$K$151,2,FALSE)),Q17/($O$6*VLOOKUP(C17,'DCA Underwriting Assumptions'!$J$146:$K$151,2,FALSE))))</f>
        <v>0.45443196004993758</v>
      </c>
      <c r="S17" s="2609"/>
      <c r="T17" s="2610"/>
      <c r="U17" s="3388"/>
      <c r="V17" s="3390"/>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6</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4536</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t="str">
        <f t="shared" si="159"/>
        <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f t="shared" si="174"/>
        <v>6</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6</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f t="shared" si="269"/>
        <v>6</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6</v>
      </c>
      <c r="MG17" s="453">
        <f t="shared" si="326"/>
        <v>0</v>
      </c>
      <c r="MH17" s="453">
        <f t="shared" si="327"/>
        <v>0</v>
      </c>
      <c r="MI17" s="453">
        <f t="shared" si="328"/>
        <v>0</v>
      </c>
      <c r="MJ17" s="453">
        <f t="shared" si="329"/>
        <v>0</v>
      </c>
      <c r="MK17" s="453">
        <f t="shared" si="330"/>
        <v>0</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27">
        <v>60</v>
      </c>
      <c r="C18" s="2600">
        <v>1</v>
      </c>
      <c r="D18" s="2601">
        <v>1</v>
      </c>
      <c r="E18" s="2602">
        <v>6</v>
      </c>
      <c r="F18" s="2602">
        <v>756</v>
      </c>
      <c r="G18" s="2602">
        <v>626</v>
      </c>
      <c r="H18" s="2602">
        <v>505</v>
      </c>
      <c r="I18" s="2603">
        <f>IF(C18="",0,HLOOKUP(C18,'Part V-Utility Allowances'!$I$11:$M$22,12))</f>
        <v>55</v>
      </c>
      <c r="J18" s="2604"/>
      <c r="K18" s="593">
        <f t="shared" si="1"/>
        <v>450</v>
      </c>
      <c r="L18" s="593">
        <f t="shared" si="2"/>
        <v>2700</v>
      </c>
      <c r="M18" s="2605" t="s">
        <v>5198</v>
      </c>
      <c r="N18" s="2605" t="s">
        <v>5196</v>
      </c>
      <c r="O18" s="2605" t="s">
        <v>5197</v>
      </c>
      <c r="P18" s="2606" t="s">
        <v>2991</v>
      </c>
      <c r="Q18" s="2607">
        <f t="shared" si="3"/>
        <v>20200</v>
      </c>
      <c r="R18" s="2608">
        <f>IF(H18="","",IF(C18="Efficiency",Q18/($O$6*VLOOKUP(0,'DCA Underwriting Assumptions'!$J$146:$K$151,2,FALSE)),Q18/($O$6*VLOOKUP(C18,'DCA Underwriting Assumptions'!$J$146:$K$151,2,FALSE))))</f>
        <v>0.50436953807740326</v>
      </c>
      <c r="S18" s="2609"/>
      <c r="T18" s="2610"/>
      <c r="U18" s="3388"/>
      <c r="V18" s="3390"/>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f t="shared" si="15"/>
        <v>6</v>
      </c>
      <c r="AI18" s="448" t="str">
        <f t="shared" si="16"/>
        <v/>
      </c>
      <c r="AJ18" s="448" t="str">
        <f t="shared" si="17"/>
        <v/>
      </c>
      <c r="AK18" s="448" t="str">
        <f t="shared" si="18"/>
        <v/>
      </c>
      <c r="AL18" s="448" t="str">
        <f t="shared" si="19"/>
        <v/>
      </c>
      <c r="AM18" s="448" t="str">
        <f t="shared" si="20"/>
        <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f t="shared" si="129"/>
        <v>4536</v>
      </c>
      <c r="ET18" s="448" t="str">
        <f t="shared" si="130"/>
        <v/>
      </c>
      <c r="EU18" s="448" t="str">
        <f t="shared" si="131"/>
        <v/>
      </c>
      <c r="EV18" s="448" t="str">
        <f t="shared" si="132"/>
        <v/>
      </c>
      <c r="EW18" s="448" t="str">
        <f t="shared" si="314"/>
        <v/>
      </c>
      <c r="EX18" s="448" t="str">
        <f t="shared" si="315"/>
        <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t="str">
        <f t="shared" si="160"/>
        <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f t="shared" si="174"/>
        <v>6</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f t="shared" si="204"/>
        <v>6</v>
      </c>
      <c r="IA18" s="454" t="str">
        <f t="shared" si="205"/>
        <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f t="shared" si="269"/>
        <v>6</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6</v>
      </c>
      <c r="MG18" s="453">
        <f t="shared" si="326"/>
        <v>0</v>
      </c>
      <c r="MH18" s="453">
        <f t="shared" si="327"/>
        <v>0</v>
      </c>
      <c r="MI18" s="453">
        <f t="shared" si="328"/>
        <v>0</v>
      </c>
      <c r="MJ18" s="453">
        <f t="shared" si="329"/>
        <v>0</v>
      </c>
      <c r="MK18" s="453">
        <f t="shared" si="330"/>
        <v>0</v>
      </c>
      <c r="ML18" s="453">
        <f t="shared" si="331"/>
        <v>0</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27">
        <v>50</v>
      </c>
      <c r="C19" s="2600">
        <v>2</v>
      </c>
      <c r="D19" s="2601">
        <v>1</v>
      </c>
      <c r="E19" s="2602">
        <v>12</v>
      </c>
      <c r="F19" s="2602">
        <v>915</v>
      </c>
      <c r="G19" s="2602">
        <v>609</v>
      </c>
      <c r="H19" s="2602">
        <v>537</v>
      </c>
      <c r="I19" s="2603">
        <f>IF(C19="",0,HLOOKUP(C19,'Part V-Utility Allowances'!$I$11:$M$22,12))</f>
        <v>72</v>
      </c>
      <c r="J19" s="2604"/>
      <c r="K19" s="593">
        <f t="shared" si="1"/>
        <v>465</v>
      </c>
      <c r="L19" s="593">
        <f t="shared" si="2"/>
        <v>5580</v>
      </c>
      <c r="M19" s="2605" t="s">
        <v>5198</v>
      </c>
      <c r="N19" s="2605" t="s">
        <v>5196</v>
      </c>
      <c r="O19" s="2605" t="s">
        <v>5197</v>
      </c>
      <c r="P19" s="2606" t="s">
        <v>2991</v>
      </c>
      <c r="Q19" s="2607">
        <f t="shared" si="3"/>
        <v>21480</v>
      </c>
      <c r="R19" s="2608">
        <f>IF(H19="","",IF(C19="Efficiency",Q19/($O$6*VLOOKUP(0,'DCA Underwriting Assumptions'!$J$146:$K$151,2,FALSE)),Q19/($O$6*VLOOKUP(C19,'DCA Underwriting Assumptions'!$J$146:$K$151,2,FALSE))))</f>
        <v>0.44694132334581771</v>
      </c>
      <c r="S19" s="2609"/>
      <c r="T19" s="2610"/>
      <c r="U19" s="3388"/>
      <c r="V19" s="3390"/>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f t="shared" si="21"/>
        <v>12</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f t="shared" si="316"/>
        <v>10980</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f t="shared" si="175"/>
        <v>12</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f t="shared" si="205"/>
        <v>12</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f t="shared" si="270"/>
        <v>12</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12</v>
      </c>
      <c r="MH19" s="453">
        <f t="shared" si="327"/>
        <v>0</v>
      </c>
      <c r="MI19" s="453">
        <f t="shared" si="328"/>
        <v>0</v>
      </c>
      <c r="MJ19" s="453">
        <f t="shared" si="329"/>
        <v>0</v>
      </c>
      <c r="MK19" s="453">
        <f t="shared" si="330"/>
        <v>0</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27">
        <v>60</v>
      </c>
      <c r="C20" s="2600">
        <v>2</v>
      </c>
      <c r="D20" s="2601">
        <v>1</v>
      </c>
      <c r="E20" s="2602">
        <v>11</v>
      </c>
      <c r="F20" s="2602">
        <v>915</v>
      </c>
      <c r="G20" s="2602">
        <v>745</v>
      </c>
      <c r="H20" s="2602">
        <v>562</v>
      </c>
      <c r="I20" s="2603">
        <f>IF(C20="",0,HLOOKUP(C20,'Part V-Utility Allowances'!$I$11:$M$22,12))</f>
        <v>72</v>
      </c>
      <c r="J20" s="2604"/>
      <c r="K20" s="593">
        <f t="shared" si="1"/>
        <v>490</v>
      </c>
      <c r="L20" s="593">
        <f t="shared" si="2"/>
        <v>5390</v>
      </c>
      <c r="M20" s="2605" t="s">
        <v>5198</v>
      </c>
      <c r="N20" s="2605" t="s">
        <v>5196</v>
      </c>
      <c r="O20" s="2605" t="s">
        <v>5197</v>
      </c>
      <c r="P20" s="2606" t="s">
        <v>2991</v>
      </c>
      <c r="Q20" s="2607">
        <f t="shared" si="3"/>
        <v>22480</v>
      </c>
      <c r="R20" s="2608">
        <f>IF(H20="","",IF(C20="Efficiency",Q20/($O$6*VLOOKUP(0,'DCA Underwriting Assumptions'!$J$146:$K$151,2,FALSE)),Q20/($O$6*VLOOKUP(C20,'DCA Underwriting Assumptions'!$J$146:$K$151,2,FALSE))))</f>
        <v>0.46774864752392842</v>
      </c>
      <c r="S20" s="2609"/>
      <c r="T20" s="2610"/>
      <c r="U20" s="3388"/>
      <c r="V20" s="3390"/>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f t="shared" si="16"/>
        <v>11</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f t="shared" si="130"/>
        <v>10065</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f t="shared" si="175"/>
        <v>11</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f t="shared" si="205"/>
        <v>11</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f t="shared" si="270"/>
        <v>11</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11</v>
      </c>
      <c r="MH20" s="453">
        <f t="shared" si="327"/>
        <v>0</v>
      </c>
      <c r="MI20" s="453">
        <f t="shared" si="328"/>
        <v>0</v>
      </c>
      <c r="MJ20" s="453">
        <f t="shared" si="329"/>
        <v>0</v>
      </c>
      <c r="MK20" s="453">
        <f t="shared" si="330"/>
        <v>0</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27">
        <v>50</v>
      </c>
      <c r="C21" s="2600">
        <v>3</v>
      </c>
      <c r="D21" s="2601">
        <v>2</v>
      </c>
      <c r="E21" s="2602">
        <v>2</v>
      </c>
      <c r="F21" s="2602">
        <v>1136</v>
      </c>
      <c r="G21" s="2602">
        <v>698</v>
      </c>
      <c r="H21" s="2602">
        <v>609</v>
      </c>
      <c r="I21" s="2603">
        <f>IF(C21="",0,HLOOKUP(C21,'Part V-Utility Allowances'!$I$11:$M$22,12))</f>
        <v>89</v>
      </c>
      <c r="J21" s="2604"/>
      <c r="K21" s="593">
        <f t="shared" si="1"/>
        <v>520</v>
      </c>
      <c r="L21" s="593">
        <f t="shared" si="2"/>
        <v>1040</v>
      </c>
      <c r="M21" s="2605" t="s">
        <v>5198</v>
      </c>
      <c r="N21" s="2605" t="s">
        <v>5196</v>
      </c>
      <c r="O21" s="2605" t="s">
        <v>5197</v>
      </c>
      <c r="P21" s="2606" t="s">
        <v>2991</v>
      </c>
      <c r="Q21" s="2607">
        <f t="shared" si="3"/>
        <v>24360</v>
      </c>
      <c r="R21" s="2608">
        <f>IF(H21="","",IF(C21="Efficiency",Q21/($O$6*VLOOKUP(0,'DCA Underwriting Assumptions'!$J$146:$K$151,2,FALSE)),Q21/($O$6*VLOOKUP(C21,'DCA Underwriting Assumptions'!$J$146:$K$151,2,FALSE))))</f>
        <v>0.43863439930855663</v>
      </c>
      <c r="S21" s="2609"/>
      <c r="T21" s="2610"/>
      <c r="U21" s="3388"/>
      <c r="V21" s="3390"/>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f t="shared" si="22"/>
        <v>2</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f t="shared" si="317"/>
        <v>2272</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f t="shared" si="176"/>
        <v>2</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f t="shared" si="206"/>
        <v>2</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f t="shared" si="271"/>
        <v>2</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2</v>
      </c>
      <c r="MI21" s="453">
        <f t="shared" si="328"/>
        <v>0</v>
      </c>
      <c r="MJ21" s="453">
        <f t="shared" si="329"/>
        <v>0</v>
      </c>
      <c r="MK21" s="453">
        <f t="shared" si="330"/>
        <v>0</v>
      </c>
      <c r="ML21" s="453">
        <f t="shared" si="331"/>
        <v>0</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27">
        <v>60</v>
      </c>
      <c r="C22" s="2600">
        <v>3</v>
      </c>
      <c r="D22" s="2601">
        <v>2</v>
      </c>
      <c r="E22" s="2602">
        <v>2</v>
      </c>
      <c r="F22" s="2602">
        <v>1136</v>
      </c>
      <c r="G22" s="2602">
        <v>856</v>
      </c>
      <c r="H22" s="2602">
        <v>639</v>
      </c>
      <c r="I22" s="2603">
        <f>IF(C22="",0,HLOOKUP(C22,'Part V-Utility Allowances'!$I$11:$M$22,12))</f>
        <v>89</v>
      </c>
      <c r="J22" s="2604"/>
      <c r="K22" s="593">
        <f t="shared" si="1"/>
        <v>550</v>
      </c>
      <c r="L22" s="593">
        <f t="shared" si="2"/>
        <v>1100</v>
      </c>
      <c r="M22" s="2605" t="s">
        <v>5198</v>
      </c>
      <c r="N22" s="2605" t="s">
        <v>5196</v>
      </c>
      <c r="O22" s="2605" t="s">
        <v>5197</v>
      </c>
      <c r="P22" s="2606" t="s">
        <v>2991</v>
      </c>
      <c r="Q22" s="2607">
        <f t="shared" si="3"/>
        <v>25560</v>
      </c>
      <c r="R22" s="2608">
        <f>IF(H22="","",IF(C22="Efficiency",Q22/($O$6*VLOOKUP(0,'DCA Underwriting Assumptions'!$J$146:$K$151,2,FALSE)),Q22/($O$6*VLOOKUP(C22,'DCA Underwriting Assumptions'!$J$146:$K$151,2,FALSE))))</f>
        <v>0.46024200518582542</v>
      </c>
      <c r="S22" s="2609"/>
      <c r="T22" s="2610"/>
      <c r="U22" s="3388"/>
      <c r="V22" s="3390"/>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f t="shared" si="17"/>
        <v>2</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f t="shared" si="131"/>
        <v>2272</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f t="shared" si="176"/>
        <v>2</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f t="shared" si="206"/>
        <v>2</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f t="shared" si="271"/>
        <v>2</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2</v>
      </c>
      <c r="MI22" s="453">
        <f t="shared" si="328"/>
        <v>0</v>
      </c>
      <c r="MJ22" s="453">
        <f t="shared" si="329"/>
        <v>0</v>
      </c>
      <c r="MK22" s="453">
        <f t="shared" si="330"/>
        <v>0</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27">
        <v>80</v>
      </c>
      <c r="C23" s="2600"/>
      <c r="D23" s="2601"/>
      <c r="E23" s="2602"/>
      <c r="F23" s="2602"/>
      <c r="G23" s="2602"/>
      <c r="H23" s="2602"/>
      <c r="I23" s="2603">
        <f>IF(C23="",0,HLOOKUP(C23,'Part V-Utility Allowances'!$I$11:$M$22,12))</f>
        <v>0</v>
      </c>
      <c r="J23" s="2604"/>
      <c r="K23" s="593">
        <f t="shared" si="1"/>
        <v>0</v>
      </c>
      <c r="L23" s="593">
        <f t="shared" si="2"/>
        <v>0</v>
      </c>
      <c r="M23" s="2605"/>
      <c r="N23" s="2605"/>
      <c r="O23" s="2605"/>
      <c r="P23" s="2606"/>
      <c r="Q23" s="2607" t="str">
        <f t="shared" si="3"/>
        <v/>
      </c>
      <c r="R23" s="2608" t="str">
        <f>IF(H23="","",IF(C23="Efficiency",Q23/($O$6*VLOOKUP(0,'DCA Underwriting Assumptions'!$J$146:$K$151,2,FALSE)),Q23/($O$6*VLOOKUP(C23,'DCA Underwriting Assumptions'!$J$146:$K$151,2,FALSE))))</f>
        <v/>
      </c>
      <c r="S23" s="2609"/>
      <c r="T23" s="2610"/>
      <c r="U23" s="3388"/>
      <c r="V23" s="3390"/>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27">
        <v>80</v>
      </c>
      <c r="C24" s="2600"/>
      <c r="D24" s="2601"/>
      <c r="E24" s="2602"/>
      <c r="F24" s="2602"/>
      <c r="G24" s="2602"/>
      <c r="H24" s="2602"/>
      <c r="I24" s="2603">
        <f>IF(C24="",0,HLOOKUP(C24,'Part V-Utility Allowances'!$I$11:$M$22,12))</f>
        <v>0</v>
      </c>
      <c r="J24" s="2604"/>
      <c r="K24" s="593">
        <f t="shared" si="1"/>
        <v>0</v>
      </c>
      <c r="L24" s="593">
        <f t="shared" si="2"/>
        <v>0</v>
      </c>
      <c r="M24" s="2605"/>
      <c r="N24" s="2605"/>
      <c r="O24" s="2605"/>
      <c r="P24" s="2606"/>
      <c r="Q24" s="2607" t="str">
        <f t="shared" si="3"/>
        <v/>
      </c>
      <c r="R24" s="2608" t="str">
        <f>IF(H24="","",IF(C24="Efficiency",Q24/($O$6*VLOOKUP(0,'DCA Underwriting Assumptions'!$J$146:$K$151,2,FALSE)),Q24/($O$6*VLOOKUP(C24,'DCA Underwriting Assumptions'!$J$146:$K$151,2,FALSE))))</f>
        <v/>
      </c>
      <c r="S24" s="2609"/>
      <c r="T24" s="2610"/>
      <c r="U24" s="3388"/>
      <c r="V24" s="3390"/>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27"/>
      <c r="C25" s="2600"/>
      <c r="D25" s="2601"/>
      <c r="E25" s="2602"/>
      <c r="F25" s="2602"/>
      <c r="G25" s="2602"/>
      <c r="H25" s="2602"/>
      <c r="I25" s="2603">
        <f>IF(C25="",0,HLOOKUP(C25,'Part V-Utility Allowances'!$I$11:$M$22,12))</f>
        <v>0</v>
      </c>
      <c r="J25" s="2604"/>
      <c r="K25" s="593">
        <f t="shared" si="1"/>
        <v>0</v>
      </c>
      <c r="L25" s="593">
        <f t="shared" si="2"/>
        <v>0</v>
      </c>
      <c r="M25" s="2605"/>
      <c r="N25" s="2605"/>
      <c r="O25" s="2605"/>
      <c r="P25" s="2606"/>
      <c r="Q25" s="2607" t="str">
        <f t="shared" si="3"/>
        <v/>
      </c>
      <c r="R25" s="2608" t="str">
        <f>IF(H25="","",IF(C25="Efficiency",Q25/($O$6*VLOOKUP(0,'DCA Underwriting Assumptions'!$J$146:$K$151,2,FALSE)),Q25/($O$6*VLOOKUP(C25,'DCA Underwriting Assumptions'!$J$146:$K$151,2,FALSE))))</f>
        <v/>
      </c>
      <c r="S25" s="2609"/>
      <c r="T25" s="2610"/>
      <c r="U25" s="3388"/>
      <c r="V25" s="3390"/>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27"/>
      <c r="C26" s="2600"/>
      <c r="D26" s="2601"/>
      <c r="E26" s="2602"/>
      <c r="F26" s="2602"/>
      <c r="G26" s="2602"/>
      <c r="H26" s="2602"/>
      <c r="I26" s="2603">
        <f>IF(C26="",0,HLOOKUP(C26,'Part V-Utility Allowances'!$I$11:$M$22,12))</f>
        <v>0</v>
      </c>
      <c r="J26" s="2604"/>
      <c r="K26" s="593">
        <f t="shared" si="1"/>
        <v>0</v>
      </c>
      <c r="L26" s="593">
        <f t="shared" si="2"/>
        <v>0</v>
      </c>
      <c r="M26" s="2605"/>
      <c r="N26" s="2605"/>
      <c r="O26" s="2605"/>
      <c r="P26" s="2606"/>
      <c r="Q26" s="2607" t="str">
        <f t="shared" si="3"/>
        <v/>
      </c>
      <c r="R26" s="2608" t="str">
        <f>IF(H26="","",IF(C26="Efficiency",Q26/($O$6*VLOOKUP(0,'DCA Underwriting Assumptions'!$J$146:$K$151,2,FALSE)),Q26/($O$6*VLOOKUP(C26,'DCA Underwriting Assumptions'!$J$146:$K$151,2,FALSE))))</f>
        <v/>
      </c>
      <c r="S26" s="2609"/>
      <c r="T26" s="2610"/>
      <c r="U26" s="3388"/>
      <c r="V26" s="3390"/>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27"/>
      <c r="C27" s="2600"/>
      <c r="D27" s="2601"/>
      <c r="E27" s="2602"/>
      <c r="F27" s="2602"/>
      <c r="G27" s="2602"/>
      <c r="H27" s="2602"/>
      <c r="I27" s="2603">
        <f>IF(C27="",0,HLOOKUP(C27,'Part V-Utility Allowances'!$I$11:$M$22,12))</f>
        <v>0</v>
      </c>
      <c r="J27" s="2604"/>
      <c r="K27" s="593">
        <f t="shared" si="1"/>
        <v>0</v>
      </c>
      <c r="L27" s="593">
        <f t="shared" si="2"/>
        <v>0</v>
      </c>
      <c r="M27" s="2605"/>
      <c r="N27" s="2605"/>
      <c r="O27" s="2605"/>
      <c r="P27" s="2606"/>
      <c r="Q27" s="2607" t="str">
        <f t="shared" si="3"/>
        <v/>
      </c>
      <c r="R27" s="2608" t="str">
        <f>IF(H27="","",IF(C27="Efficiency",Q27/($O$6*VLOOKUP(0,'DCA Underwriting Assumptions'!$J$146:$K$151,2,FALSE)),Q27/($O$6*VLOOKUP(C27,'DCA Underwriting Assumptions'!$J$146:$K$151,2,FALSE))))</f>
        <v/>
      </c>
      <c r="S27" s="2609"/>
      <c r="T27" s="2610"/>
      <c r="U27" s="3388"/>
      <c r="V27" s="3390"/>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27"/>
      <c r="C28" s="2600"/>
      <c r="D28" s="2601"/>
      <c r="E28" s="2602"/>
      <c r="F28" s="2602"/>
      <c r="G28" s="2602"/>
      <c r="H28" s="2602"/>
      <c r="I28" s="2603">
        <f>IF(C28="",0,HLOOKUP(C28,'Part V-Utility Allowances'!$I$11:$M$22,12))</f>
        <v>0</v>
      </c>
      <c r="J28" s="2604"/>
      <c r="K28" s="593">
        <f t="shared" si="1"/>
        <v>0</v>
      </c>
      <c r="L28" s="593">
        <f t="shared" si="2"/>
        <v>0</v>
      </c>
      <c r="M28" s="2605"/>
      <c r="N28" s="2605"/>
      <c r="O28" s="2605"/>
      <c r="P28" s="2606"/>
      <c r="Q28" s="2607" t="str">
        <f t="shared" si="3"/>
        <v/>
      </c>
      <c r="R28" s="2608" t="str">
        <f>IF(H28="","",IF(C28="Efficiency",Q28/($O$6*VLOOKUP(0,'DCA Underwriting Assumptions'!$J$146:$K$151,2,FALSE)),Q28/($O$6*VLOOKUP(C28,'DCA Underwriting Assumptions'!$J$146:$K$151,2,FALSE))))</f>
        <v/>
      </c>
      <c r="S28" s="2609"/>
      <c r="T28" s="2610"/>
      <c r="U28" s="3388"/>
      <c r="V28" s="3390"/>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27"/>
      <c r="C29" s="2600"/>
      <c r="D29" s="2601"/>
      <c r="E29" s="2602"/>
      <c r="F29" s="2602"/>
      <c r="G29" s="2602"/>
      <c r="H29" s="2602"/>
      <c r="I29" s="2603">
        <f>IF(C29="",0,HLOOKUP(C29,'Part V-Utility Allowances'!$I$11:$M$22,12))</f>
        <v>0</v>
      </c>
      <c r="J29" s="2604"/>
      <c r="K29" s="593">
        <f t="shared" si="1"/>
        <v>0</v>
      </c>
      <c r="L29" s="593">
        <f t="shared" si="2"/>
        <v>0</v>
      </c>
      <c r="M29" s="2605"/>
      <c r="N29" s="2605"/>
      <c r="O29" s="2605"/>
      <c r="P29" s="2606"/>
      <c r="Q29" s="2607" t="str">
        <f t="shared" si="3"/>
        <v/>
      </c>
      <c r="R29" s="2608" t="str">
        <f>IF(H29="","",IF(C29="Efficiency",Q29/($O$6*VLOOKUP(0,'DCA Underwriting Assumptions'!$J$146:$K$151,2,FALSE)),Q29/($O$6*VLOOKUP(C29,'DCA Underwriting Assumptions'!$J$146:$K$151,2,FALSE))))</f>
        <v/>
      </c>
      <c r="S29" s="2609"/>
      <c r="T29" s="2610"/>
      <c r="U29" s="3388"/>
      <c r="V29" s="3390"/>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27"/>
      <c r="C30" s="2600"/>
      <c r="D30" s="2601"/>
      <c r="E30" s="2602"/>
      <c r="F30" s="2602"/>
      <c r="G30" s="2602"/>
      <c r="H30" s="2602"/>
      <c r="I30" s="2603">
        <f>IF(C30="",0,HLOOKUP(C30,'Part V-Utility Allowances'!$I$11:$M$22,12))</f>
        <v>0</v>
      </c>
      <c r="J30" s="2604"/>
      <c r="K30" s="593">
        <f t="shared" si="1"/>
        <v>0</v>
      </c>
      <c r="L30" s="593">
        <f t="shared" si="2"/>
        <v>0</v>
      </c>
      <c r="M30" s="2605"/>
      <c r="N30" s="2605"/>
      <c r="O30" s="2605"/>
      <c r="P30" s="2606"/>
      <c r="Q30" s="2607" t="str">
        <f t="shared" si="3"/>
        <v/>
      </c>
      <c r="R30" s="2608" t="str">
        <f>IF(H30="","",IF(C30="Efficiency",Q30/($O$6*VLOOKUP(0,'DCA Underwriting Assumptions'!$J$146:$K$151,2,FALSE)),Q30/($O$6*VLOOKUP(C30,'DCA Underwriting Assumptions'!$J$146:$K$151,2,FALSE))))</f>
        <v/>
      </c>
      <c r="S30" s="2609"/>
      <c r="T30" s="2610"/>
      <c r="U30" s="3388"/>
      <c r="V30" s="3390"/>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27"/>
      <c r="C31" s="2600"/>
      <c r="D31" s="2601"/>
      <c r="E31" s="2602"/>
      <c r="F31" s="2602"/>
      <c r="G31" s="2602"/>
      <c r="H31" s="2602"/>
      <c r="I31" s="2603">
        <f>IF(C31="",0,HLOOKUP(C31,'Part V-Utility Allowances'!$I$11:$M$22,12))</f>
        <v>0</v>
      </c>
      <c r="J31" s="2604"/>
      <c r="K31" s="593">
        <f t="shared" si="1"/>
        <v>0</v>
      </c>
      <c r="L31" s="593">
        <f t="shared" si="2"/>
        <v>0</v>
      </c>
      <c r="M31" s="2605"/>
      <c r="N31" s="2605"/>
      <c r="O31" s="2605"/>
      <c r="P31" s="2606"/>
      <c r="Q31" s="2607" t="str">
        <f t="shared" si="3"/>
        <v/>
      </c>
      <c r="R31" s="2608" t="str">
        <f>IF(H31="","",IF(C31="Efficiency",Q31/($O$6*VLOOKUP(0,'DCA Underwriting Assumptions'!$J$146:$K$151,2,FALSE)),Q31/($O$6*VLOOKUP(C31,'DCA Underwriting Assumptions'!$J$146:$K$151,2,FALSE))))</f>
        <v/>
      </c>
      <c r="S31" s="2609"/>
      <c r="T31" s="2610"/>
      <c r="U31" s="3388"/>
      <c r="V31" s="3390"/>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27"/>
      <c r="C32" s="2600"/>
      <c r="D32" s="2601"/>
      <c r="E32" s="2602"/>
      <c r="F32" s="2602"/>
      <c r="G32" s="2602"/>
      <c r="H32" s="2602"/>
      <c r="I32" s="2603">
        <f>IF(C32="",0,HLOOKUP(C32,'Part V-Utility Allowances'!$I$11:$M$22,12))</f>
        <v>0</v>
      </c>
      <c r="J32" s="2604"/>
      <c r="K32" s="593">
        <f t="shared" si="1"/>
        <v>0</v>
      </c>
      <c r="L32" s="593">
        <f t="shared" si="2"/>
        <v>0</v>
      </c>
      <c r="M32" s="2605"/>
      <c r="N32" s="2605"/>
      <c r="O32" s="2605"/>
      <c r="P32" s="2606"/>
      <c r="Q32" s="2607" t="str">
        <f t="shared" si="3"/>
        <v/>
      </c>
      <c r="R32" s="2608" t="str">
        <f>IF(H32="","",IF(C32="Efficiency",Q32/($O$6*VLOOKUP(0,'DCA Underwriting Assumptions'!$J$146:$K$151,2,FALSE)),Q32/($O$6*VLOOKUP(C32,'DCA Underwriting Assumptions'!$J$146:$K$151,2,FALSE))))</f>
        <v/>
      </c>
      <c r="S32" s="2609"/>
      <c r="T32" s="2610"/>
      <c r="U32" s="3388"/>
      <c r="V32" s="3390"/>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27"/>
      <c r="C33" s="2600"/>
      <c r="D33" s="2601"/>
      <c r="E33" s="2602"/>
      <c r="F33" s="2602"/>
      <c r="G33" s="2602"/>
      <c r="H33" s="2602"/>
      <c r="I33" s="2603">
        <f>IF(C33="",0,HLOOKUP(C33,'Part V-Utility Allowances'!$I$11:$M$22,12))</f>
        <v>0</v>
      </c>
      <c r="J33" s="2604"/>
      <c r="K33" s="593">
        <f t="shared" si="1"/>
        <v>0</v>
      </c>
      <c r="L33" s="593">
        <f t="shared" si="2"/>
        <v>0</v>
      </c>
      <c r="M33" s="2605"/>
      <c r="N33" s="2605"/>
      <c r="O33" s="2605"/>
      <c r="P33" s="2606"/>
      <c r="Q33" s="2607" t="str">
        <f t="shared" si="3"/>
        <v/>
      </c>
      <c r="R33" s="2608" t="str">
        <f>IF(H33="","",IF(C33="Efficiency",Q33/($O$6*VLOOKUP(0,'DCA Underwriting Assumptions'!$J$146:$K$151,2,FALSE)),Q33/($O$6*VLOOKUP(C33,'DCA Underwriting Assumptions'!$J$146:$K$151,2,FALSE))))</f>
        <v/>
      </c>
      <c r="S33" s="2609"/>
      <c r="T33" s="2610"/>
      <c r="U33" s="3388"/>
      <c r="V33" s="3390"/>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27"/>
      <c r="C34" s="2600"/>
      <c r="D34" s="2601"/>
      <c r="E34" s="2602"/>
      <c r="F34" s="2602"/>
      <c r="G34" s="2602"/>
      <c r="H34" s="2602"/>
      <c r="I34" s="2603">
        <f>IF(C34="",0,HLOOKUP(C34,'Part V-Utility Allowances'!$I$11:$M$22,12))</f>
        <v>0</v>
      </c>
      <c r="J34" s="2604"/>
      <c r="K34" s="593">
        <f t="shared" si="1"/>
        <v>0</v>
      </c>
      <c r="L34" s="593">
        <f t="shared" si="2"/>
        <v>0</v>
      </c>
      <c r="M34" s="2605"/>
      <c r="N34" s="2605"/>
      <c r="O34" s="2605"/>
      <c r="P34" s="2606"/>
      <c r="Q34" s="2607" t="str">
        <f t="shared" si="3"/>
        <v/>
      </c>
      <c r="R34" s="2608" t="str">
        <f>IF(H34="","",IF(C34="Efficiency",Q34/($O$6*VLOOKUP(0,'DCA Underwriting Assumptions'!$J$146:$K$151,2,FALSE)),Q34/($O$6*VLOOKUP(C34,'DCA Underwriting Assumptions'!$J$146:$K$151,2,FALSE))))</f>
        <v/>
      </c>
      <c r="S34" s="2609"/>
      <c r="T34" s="2610"/>
      <c r="U34" s="3388"/>
      <c r="V34" s="3390"/>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27"/>
      <c r="C35" s="2600"/>
      <c r="D35" s="2601"/>
      <c r="E35" s="2602"/>
      <c r="F35" s="2602"/>
      <c r="G35" s="2602"/>
      <c r="H35" s="2602"/>
      <c r="I35" s="2603">
        <f>IF(C35="",0,HLOOKUP(C35,'Part V-Utility Allowances'!$I$11:$M$22,12))</f>
        <v>0</v>
      </c>
      <c r="J35" s="2604"/>
      <c r="K35" s="593">
        <f t="shared" si="1"/>
        <v>0</v>
      </c>
      <c r="L35" s="593">
        <f t="shared" si="2"/>
        <v>0</v>
      </c>
      <c r="M35" s="2605"/>
      <c r="N35" s="2605"/>
      <c r="O35" s="2605"/>
      <c r="P35" s="2606"/>
      <c r="Q35" s="2607" t="str">
        <f t="shared" si="3"/>
        <v/>
      </c>
      <c r="R35" s="2608" t="str">
        <f>IF(H35="","",IF(C35="Efficiency",Q35/($O$6*VLOOKUP(0,'DCA Underwriting Assumptions'!$J$146:$K$151,2,FALSE)),Q35/($O$6*VLOOKUP(C35,'DCA Underwriting Assumptions'!$J$146:$K$151,2,FALSE))))</f>
        <v/>
      </c>
      <c r="S35" s="2609"/>
      <c r="T35" s="2610"/>
      <c r="U35" s="3388"/>
      <c r="V35" s="3390"/>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27"/>
      <c r="C36" s="2600"/>
      <c r="D36" s="2601"/>
      <c r="E36" s="2602"/>
      <c r="F36" s="2602"/>
      <c r="G36" s="2602"/>
      <c r="H36" s="2602"/>
      <c r="I36" s="2603">
        <f>IF(C36="",0,HLOOKUP(C36,'Part V-Utility Allowances'!$I$11:$M$22,12))</f>
        <v>0</v>
      </c>
      <c r="J36" s="2604"/>
      <c r="K36" s="593">
        <f t="shared" si="1"/>
        <v>0</v>
      </c>
      <c r="L36" s="593">
        <f t="shared" si="2"/>
        <v>0</v>
      </c>
      <c r="M36" s="2605"/>
      <c r="N36" s="2605"/>
      <c r="O36" s="2605"/>
      <c r="P36" s="2606"/>
      <c r="Q36" s="2607" t="str">
        <f t="shared" si="3"/>
        <v/>
      </c>
      <c r="R36" s="2608" t="str">
        <f>IF(H36="","",IF(C36="Efficiency",Q36/($O$6*VLOOKUP(0,'DCA Underwriting Assumptions'!$J$146:$K$151,2,FALSE)),Q36/($O$6*VLOOKUP(C36,'DCA Underwriting Assumptions'!$J$146:$K$151,2,FALSE))))</f>
        <v/>
      </c>
      <c r="S36" s="2609"/>
      <c r="T36" s="2610"/>
      <c r="U36" s="3388"/>
      <c r="V36" s="3390"/>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27"/>
      <c r="C37" s="2600"/>
      <c r="D37" s="2601"/>
      <c r="E37" s="2602"/>
      <c r="F37" s="2602"/>
      <c r="G37" s="2602"/>
      <c r="H37" s="2602"/>
      <c r="I37" s="2603">
        <f>IF(C37="",0,HLOOKUP(C37,'Part V-Utility Allowances'!$I$11:$M$22,12))</f>
        <v>0</v>
      </c>
      <c r="J37" s="2604"/>
      <c r="K37" s="593">
        <f t="shared" si="1"/>
        <v>0</v>
      </c>
      <c r="L37" s="593">
        <f t="shared" si="2"/>
        <v>0</v>
      </c>
      <c r="M37" s="2605"/>
      <c r="N37" s="2605"/>
      <c r="O37" s="2605"/>
      <c r="P37" s="2606"/>
      <c r="Q37" s="2607" t="str">
        <f t="shared" si="3"/>
        <v/>
      </c>
      <c r="R37" s="2608" t="str">
        <f>IF(H37="","",IF(C37="Efficiency",Q37/($O$6*VLOOKUP(0,'DCA Underwriting Assumptions'!$J$146:$K$151,2,FALSE)),Q37/($O$6*VLOOKUP(C37,'DCA Underwriting Assumptions'!$J$146:$K$151,2,FALSE))))</f>
        <v/>
      </c>
      <c r="S37" s="2609"/>
      <c r="T37" s="2610"/>
      <c r="U37" s="3388"/>
      <c r="V37" s="3390"/>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27"/>
      <c r="C38" s="2600"/>
      <c r="D38" s="2601"/>
      <c r="E38" s="2602"/>
      <c r="F38" s="2602"/>
      <c r="G38" s="2602"/>
      <c r="H38" s="2602"/>
      <c r="I38" s="2603">
        <f>IF(C38="",0,HLOOKUP(C38,'Part V-Utility Allowances'!$I$11:$M$22,12))</f>
        <v>0</v>
      </c>
      <c r="J38" s="2604"/>
      <c r="K38" s="593">
        <f t="shared" si="1"/>
        <v>0</v>
      </c>
      <c r="L38" s="593">
        <f t="shared" si="2"/>
        <v>0</v>
      </c>
      <c r="M38" s="2605"/>
      <c r="N38" s="2605"/>
      <c r="O38" s="2605"/>
      <c r="P38" s="2606"/>
      <c r="Q38" s="2607" t="str">
        <f t="shared" si="3"/>
        <v/>
      </c>
      <c r="R38" s="2608" t="str">
        <f>IF(H38="","",IF(C38="Efficiency",Q38/($O$6*VLOOKUP(0,'DCA Underwriting Assumptions'!$J$146:$K$151,2,FALSE)),Q38/($O$6*VLOOKUP(C38,'DCA Underwriting Assumptions'!$J$146:$K$151,2,FALSE))))</f>
        <v/>
      </c>
      <c r="S38" s="2609"/>
      <c r="T38" s="2610"/>
      <c r="U38" s="3388"/>
      <c r="V38" s="3390"/>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27"/>
      <c r="C39" s="2600"/>
      <c r="D39" s="2601"/>
      <c r="E39" s="2602"/>
      <c r="F39" s="2602"/>
      <c r="G39" s="2602"/>
      <c r="H39" s="2602"/>
      <c r="I39" s="2603">
        <f>IF(C39="",0,HLOOKUP(C39,'Part V-Utility Allowances'!$I$11:$M$22,12))</f>
        <v>0</v>
      </c>
      <c r="J39" s="2604"/>
      <c r="K39" s="593">
        <f t="shared" si="1"/>
        <v>0</v>
      </c>
      <c r="L39" s="593">
        <f t="shared" si="2"/>
        <v>0</v>
      </c>
      <c r="M39" s="2605"/>
      <c r="N39" s="2605"/>
      <c r="O39" s="2605"/>
      <c r="P39" s="2606"/>
      <c r="Q39" s="2607" t="str">
        <f t="shared" si="3"/>
        <v/>
      </c>
      <c r="R39" s="2608" t="str">
        <f>IF(H39="","",IF(C39="Efficiency",Q39/($O$6*VLOOKUP(0,'DCA Underwriting Assumptions'!$J$146:$K$151,2,FALSE)),Q39/($O$6*VLOOKUP(C39,'DCA Underwriting Assumptions'!$J$146:$K$151,2,FALSE))))</f>
        <v/>
      </c>
      <c r="S39" s="2609"/>
      <c r="T39" s="2610"/>
      <c r="U39" s="3388"/>
      <c r="V39" s="3390"/>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27"/>
      <c r="C40" s="2600"/>
      <c r="D40" s="2601"/>
      <c r="E40" s="2602"/>
      <c r="F40" s="2602"/>
      <c r="G40" s="2602"/>
      <c r="H40" s="2602"/>
      <c r="I40" s="2603">
        <f>IF(C40="",0,HLOOKUP(C40,'Part V-Utility Allowances'!$I$11:$M$22,12))</f>
        <v>0</v>
      </c>
      <c r="J40" s="2604"/>
      <c r="K40" s="593">
        <f t="shared" si="1"/>
        <v>0</v>
      </c>
      <c r="L40" s="593">
        <f t="shared" si="2"/>
        <v>0</v>
      </c>
      <c r="M40" s="2605"/>
      <c r="N40" s="2605"/>
      <c r="O40" s="2605"/>
      <c r="P40" s="2606"/>
      <c r="Q40" s="2607" t="str">
        <f t="shared" si="3"/>
        <v/>
      </c>
      <c r="R40" s="2608" t="str">
        <f>IF(H40="","",IF(C40="Efficiency",Q40/($O$6*VLOOKUP(0,'DCA Underwriting Assumptions'!$J$146:$K$151,2,FALSE)),Q40/($O$6*VLOOKUP(C40,'DCA Underwriting Assumptions'!$J$146:$K$151,2,FALSE))))</f>
        <v/>
      </c>
      <c r="S40" s="2609"/>
      <c r="T40" s="2610"/>
      <c r="U40" s="3388"/>
      <c r="V40" s="3390"/>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27"/>
      <c r="C41" s="2600"/>
      <c r="D41" s="2601"/>
      <c r="E41" s="2602"/>
      <c r="F41" s="2602"/>
      <c r="G41" s="2602"/>
      <c r="H41" s="2602"/>
      <c r="I41" s="2603">
        <f>IF(C41="",0,HLOOKUP(C41,'Part V-Utility Allowances'!$I$11:$M$22,12))</f>
        <v>0</v>
      </c>
      <c r="J41" s="2604"/>
      <c r="K41" s="593">
        <f t="shared" si="1"/>
        <v>0</v>
      </c>
      <c r="L41" s="593">
        <f t="shared" si="2"/>
        <v>0</v>
      </c>
      <c r="M41" s="2605"/>
      <c r="N41" s="2605"/>
      <c r="O41" s="2605"/>
      <c r="P41" s="2606"/>
      <c r="Q41" s="2607" t="str">
        <f t="shared" si="3"/>
        <v/>
      </c>
      <c r="R41" s="2608" t="str">
        <f>IF(H41="","",IF(C41="Efficiency",Q41/($O$6*VLOOKUP(0,'DCA Underwriting Assumptions'!$J$146:$K$151,2,FALSE)),Q41/($O$6*VLOOKUP(C41,'DCA Underwriting Assumptions'!$J$146:$K$151,2,FALSE))))</f>
        <v/>
      </c>
      <c r="S41" s="2609"/>
      <c r="T41" s="2610"/>
      <c r="U41" s="3388"/>
      <c r="V41" s="3390"/>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27"/>
      <c r="C42" s="2600"/>
      <c r="D42" s="2601"/>
      <c r="E42" s="2602"/>
      <c r="F42" s="2602"/>
      <c r="G42" s="2602"/>
      <c r="H42" s="2602"/>
      <c r="I42" s="2603">
        <f>IF(C42="",0,HLOOKUP(C42,'Part V-Utility Allowances'!$I$11:$M$22,12))</f>
        <v>0</v>
      </c>
      <c r="J42" s="2604"/>
      <c r="K42" s="593">
        <f t="shared" si="1"/>
        <v>0</v>
      </c>
      <c r="L42" s="593">
        <f t="shared" si="2"/>
        <v>0</v>
      </c>
      <c r="M42" s="2605"/>
      <c r="N42" s="2605"/>
      <c r="O42" s="2605"/>
      <c r="P42" s="2606"/>
      <c r="Q42" s="2607" t="str">
        <f t="shared" si="3"/>
        <v/>
      </c>
      <c r="R42" s="2608" t="str">
        <f>IF(H42="","",IF(C42="Efficiency",Q42/($O$6*VLOOKUP(0,'DCA Underwriting Assumptions'!$J$146:$K$151,2,FALSE)),Q42/($O$6*VLOOKUP(C42,'DCA Underwriting Assumptions'!$J$146:$K$151,2,FALSE))))</f>
        <v/>
      </c>
      <c r="S42" s="2609"/>
      <c r="T42" s="2610"/>
      <c r="U42" s="3388"/>
      <c r="V42" s="3390"/>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27"/>
      <c r="C43" s="2600"/>
      <c r="D43" s="2601"/>
      <c r="E43" s="2602"/>
      <c r="F43" s="2602"/>
      <c r="G43" s="2602"/>
      <c r="H43" s="2602"/>
      <c r="I43" s="2603">
        <f>IF(C43="",0,HLOOKUP(C43,'Part V-Utility Allowances'!$I$11:$M$22,12))</f>
        <v>0</v>
      </c>
      <c r="J43" s="2604"/>
      <c r="K43" s="593">
        <f t="shared" si="1"/>
        <v>0</v>
      </c>
      <c r="L43" s="593">
        <f t="shared" si="2"/>
        <v>0</v>
      </c>
      <c r="M43" s="2605"/>
      <c r="N43" s="2605"/>
      <c r="O43" s="2605"/>
      <c r="P43" s="2606"/>
      <c r="Q43" s="2607" t="str">
        <f t="shared" si="3"/>
        <v/>
      </c>
      <c r="R43" s="2608" t="str">
        <f>IF(H43="","",IF(C43="Efficiency",Q43/($O$6*VLOOKUP(0,'DCA Underwriting Assumptions'!$J$146:$K$151,2,FALSE)),Q43/($O$6*VLOOKUP(C43,'DCA Underwriting Assumptions'!$J$146:$K$151,2,FALSE))))</f>
        <v/>
      </c>
      <c r="S43" s="2609"/>
      <c r="T43" s="2610"/>
      <c r="U43" s="3388"/>
      <c r="V43" s="3390"/>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27"/>
      <c r="C44" s="2600"/>
      <c r="D44" s="2601"/>
      <c r="E44" s="2602"/>
      <c r="F44" s="2602"/>
      <c r="G44" s="2602"/>
      <c r="H44" s="2602"/>
      <c r="I44" s="2603">
        <f>IF(C44="",0,HLOOKUP(C44,'Part V-Utility Allowances'!$I$11:$M$22,12))</f>
        <v>0</v>
      </c>
      <c r="J44" s="2604"/>
      <c r="K44" s="593">
        <f t="shared" si="1"/>
        <v>0</v>
      </c>
      <c r="L44" s="593">
        <f t="shared" si="2"/>
        <v>0</v>
      </c>
      <c r="M44" s="2605"/>
      <c r="N44" s="2605"/>
      <c r="O44" s="2605"/>
      <c r="P44" s="2606"/>
      <c r="Q44" s="2607" t="str">
        <f t="shared" si="3"/>
        <v/>
      </c>
      <c r="R44" s="2608" t="str">
        <f>IF(H44="","",IF(C44="Efficiency",Q44/($O$6*VLOOKUP(0,'DCA Underwriting Assumptions'!$J$146:$K$151,2,FALSE)),Q44/($O$6*VLOOKUP(C44,'DCA Underwriting Assumptions'!$J$146:$K$151,2,FALSE))))</f>
        <v/>
      </c>
      <c r="S44" s="2609"/>
      <c r="T44" s="2610"/>
      <c r="U44" s="3388"/>
      <c r="V44" s="3390"/>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27"/>
      <c r="C45" s="2600"/>
      <c r="D45" s="2601"/>
      <c r="E45" s="2602"/>
      <c r="F45" s="2602"/>
      <c r="G45" s="2602"/>
      <c r="H45" s="2602"/>
      <c r="I45" s="2603">
        <f>IF(C45="",0,HLOOKUP(C45,'Part V-Utility Allowances'!$I$11:$M$22,12))</f>
        <v>0</v>
      </c>
      <c r="J45" s="2604"/>
      <c r="K45" s="593">
        <f t="shared" si="1"/>
        <v>0</v>
      </c>
      <c r="L45" s="593">
        <f t="shared" si="2"/>
        <v>0</v>
      </c>
      <c r="M45" s="2605"/>
      <c r="N45" s="2605"/>
      <c r="O45" s="2605"/>
      <c r="P45" s="2606"/>
      <c r="Q45" s="2607" t="str">
        <f t="shared" si="3"/>
        <v/>
      </c>
      <c r="R45" s="2608" t="str">
        <f>IF(H45="","",IF(C45="Efficiency",Q45/($O$6*VLOOKUP(0,'DCA Underwriting Assumptions'!$J$146:$K$151,2,FALSE)),Q45/($O$6*VLOOKUP(C45,'DCA Underwriting Assumptions'!$J$146:$K$151,2,FALSE))))</f>
        <v/>
      </c>
      <c r="S45" s="2609"/>
      <c r="T45" s="2610"/>
      <c r="U45" s="3388"/>
      <c r="V45" s="3390"/>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27"/>
      <c r="C46" s="2600"/>
      <c r="D46" s="2601"/>
      <c r="E46" s="2602"/>
      <c r="F46" s="2602"/>
      <c r="G46" s="2602"/>
      <c r="H46" s="2602"/>
      <c r="I46" s="2603">
        <f>IF(C46="",0,HLOOKUP(C46,'Part V-Utility Allowances'!$I$11:$M$22,12))</f>
        <v>0</v>
      </c>
      <c r="J46" s="2604"/>
      <c r="K46" s="593">
        <f t="shared" si="1"/>
        <v>0</v>
      </c>
      <c r="L46" s="593">
        <f t="shared" si="2"/>
        <v>0</v>
      </c>
      <c r="M46" s="2605"/>
      <c r="N46" s="2605"/>
      <c r="O46" s="2605"/>
      <c r="P46" s="2606"/>
      <c r="Q46" s="2607" t="str">
        <f t="shared" si="3"/>
        <v/>
      </c>
      <c r="R46" s="2608" t="str">
        <f>IF(H46="","",IF(C46="Efficiency",Q46/($O$6*VLOOKUP(0,'DCA Underwriting Assumptions'!$J$146:$K$151,2,FALSE)),Q46/($O$6*VLOOKUP(C46,'DCA Underwriting Assumptions'!$J$146:$K$151,2,FALSE))))</f>
        <v/>
      </c>
      <c r="S46" s="2609"/>
      <c r="T46" s="2610"/>
      <c r="U46" s="3388"/>
      <c r="V46" s="3390"/>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28"/>
      <c r="C47" s="2629"/>
      <c r="D47" s="2630"/>
      <c r="E47" s="2631"/>
      <c r="F47" s="2631"/>
      <c r="G47" s="2631"/>
      <c r="H47" s="2631"/>
      <c r="I47" s="2632">
        <f>IF(C47="",0,HLOOKUP(C47,'Part V-Utility Allowances'!$I$11:$M$22,12))</f>
        <v>0</v>
      </c>
      <c r="J47" s="2633"/>
      <c r="K47" s="594">
        <f t="shared" si="1"/>
        <v>0</v>
      </c>
      <c r="L47" s="594">
        <f t="shared" si="2"/>
        <v>0</v>
      </c>
      <c r="M47" s="2634"/>
      <c r="N47" s="2634"/>
      <c r="O47" s="2634"/>
      <c r="P47" s="2635"/>
      <c r="Q47" s="2636" t="str">
        <f t="shared" si="3"/>
        <v/>
      </c>
      <c r="R47" s="2637" t="str">
        <f>IF(H47="","",IF(C47="Efficiency",Q47/($O$6*VLOOKUP(0,'DCA Underwriting Assumptions'!$J$146:$K$151,2,FALSE)),Q47/($O$6*VLOOKUP(C47,'DCA Underwriting Assumptions'!$J$146:$K$151,2,FALSE))))</f>
        <v/>
      </c>
      <c r="S47" s="2638"/>
      <c r="T47" s="2639"/>
      <c r="U47" s="3392"/>
      <c r="V47" s="3394"/>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3448" t="s">
        <v>4708</v>
      </c>
      <c r="C48" s="3449"/>
      <c r="D48" s="138" t="s">
        <v>1017</v>
      </c>
      <c r="E48" s="1975">
        <f>SUM(E10:E47)</f>
        <v>40</v>
      </c>
      <c r="F48" s="1973">
        <f>(E10*F10+E11*F11+E12*F12+E13*F13+E14*F14+E15*F15+E16*F16+E17*F17+E18*F18+E19*F19+E20*F20+E21*F21+E22*F22+E23*F23+E24*F24+E25*F25+E26*F26+E27*F27+E28*F28+E29*F29+E30*F30+E31*F31+E32*F32+E33*F33+E34*F34+E35*F35+E36*F36+E37*F37+E38*F38+E39*F39+E40*F40+E41*F41+E42*F42+E43*F43+E44*F44+E45*F45+E46*F46+E47*F47)</f>
        <v>35576</v>
      </c>
      <c r="G48" s="3398" t="s">
        <v>4705</v>
      </c>
      <c r="H48" s="2640" t="s">
        <v>4706</v>
      </c>
      <c r="I48" s="1976" t="str">
        <f>IF(O67=0,"",IF(SUM(O56:O62)/O67&gt;=0.4,"Pass","Fail"))</f>
        <v>Pass</v>
      </c>
      <c r="J48" s="571"/>
      <c r="K48" s="913" t="s">
        <v>1301</v>
      </c>
      <c r="L48" s="123">
        <f>SUM(L10:L47)</f>
        <v>18210</v>
      </c>
      <c r="M48" s="94"/>
      <c r="N48" s="572"/>
      <c r="O48" s="94"/>
      <c r="P48" s="469"/>
      <c r="Q48" s="469"/>
      <c r="R48" s="469"/>
      <c r="S48" s="469"/>
      <c r="T48" s="469"/>
      <c r="U48" s="896"/>
      <c r="V48" s="573"/>
      <c r="W48" s="2254">
        <f t="shared" ref="W48:EZ48" si="339">SUM(W10:W47)</f>
        <v>0</v>
      </c>
      <c r="X48" s="2254">
        <f t="shared" si="339"/>
        <v>0</v>
      </c>
      <c r="Y48" s="2254">
        <f t="shared" si="339"/>
        <v>0</v>
      </c>
      <c r="Z48" s="2254">
        <f t="shared" si="339"/>
        <v>0</v>
      </c>
      <c r="AA48" s="2254">
        <f t="shared" si="339"/>
        <v>0</v>
      </c>
      <c r="AB48" s="2254">
        <f t="shared" ref="AB48:AK48" si="340">SUM(AB10:AB47)</f>
        <v>0</v>
      </c>
      <c r="AC48" s="2254">
        <f t="shared" si="340"/>
        <v>0</v>
      </c>
      <c r="AD48" s="2254">
        <f t="shared" si="340"/>
        <v>0</v>
      </c>
      <c r="AE48" s="2254">
        <f t="shared" si="340"/>
        <v>0</v>
      </c>
      <c r="AF48" s="2254">
        <f t="shared" si="340"/>
        <v>0</v>
      </c>
      <c r="AG48" s="2254">
        <f t="shared" si="340"/>
        <v>0</v>
      </c>
      <c r="AH48" s="2254">
        <f t="shared" si="340"/>
        <v>6</v>
      </c>
      <c r="AI48" s="2254">
        <f t="shared" si="340"/>
        <v>11</v>
      </c>
      <c r="AJ48" s="2254">
        <f t="shared" si="340"/>
        <v>2</v>
      </c>
      <c r="AK48" s="2254">
        <f t="shared" si="340"/>
        <v>0</v>
      </c>
      <c r="AL48" s="2254">
        <f>SUM(AL10:AL47)</f>
        <v>0</v>
      </c>
      <c r="AM48" s="2254">
        <f>SUM(AM10:AM47)</f>
        <v>6</v>
      </c>
      <c r="AN48" s="2254">
        <f>SUM(AN10:AN47)</f>
        <v>12</v>
      </c>
      <c r="AO48" s="2254">
        <f>SUM(AO10:AO47)</f>
        <v>2</v>
      </c>
      <c r="AP48" s="2254">
        <f>SUM(AP10:AP47)</f>
        <v>0</v>
      </c>
      <c r="AQ48" s="2254">
        <f t="shared" si="339"/>
        <v>0</v>
      </c>
      <c r="AR48" s="2254">
        <f t="shared" si="339"/>
        <v>0</v>
      </c>
      <c r="AS48" s="2254">
        <f t="shared" si="339"/>
        <v>0</v>
      </c>
      <c r="AT48" s="2254">
        <f t="shared" si="339"/>
        <v>0</v>
      </c>
      <c r="AU48" s="2254">
        <f t="shared" si="339"/>
        <v>0</v>
      </c>
      <c r="AV48" s="2254">
        <f t="shared" si="339"/>
        <v>0</v>
      </c>
      <c r="AW48" s="2254">
        <f t="shared" si="339"/>
        <v>0</v>
      </c>
      <c r="AX48" s="2254">
        <f t="shared" si="339"/>
        <v>0</v>
      </c>
      <c r="AY48" s="2254">
        <f t="shared" si="339"/>
        <v>0</v>
      </c>
      <c r="AZ48" s="2254">
        <f t="shared" si="339"/>
        <v>0</v>
      </c>
      <c r="BA48" s="2254">
        <f>SUM(BA10:BA47)</f>
        <v>0</v>
      </c>
      <c r="BB48" s="2254">
        <f>SUM(BB10:BB47)</f>
        <v>0</v>
      </c>
      <c r="BC48" s="2254">
        <f>SUM(BC10:BC47)</f>
        <v>0</v>
      </c>
      <c r="BD48" s="2254">
        <f>SUM(BD10:BD47)</f>
        <v>0</v>
      </c>
      <c r="BE48" s="2254">
        <f>SUM(BE10:BE47)</f>
        <v>0</v>
      </c>
      <c r="BF48" s="2254">
        <f t="shared" si="339"/>
        <v>0</v>
      </c>
      <c r="BG48" s="2254">
        <f t="shared" si="339"/>
        <v>0</v>
      </c>
      <c r="BH48" s="2254">
        <f t="shared" si="339"/>
        <v>0</v>
      </c>
      <c r="BI48" s="2254">
        <f t="shared" si="339"/>
        <v>0</v>
      </c>
      <c r="BJ48" s="2254">
        <f t="shared" si="339"/>
        <v>0</v>
      </c>
      <c r="BK48" s="2254">
        <f>SUM(BK10:BK47)</f>
        <v>0</v>
      </c>
      <c r="BL48" s="2254">
        <f>SUM(BL10:BL47)</f>
        <v>0</v>
      </c>
      <c r="BM48" s="2254">
        <f>SUM(BM10:BM47)</f>
        <v>0</v>
      </c>
      <c r="BN48" s="2254">
        <f>SUM(BN10:BN47)</f>
        <v>0</v>
      </c>
      <c r="BO48" s="2254">
        <f>SUM(BO10:BO47)</f>
        <v>0</v>
      </c>
      <c r="BP48" s="2254">
        <f t="shared" si="339"/>
        <v>0</v>
      </c>
      <c r="BQ48" s="2254">
        <f t="shared" si="339"/>
        <v>0</v>
      </c>
      <c r="BR48" s="2254">
        <f t="shared" si="339"/>
        <v>0</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1</v>
      </c>
      <c r="EF48" s="2254">
        <f t="shared" si="339"/>
        <v>0</v>
      </c>
      <c r="EG48" s="2254">
        <f t="shared" si="339"/>
        <v>0</v>
      </c>
      <c r="EH48" s="2254">
        <f t="shared" si="339"/>
        <v>0</v>
      </c>
      <c r="EI48" s="2254">
        <f t="shared" si="339"/>
        <v>0</v>
      </c>
      <c r="EJ48" s="2254">
        <f t="shared" si="339"/>
        <v>0</v>
      </c>
      <c r="EK48" s="2254">
        <f t="shared" si="339"/>
        <v>0</v>
      </c>
      <c r="EL48" s="2254">
        <f t="shared" si="339"/>
        <v>0</v>
      </c>
      <c r="EM48" s="2254">
        <f t="shared" ref="EM48:EV48" si="343">SUM(EM10:EM47)</f>
        <v>0</v>
      </c>
      <c r="EN48" s="2254">
        <f t="shared" si="343"/>
        <v>0</v>
      </c>
      <c r="EO48" s="2254">
        <f t="shared" si="343"/>
        <v>0</v>
      </c>
      <c r="EP48" s="2254">
        <f t="shared" si="343"/>
        <v>0</v>
      </c>
      <c r="EQ48" s="2254">
        <f t="shared" si="343"/>
        <v>0</v>
      </c>
      <c r="ER48" s="2254">
        <f t="shared" si="343"/>
        <v>0</v>
      </c>
      <c r="ES48" s="2254">
        <f t="shared" si="343"/>
        <v>4536</v>
      </c>
      <c r="ET48" s="2254">
        <f t="shared" si="343"/>
        <v>10065</v>
      </c>
      <c r="EU48" s="2254">
        <f t="shared" si="343"/>
        <v>2272</v>
      </c>
      <c r="EV48" s="2254">
        <f t="shared" si="343"/>
        <v>0</v>
      </c>
      <c r="EW48" s="2254">
        <f t="shared" si="339"/>
        <v>0</v>
      </c>
      <c r="EX48" s="2254">
        <f t="shared" si="339"/>
        <v>4536</v>
      </c>
      <c r="EY48" s="2254">
        <f t="shared" si="339"/>
        <v>10980</v>
      </c>
      <c r="EZ48" s="2254">
        <f t="shared" si="339"/>
        <v>2272</v>
      </c>
      <c r="FA48" s="2254">
        <f t="shared" ref="FA48:HV48" si="344">SUM(FA10:FA47)</f>
        <v>0</v>
      </c>
      <c r="FB48" s="2254">
        <f>SUM(FB10:FB47)</f>
        <v>0</v>
      </c>
      <c r="FC48" s="2254">
        <f>SUM(FC10:FC47)</f>
        <v>0</v>
      </c>
      <c r="FD48" s="2254">
        <f>SUM(FD10:FD47)</f>
        <v>0</v>
      </c>
      <c r="FE48" s="2254">
        <f>SUM(FE10:FE47)</f>
        <v>0</v>
      </c>
      <c r="FF48" s="2254">
        <f>SUM(FF10:FF47)</f>
        <v>0</v>
      </c>
      <c r="FG48" s="2254">
        <f t="shared" si="344"/>
        <v>0</v>
      </c>
      <c r="FH48" s="2254">
        <f t="shared" si="344"/>
        <v>0</v>
      </c>
      <c r="FI48" s="2254">
        <f t="shared" si="344"/>
        <v>0</v>
      </c>
      <c r="FJ48" s="2254">
        <f t="shared" si="344"/>
        <v>0</v>
      </c>
      <c r="FK48" s="2254">
        <f t="shared" si="344"/>
        <v>0</v>
      </c>
      <c r="FL48" s="2254">
        <f>SUM(FL10:FL47)</f>
        <v>0</v>
      </c>
      <c r="FM48" s="2254">
        <f>SUM(FM10:FM47)</f>
        <v>0</v>
      </c>
      <c r="FN48" s="2254">
        <f>SUM(FN10:FN47)</f>
        <v>0</v>
      </c>
      <c r="FO48" s="2254">
        <f>SUM(FO10:FO47)</f>
        <v>0</v>
      </c>
      <c r="FP48" s="2254">
        <f>SUM(FP10:FP47)</f>
        <v>0</v>
      </c>
      <c r="FQ48" s="2254">
        <f t="shared" si="344"/>
        <v>0</v>
      </c>
      <c r="FR48" s="2254">
        <f t="shared" si="344"/>
        <v>0</v>
      </c>
      <c r="FS48" s="2254">
        <f t="shared" si="344"/>
        <v>0</v>
      </c>
      <c r="FT48" s="2254">
        <f t="shared" si="344"/>
        <v>0</v>
      </c>
      <c r="FU48" s="2254">
        <f t="shared" si="344"/>
        <v>0</v>
      </c>
      <c r="FV48" s="2254">
        <f t="shared" si="344"/>
        <v>0</v>
      </c>
      <c r="FW48" s="2254">
        <f t="shared" si="344"/>
        <v>0</v>
      </c>
      <c r="FX48" s="2254">
        <f t="shared" si="344"/>
        <v>0</v>
      </c>
      <c r="FY48" s="2254">
        <f t="shared" si="344"/>
        <v>0</v>
      </c>
      <c r="FZ48" s="2254">
        <f t="shared" si="344"/>
        <v>0</v>
      </c>
      <c r="GA48" s="2254">
        <f t="shared" si="344"/>
        <v>0</v>
      </c>
      <c r="GB48" s="2254">
        <f t="shared" si="344"/>
        <v>0</v>
      </c>
      <c r="GC48" s="2254">
        <f t="shared" si="344"/>
        <v>915</v>
      </c>
      <c r="GD48" s="2254">
        <f t="shared" si="344"/>
        <v>0</v>
      </c>
      <c r="GE48" s="2254">
        <f t="shared" si="344"/>
        <v>0</v>
      </c>
      <c r="GF48" s="2254">
        <f t="shared" si="344"/>
        <v>0</v>
      </c>
      <c r="GG48" s="2254">
        <f t="shared" si="344"/>
        <v>0</v>
      </c>
      <c r="GH48" s="2254">
        <f t="shared" si="344"/>
        <v>0</v>
      </c>
      <c r="GI48" s="2254">
        <f t="shared" si="344"/>
        <v>0</v>
      </c>
      <c r="GJ48" s="2254">
        <f t="shared" si="344"/>
        <v>0</v>
      </c>
      <c r="GK48" s="2254">
        <f t="shared" si="344"/>
        <v>0</v>
      </c>
      <c r="GL48" s="2254">
        <f t="shared" si="344"/>
        <v>0</v>
      </c>
      <c r="GM48" s="2254">
        <f t="shared" si="344"/>
        <v>0</v>
      </c>
      <c r="GN48" s="2254">
        <f t="shared" si="344"/>
        <v>0</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12</v>
      </c>
      <c r="GW48" s="2254">
        <f t="shared" si="344"/>
        <v>23</v>
      </c>
      <c r="GX48" s="2254">
        <f t="shared" si="344"/>
        <v>4</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1</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0</v>
      </c>
      <c r="HZ48" s="2254">
        <f t="shared" si="345"/>
        <v>12</v>
      </c>
      <c r="IA48" s="2254">
        <f t="shared" si="345"/>
        <v>24</v>
      </c>
      <c r="IB48" s="2254">
        <f t="shared" si="345"/>
        <v>4</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0</v>
      </c>
      <c r="JJ48" s="2254">
        <f t="shared" si="345"/>
        <v>0</v>
      </c>
      <c r="JK48" s="2254">
        <f t="shared" si="345"/>
        <v>0</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0</v>
      </c>
      <c r="JT48" s="2254">
        <f t="shared" si="345"/>
        <v>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12</v>
      </c>
      <c r="KN48" s="2254">
        <f t="shared" si="346"/>
        <v>24</v>
      </c>
      <c r="KO48" s="2254">
        <f t="shared" si="346"/>
        <v>4</v>
      </c>
      <c r="KP48" s="2254">
        <f t="shared" si="346"/>
        <v>0</v>
      </c>
      <c r="KQ48" s="2254">
        <f t="shared" si="346"/>
        <v>0</v>
      </c>
      <c r="KR48" s="2254">
        <f t="shared" si="346"/>
        <v>0</v>
      </c>
      <c r="KS48" s="2254">
        <f t="shared" si="346"/>
        <v>0</v>
      </c>
      <c r="KT48" s="2254">
        <f t="shared" si="346"/>
        <v>0</v>
      </c>
      <c r="KU48" s="2254">
        <f t="shared" si="346"/>
        <v>0</v>
      </c>
      <c r="KV48" s="2254">
        <f t="shared" si="346"/>
        <v>0</v>
      </c>
      <c r="KW48" s="2254">
        <f t="shared" si="346"/>
        <v>0</v>
      </c>
      <c r="KX48" s="2254">
        <f t="shared" si="346"/>
        <v>0</v>
      </c>
      <c r="KY48" s="2254">
        <f t="shared" si="346"/>
        <v>0</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12</v>
      </c>
      <c r="MG48" s="2254">
        <f t="shared" si="346"/>
        <v>24</v>
      </c>
      <c r="MH48" s="2254">
        <f t="shared" si="346"/>
        <v>4</v>
      </c>
      <c r="MI48" s="2254">
        <f t="shared" si="346"/>
        <v>0</v>
      </c>
      <c r="MJ48" s="2254">
        <f t="shared" si="346"/>
        <v>0</v>
      </c>
      <c r="MK48" s="2254">
        <f t="shared" si="346"/>
        <v>0</v>
      </c>
      <c r="ML48" s="2254">
        <f t="shared" si="346"/>
        <v>0</v>
      </c>
      <c r="MM48" s="2254">
        <f t="shared" si="346"/>
        <v>0</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50">
        <f>IF(SUM(E17:E47)=0,"",(B17*E17+B18*E18+B19*E19+B20*E20+B21*E21+B22*E22+B23*E23+B24*E24+B25*E25+B26*E26+B27*E27+B28*E28+B29*E29+B30*E30+B31*E31+B32*E32+B33*E33+B34*E34+B35*E35+B36*E36+B37*E37+B38*E38+B39*E39+B40*E40+B41*E41+B42*E42+B43*E43+B44*E44+B45*E45+B46*E46+B47*E47)/SUM(E17:E47))</f>
        <v>54.871794871794869</v>
      </c>
      <c r="C49" s="3451"/>
      <c r="D49" s="2287" t="s">
        <v>4615</v>
      </c>
      <c r="E49" s="1972">
        <f>SUM(E17:E47)</f>
        <v>39</v>
      </c>
      <c r="F49" s="1974">
        <f>(E17*F17+E18*F18+E19*F19+E20*F20+E21*F21+E22*F22+E23*F23+E24*F24+E25*F25+E26*F26+E27*F27+E28*F28+E29*F29+E30*F30+E31*F31+E32*F32+E33*F33+E34*F34+E35*F35+E36*F36+E37*F37+E38*F38+E39*F39+E40*F40+E41*F41+E42*F42+E43*F43+E44*F44+E45*F45+E46*F46+E47*F47)</f>
        <v>34661</v>
      </c>
      <c r="G49" s="3399"/>
      <c r="H49" s="2641" t="s">
        <v>4707</v>
      </c>
      <c r="I49" s="1977" t="str">
        <f>IF(O67=0,"",IF(SUM(O56:O62)/O67&gt;=0.2,"Pass","Fail"))</f>
        <v>Pass</v>
      </c>
      <c r="J49" s="571"/>
      <c r="K49" s="138" t="s">
        <v>813</v>
      </c>
      <c r="L49" s="123">
        <f>L48*12</f>
        <v>218520</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3446" t="s">
        <v>2620</v>
      </c>
      <c r="B51" s="3447"/>
      <c r="C51" s="3447"/>
      <c r="D51" s="3447"/>
      <c r="E51" s="3447"/>
      <c r="F51" s="3447"/>
      <c r="G51" s="3447"/>
      <c r="H51" s="3447"/>
      <c r="I51" s="3447"/>
      <c r="J51" s="3447"/>
      <c r="K51" s="3447"/>
      <c r="L51" s="3447"/>
      <c r="M51" s="3447"/>
      <c r="N51" s="3447"/>
      <c r="O51" s="3447"/>
      <c r="P51" s="3447"/>
      <c r="Q51" s="2642"/>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447"/>
      <c r="B52" s="3447"/>
      <c r="C52" s="3447"/>
      <c r="D52" s="3447"/>
      <c r="E52" s="3447"/>
      <c r="F52" s="3447"/>
      <c r="G52" s="3447"/>
      <c r="H52" s="3447"/>
      <c r="I52" s="3447"/>
      <c r="J52" s="3447"/>
      <c r="K52" s="3447"/>
      <c r="L52" s="3447"/>
      <c r="M52" s="3447"/>
      <c r="N52" s="3447"/>
      <c r="O52" s="3447"/>
      <c r="P52" s="3447"/>
      <c r="Q52" s="2642"/>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7" customHeight="1" thickBot="1">
      <c r="A53" s="12" t="s">
        <v>739</v>
      </c>
      <c r="B53" s="12" t="s">
        <v>533</v>
      </c>
      <c r="K53" s="3466" t="str">
        <f>'Part I-Project Information'!$K$94</f>
        <v>40% of Units at 60% of AMI</v>
      </c>
      <c r="L53" s="3467"/>
      <c r="M53" s="3467"/>
      <c r="N53" s="3468"/>
      <c r="O53" s="82"/>
      <c r="R53" s="3403" t="str">
        <f>B53</f>
        <v>UNIT SUMMARY</v>
      </c>
      <c r="S53" s="3403"/>
      <c r="T53" s="3403"/>
      <c r="U53" s="3403"/>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7" customHeight="1">
      <c r="A55" s="12"/>
      <c r="B55" s="12" t="s">
        <v>1135</v>
      </c>
      <c r="H55" s="82" t="s">
        <v>1039</v>
      </c>
      <c r="I55" s="82"/>
      <c r="J55" s="119" t="s">
        <v>567</v>
      </c>
      <c r="K55" s="119" t="s">
        <v>534</v>
      </c>
      <c r="L55" s="119" t="s">
        <v>535</v>
      </c>
      <c r="M55" s="119" t="s">
        <v>536</v>
      </c>
      <c r="N55" s="119" t="s">
        <v>537</v>
      </c>
      <c r="O55" s="119" t="s">
        <v>538</v>
      </c>
      <c r="R55" s="30" t="s">
        <v>1844</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3470" t="s">
        <v>442</v>
      </c>
      <c r="B56" s="3470"/>
      <c r="C56" s="94" t="s">
        <v>1136</v>
      </c>
      <c r="D56" s="1"/>
      <c r="E56" s="1"/>
      <c r="F56" s="1"/>
      <c r="G56" s="82"/>
      <c r="H56" s="35" t="s">
        <v>4616</v>
      </c>
      <c r="I56" s="82"/>
      <c r="J56" s="1989">
        <f>W48</f>
        <v>0</v>
      </c>
      <c r="K56" s="1990">
        <f>X48</f>
        <v>0</v>
      </c>
      <c r="L56" s="1990">
        <f>Y48</f>
        <v>0</v>
      </c>
      <c r="M56" s="1990">
        <f>Z48</f>
        <v>0</v>
      </c>
      <c r="N56" s="1991">
        <f>AA48</f>
        <v>0</v>
      </c>
      <c r="O56" s="961">
        <f t="shared" ref="O56:O67" si="347">SUM(J56:N56)</f>
        <v>0</v>
      </c>
      <c r="P56" s="3396" t="s">
        <v>3667</v>
      </c>
      <c r="Q56" s="2296"/>
      <c r="R56" s="3383"/>
      <c r="S56" s="3384"/>
      <c r="T56" s="3384"/>
      <c r="U56" s="3384"/>
      <c r="V56" s="3385"/>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3470"/>
      <c r="B57" s="3470"/>
      <c r="C57" s="94"/>
      <c r="D57" s="1"/>
      <c r="E57" s="1"/>
      <c r="F57" s="1"/>
      <c r="G57" s="82"/>
      <c r="H57" s="35" t="s">
        <v>4617</v>
      </c>
      <c r="I57" s="82"/>
      <c r="J57" s="1992">
        <f>AB48</f>
        <v>0</v>
      </c>
      <c r="K57" s="1993">
        <f>AC48</f>
        <v>0</v>
      </c>
      <c r="L57" s="1993">
        <f>AD48</f>
        <v>0</v>
      </c>
      <c r="M57" s="1993">
        <f>AE48</f>
        <v>0</v>
      </c>
      <c r="N57" s="1994">
        <f>AF48</f>
        <v>0</v>
      </c>
      <c r="O57" s="956">
        <f t="shared" si="347"/>
        <v>0</v>
      </c>
      <c r="P57" s="3396"/>
      <c r="Q57" s="2296"/>
      <c r="R57" s="3388"/>
      <c r="S57" s="3389"/>
      <c r="T57" s="3389"/>
      <c r="U57" s="3389"/>
      <c r="V57" s="3390"/>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3470"/>
      <c r="B58" s="3470"/>
      <c r="C58" s="94"/>
      <c r="D58" s="1"/>
      <c r="E58" s="1"/>
      <c r="F58" s="1"/>
      <c r="G58" s="82"/>
      <c r="H58" s="35" t="s">
        <v>1148</v>
      </c>
      <c r="I58" s="82"/>
      <c r="J58" s="1992">
        <f>AG48</f>
        <v>0</v>
      </c>
      <c r="K58" s="1993">
        <f>AH48</f>
        <v>6</v>
      </c>
      <c r="L58" s="1993">
        <f>AI48</f>
        <v>11</v>
      </c>
      <c r="M58" s="1993">
        <f>AJ48</f>
        <v>2</v>
      </c>
      <c r="N58" s="1994">
        <f>AK48</f>
        <v>0</v>
      </c>
      <c r="O58" s="956">
        <f t="shared" si="347"/>
        <v>19</v>
      </c>
      <c r="P58" s="3396"/>
      <c r="Q58" s="2296"/>
      <c r="R58" s="3388"/>
      <c r="S58" s="3389"/>
      <c r="T58" s="3389"/>
      <c r="U58" s="3389"/>
      <c r="V58" s="3390"/>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3470"/>
      <c r="B59" s="3470"/>
      <c r="C59" s="94"/>
      <c r="D59" s="1"/>
      <c r="E59" s="1"/>
      <c r="F59" s="1"/>
      <c r="G59" s="82"/>
      <c r="H59" s="51" t="s">
        <v>118</v>
      </c>
      <c r="I59" s="1155"/>
      <c r="J59" s="2022">
        <f>AL48</f>
        <v>0</v>
      </c>
      <c r="K59" s="2023">
        <f>AM48</f>
        <v>6</v>
      </c>
      <c r="L59" s="2023">
        <f>AN48</f>
        <v>12</v>
      </c>
      <c r="M59" s="2023">
        <f>AO48</f>
        <v>2</v>
      </c>
      <c r="N59" s="2024">
        <f>AP48</f>
        <v>0</v>
      </c>
      <c r="O59" s="598">
        <f t="shared" si="347"/>
        <v>20</v>
      </c>
      <c r="P59" s="3396"/>
      <c r="Q59" s="2296"/>
      <c r="R59" s="3388"/>
      <c r="S59" s="3389"/>
      <c r="T59" s="3389"/>
      <c r="U59" s="3389"/>
      <c r="V59" s="3390"/>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3470"/>
      <c r="B60" s="3470"/>
      <c r="C60" s="94"/>
      <c r="D60" s="1"/>
      <c r="E60" s="1"/>
      <c r="F60" s="1"/>
      <c r="G60" s="82"/>
      <c r="H60" s="51" t="s">
        <v>4618</v>
      </c>
      <c r="I60" s="1155"/>
      <c r="J60" s="1992">
        <f>AQ48</f>
        <v>0</v>
      </c>
      <c r="K60" s="1993">
        <f>AR48</f>
        <v>0</v>
      </c>
      <c r="L60" s="1993">
        <f>AS48</f>
        <v>0</v>
      </c>
      <c r="M60" s="1993">
        <f>AT48</f>
        <v>0</v>
      </c>
      <c r="N60" s="1994">
        <f>AU48</f>
        <v>0</v>
      </c>
      <c r="O60" s="956">
        <f t="shared" si="347"/>
        <v>0</v>
      </c>
      <c r="P60" s="3396"/>
      <c r="Q60" s="2296"/>
      <c r="R60" s="3388"/>
      <c r="S60" s="3389"/>
      <c r="T60" s="3389"/>
      <c r="U60" s="3389"/>
      <c r="V60" s="3390"/>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3470"/>
      <c r="B61" s="3470"/>
      <c r="C61" s="94"/>
      <c r="D61" s="1"/>
      <c r="E61" s="1"/>
      <c r="F61" s="1"/>
      <c r="G61" s="82"/>
      <c r="H61" s="35" t="s">
        <v>4619</v>
      </c>
      <c r="I61" s="82"/>
      <c r="J61" s="1992">
        <f>AV48</f>
        <v>0</v>
      </c>
      <c r="K61" s="1993">
        <f>AW48</f>
        <v>0</v>
      </c>
      <c r="L61" s="1993">
        <f>AX48</f>
        <v>0</v>
      </c>
      <c r="M61" s="1993">
        <f>AY48</f>
        <v>0</v>
      </c>
      <c r="N61" s="1994">
        <f>AZ48</f>
        <v>0</v>
      </c>
      <c r="O61" s="956">
        <f t="shared" si="347"/>
        <v>0</v>
      </c>
      <c r="P61" s="3396"/>
      <c r="Q61" s="2296"/>
      <c r="R61" s="3388"/>
      <c r="S61" s="3389"/>
      <c r="T61" s="3389"/>
      <c r="U61" s="3389"/>
      <c r="V61" s="3390"/>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3470"/>
      <c r="B62" s="3470"/>
      <c r="C62" s="3"/>
      <c r="D62" s="1"/>
      <c r="E62" s="1"/>
      <c r="F62" s="1"/>
      <c r="G62" s="82"/>
      <c r="H62" s="35" t="s">
        <v>4620</v>
      </c>
      <c r="I62" s="82"/>
      <c r="J62" s="1995">
        <f>BA48</f>
        <v>0</v>
      </c>
      <c r="K62" s="1996">
        <f>BB48</f>
        <v>0</v>
      </c>
      <c r="L62" s="1996">
        <f>BC48</f>
        <v>0</v>
      </c>
      <c r="M62" s="1996">
        <f>BD48</f>
        <v>0</v>
      </c>
      <c r="N62" s="1997">
        <f>BE48</f>
        <v>0</v>
      </c>
      <c r="O62" s="598">
        <f t="shared" si="347"/>
        <v>0</v>
      </c>
      <c r="P62" s="3396"/>
      <c r="Q62" s="2296"/>
      <c r="R62" s="3388"/>
      <c r="S62" s="3389"/>
      <c r="T62" s="3389"/>
      <c r="U62" s="3389"/>
      <c r="V62" s="3390"/>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3470"/>
      <c r="B63" s="3470"/>
      <c r="C63" s="110" t="s">
        <v>4702</v>
      </c>
      <c r="D63" s="1"/>
      <c r="E63" s="1"/>
      <c r="F63" s="1"/>
      <c r="G63" s="82"/>
      <c r="H63" s="54"/>
      <c r="I63" s="82"/>
      <c r="J63" s="1959">
        <f>SUM(J56:J62)</f>
        <v>0</v>
      </c>
      <c r="K63" s="1959">
        <f>SUM(K56:K62)</f>
        <v>12</v>
      </c>
      <c r="L63" s="1959">
        <f>SUM(L56:L62)</f>
        <v>23</v>
      </c>
      <c r="M63" s="1959">
        <f>SUM(M56:M62)</f>
        <v>4</v>
      </c>
      <c r="N63" s="1959">
        <f>SUM(N56:N62)</f>
        <v>0</v>
      </c>
      <c r="O63" s="1959">
        <f t="shared" si="347"/>
        <v>39</v>
      </c>
      <c r="P63" s="3397"/>
      <c r="R63" s="3388"/>
      <c r="S63" s="3389"/>
      <c r="T63" s="3389"/>
      <c r="U63" s="3389"/>
      <c r="V63" s="3390"/>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3470"/>
      <c r="B64" s="3470"/>
      <c r="D64" s="1"/>
      <c r="E64" s="1"/>
      <c r="F64" s="1"/>
      <c r="G64" s="82"/>
      <c r="H64" s="35" t="s">
        <v>303</v>
      </c>
      <c r="I64" s="82"/>
      <c r="J64" s="957">
        <f>BF48</f>
        <v>0</v>
      </c>
      <c r="K64" s="957">
        <f>BG48</f>
        <v>0</v>
      </c>
      <c r="L64" s="957">
        <f>BH48</f>
        <v>0</v>
      </c>
      <c r="M64" s="957">
        <f>BI48</f>
        <v>0</v>
      </c>
      <c r="N64" s="957">
        <f>BJ48</f>
        <v>0</v>
      </c>
      <c r="O64" s="957">
        <f t="shared" si="347"/>
        <v>0</v>
      </c>
      <c r="R64" s="3388"/>
      <c r="S64" s="3389"/>
      <c r="T64" s="3389"/>
      <c r="U64" s="3389"/>
      <c r="V64" s="3390"/>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3470"/>
      <c r="B65" s="3470"/>
      <c r="C65" s="1966" t="s">
        <v>1137</v>
      </c>
      <c r="D65" s="1966"/>
      <c r="E65" s="1966"/>
      <c r="F65" s="1966"/>
      <c r="G65" s="1967"/>
      <c r="H65" s="48"/>
      <c r="I65" s="1967"/>
      <c r="J65" s="1968">
        <f>SUM(J63:J64)</f>
        <v>0</v>
      </c>
      <c r="K65" s="1968">
        <f>SUM(K63:K64)</f>
        <v>12</v>
      </c>
      <c r="L65" s="1968">
        <f>SUM(L63:L64)</f>
        <v>23</v>
      </c>
      <c r="M65" s="1968">
        <f>SUM(M63:M64)</f>
        <v>4</v>
      </c>
      <c r="N65" s="1968">
        <f>SUM(N63:N64)</f>
        <v>0</v>
      </c>
      <c r="O65" s="1968">
        <f t="shared" si="347"/>
        <v>39</v>
      </c>
      <c r="R65" s="3388"/>
      <c r="S65" s="3389"/>
      <c r="T65" s="3389"/>
      <c r="U65" s="3389"/>
      <c r="V65" s="3390"/>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3470"/>
      <c r="B66" s="3470"/>
      <c r="D66" s="1"/>
      <c r="E66" s="1"/>
      <c r="F66" s="1"/>
      <c r="G66" s="82"/>
      <c r="H66" s="35" t="s">
        <v>2510</v>
      </c>
      <c r="I66" s="82"/>
      <c r="J66" s="957">
        <f>EC48</f>
        <v>0</v>
      </c>
      <c r="K66" s="957">
        <f>ED48</f>
        <v>0</v>
      </c>
      <c r="L66" s="957">
        <f>EE48</f>
        <v>1</v>
      </c>
      <c r="M66" s="957">
        <f>EF48</f>
        <v>0</v>
      </c>
      <c r="N66" s="957">
        <f>EG48</f>
        <v>0</v>
      </c>
      <c r="O66" s="957">
        <f t="shared" si="347"/>
        <v>1</v>
      </c>
      <c r="P66" s="493" t="s">
        <v>3668</v>
      </c>
      <c r="R66" s="3388"/>
      <c r="S66" s="3389"/>
      <c r="T66" s="3389"/>
      <c r="U66" s="3389"/>
      <c r="V66" s="3390"/>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3470"/>
      <c r="B67" s="3470"/>
      <c r="C67" s="3" t="s">
        <v>1792</v>
      </c>
      <c r="D67" s="1"/>
      <c r="E67" s="1"/>
      <c r="F67" s="1"/>
      <c r="G67" s="82"/>
      <c r="H67" s="35"/>
      <c r="I67" s="82"/>
      <c r="J67" s="1958">
        <f>SUM(J65:J66)</f>
        <v>0</v>
      </c>
      <c r="K67" s="1958">
        <f>SUM(K65:K66)</f>
        <v>12</v>
      </c>
      <c r="L67" s="1958">
        <f>SUM(L65:L66)</f>
        <v>24</v>
      </c>
      <c r="M67" s="1958">
        <f>SUM(M65:M66)</f>
        <v>4</v>
      </c>
      <c r="N67" s="1958">
        <f>SUM(N65:N66)</f>
        <v>0</v>
      </c>
      <c r="O67" s="1958">
        <f t="shared" si="347"/>
        <v>40</v>
      </c>
      <c r="R67" s="3392"/>
      <c r="S67" s="3393"/>
      <c r="T67" s="3393"/>
      <c r="U67" s="3393"/>
      <c r="V67" s="3394"/>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3470"/>
      <c r="B68" s="3470"/>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3470"/>
      <c r="B69" s="3470"/>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3470"/>
      <c r="B70" s="3470"/>
      <c r="C70" s="3382" t="s">
        <v>4723</v>
      </c>
      <c r="D70" s="3382"/>
      <c r="E70" s="3382"/>
      <c r="F70" s="3382"/>
      <c r="G70" s="103"/>
      <c r="H70" s="51"/>
      <c r="I70" s="2209" t="s">
        <v>4722</v>
      </c>
      <c r="J70" s="2212"/>
      <c r="K70" s="2213"/>
      <c r="L70" s="2213"/>
      <c r="M70" s="2213"/>
      <c r="N70" s="2213"/>
      <c r="O70" s="2212"/>
      <c r="P70" s="1042" t="s">
        <v>4721</v>
      </c>
      <c r="R70" s="3383"/>
      <c r="S70" s="3384"/>
      <c r="T70" s="3384"/>
      <c r="U70" s="3384"/>
      <c r="V70" s="3385"/>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3470"/>
      <c r="B71" s="3470"/>
      <c r="C71" s="3382"/>
      <c r="D71" s="3382"/>
      <c r="E71" s="3382"/>
      <c r="F71" s="3382"/>
      <c r="G71" s="103"/>
      <c r="H71" s="51" t="s">
        <v>4616</v>
      </c>
      <c r="I71" s="2208" t="str">
        <f t="shared" ref="I71:I77" si="348">IF(OR(NOT($K$53="Income Averaging"),O71=0),"",IF(OR(AND(J71&gt;0,ABS(J71-P71)&gt;0.01),AND(K71&gt;0,ABS(K71-P71)&gt;0.01),AND(L71&gt;0,ABS(L71-P71)&gt;0.01),AND(M71&gt;0,ABS(M71-P71)&gt;0.01),AND(N71&gt;0,ABS(N71-P71)&gt;0.01)), "No", "Yes"))</f>
        <v/>
      </c>
      <c r="J71" s="1998">
        <f t="shared" ref="J71:J77" si="349">IF(OR($J$63=0,J56=0),0,J56/$J$63)</f>
        <v>0</v>
      </c>
      <c r="K71" s="1999">
        <f t="shared" ref="K71:K77" si="350">IF(OR($K$63=0,K56=0),0,K56/$K$63)</f>
        <v>0</v>
      </c>
      <c r="L71" s="1999">
        <f t="shared" ref="L71:L77" si="351">IF(OR($L$63=0,L56=0),0,L56/$L$63)</f>
        <v>0</v>
      </c>
      <c r="M71" s="1999">
        <f t="shared" ref="M71:M77" si="352">IF(OR($M$63=0,M56=0),0,M56/$M$63)</f>
        <v>0</v>
      </c>
      <c r="N71" s="2000">
        <f t="shared" ref="N71:N77" si="353">IF(OR($N$63=0,N56=0),0,N56/$N$63)</f>
        <v>0</v>
      </c>
      <c r="O71" s="1986">
        <f t="shared" ref="O71:O77" si="354">IF(OR($O$63=0,O56=0),0,O56/$O$63)</f>
        <v>0</v>
      </c>
      <c r="P71" s="1984" t="str">
        <f>IF(O71=0,"",AVERAGEIF(J71:N71,"&gt;0"))</f>
        <v/>
      </c>
      <c r="R71" s="3388"/>
      <c r="S71" s="3389"/>
      <c r="T71" s="3389"/>
      <c r="U71" s="3389"/>
      <c r="V71" s="3390"/>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3470"/>
      <c r="B72" s="3470"/>
      <c r="C72" s="3382"/>
      <c r="D72" s="3382"/>
      <c r="E72" s="3382"/>
      <c r="F72" s="3382"/>
      <c r="G72" s="103"/>
      <c r="H72" s="51" t="s">
        <v>4617</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388"/>
      <c r="S72" s="3389"/>
      <c r="T72" s="3389"/>
      <c r="U72" s="3389"/>
      <c r="V72" s="3390"/>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3470"/>
      <c r="B73" s="3470"/>
      <c r="C73" s="2210"/>
      <c r="D73" s="3386" t="s">
        <v>5043</v>
      </c>
      <c r="E73" s="3387"/>
      <c r="F73" s="3387"/>
      <c r="G73" s="3387"/>
      <c r="H73" s="51" t="s">
        <v>1148</v>
      </c>
      <c r="I73" s="2208" t="str">
        <f t="shared" si="348"/>
        <v/>
      </c>
      <c r="J73" s="2001">
        <f t="shared" si="349"/>
        <v>0</v>
      </c>
      <c r="K73" s="2002">
        <f t="shared" si="350"/>
        <v>0.5</v>
      </c>
      <c r="L73" s="2002">
        <f t="shared" si="351"/>
        <v>0.47826086956521741</v>
      </c>
      <c r="M73" s="2002">
        <f t="shared" si="352"/>
        <v>0.5</v>
      </c>
      <c r="N73" s="2003">
        <f t="shared" si="353"/>
        <v>0</v>
      </c>
      <c r="O73" s="1987">
        <f t="shared" si="354"/>
        <v>0.48717948717948717</v>
      </c>
      <c r="P73" s="1984">
        <f t="shared" si="355"/>
        <v>0.49275362318840576</v>
      </c>
      <c r="R73" s="3388"/>
      <c r="S73" s="3389"/>
      <c r="T73" s="3389"/>
      <c r="U73" s="3389"/>
      <c r="V73" s="3390"/>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3470"/>
      <c r="B74" s="3470"/>
      <c r="C74" s="2210"/>
      <c r="D74" s="3387"/>
      <c r="E74" s="3387"/>
      <c r="F74" s="3387"/>
      <c r="G74" s="3387"/>
      <c r="H74" s="51" t="s">
        <v>118</v>
      </c>
      <c r="I74" s="2208" t="str">
        <f t="shared" si="348"/>
        <v/>
      </c>
      <c r="J74" s="2164">
        <f t="shared" si="349"/>
        <v>0</v>
      </c>
      <c r="K74" s="2165">
        <f t="shared" si="350"/>
        <v>0.5</v>
      </c>
      <c r="L74" s="2165">
        <f t="shared" si="351"/>
        <v>0.52173913043478259</v>
      </c>
      <c r="M74" s="2165">
        <f t="shared" si="352"/>
        <v>0.5</v>
      </c>
      <c r="N74" s="2166">
        <f t="shared" si="353"/>
        <v>0</v>
      </c>
      <c r="O74" s="2167">
        <f t="shared" si="354"/>
        <v>0.51282051282051277</v>
      </c>
      <c r="P74" s="1984">
        <f t="shared" si="355"/>
        <v>0.50724637681159424</v>
      </c>
      <c r="R74" s="3388"/>
      <c r="S74" s="3389"/>
      <c r="T74" s="3389"/>
      <c r="U74" s="3389"/>
      <c r="V74" s="3390"/>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3387"/>
      <c r="E75" s="3387"/>
      <c r="F75" s="3387"/>
      <c r="G75" s="3387"/>
      <c r="H75" s="51" t="s">
        <v>4618</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388"/>
      <c r="S75" s="3389"/>
      <c r="T75" s="3389"/>
      <c r="U75" s="3389"/>
      <c r="V75" s="3390"/>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3387"/>
      <c r="E76" s="3387"/>
      <c r="F76" s="3387"/>
      <c r="G76" s="3387"/>
      <c r="H76" s="51" t="s">
        <v>4619</v>
      </c>
      <c r="I76" s="2208" t="str">
        <f t="shared" si="348"/>
        <v/>
      </c>
      <c r="J76" s="2001">
        <f t="shared" si="349"/>
        <v>0</v>
      </c>
      <c r="K76" s="2002">
        <f t="shared" si="350"/>
        <v>0</v>
      </c>
      <c r="L76" s="2002">
        <f t="shared" si="351"/>
        <v>0</v>
      </c>
      <c r="M76" s="2002">
        <f t="shared" si="352"/>
        <v>0</v>
      </c>
      <c r="N76" s="2003">
        <f t="shared" si="353"/>
        <v>0</v>
      </c>
      <c r="O76" s="1987">
        <f t="shared" si="354"/>
        <v>0</v>
      </c>
      <c r="P76" s="1984" t="str">
        <f t="shared" si="355"/>
        <v/>
      </c>
      <c r="R76" s="3388"/>
      <c r="S76" s="3389"/>
      <c r="T76" s="3389"/>
      <c r="U76" s="3389"/>
      <c r="V76" s="3390"/>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3387"/>
      <c r="E77" s="3387"/>
      <c r="F77" s="3387"/>
      <c r="G77" s="3387"/>
      <c r="H77" s="51" t="s">
        <v>4620</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392"/>
      <c r="S77" s="3393"/>
      <c r="T77" s="3393"/>
      <c r="U77" s="3393"/>
      <c r="V77" s="3394"/>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933</v>
      </c>
      <c r="D81" s="1"/>
      <c r="E81" s="110"/>
      <c r="F81" s="1"/>
      <c r="G81" s="82"/>
      <c r="H81" s="35" t="s">
        <v>4616</v>
      </c>
      <c r="I81" s="82"/>
      <c r="J81" s="2007">
        <f>CO48</f>
        <v>0</v>
      </c>
      <c r="K81" s="2008">
        <f>CP48</f>
        <v>0</v>
      </c>
      <c r="L81" s="2008">
        <f>CQ48</f>
        <v>0</v>
      </c>
      <c r="M81" s="2008">
        <f>CR48</f>
        <v>0</v>
      </c>
      <c r="N81" s="2009">
        <f>CS48</f>
        <v>0</v>
      </c>
      <c r="O81" s="958">
        <f t="shared" ref="O81:O88" si="356">SUM(J81:N81)</f>
        <v>0</v>
      </c>
      <c r="R81" s="3383"/>
      <c r="S81" s="3384"/>
      <c r="T81" s="3384"/>
      <c r="U81" s="3384"/>
      <c r="V81" s="3385"/>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2511</v>
      </c>
      <c r="D82" s="1"/>
      <c r="E82" s="110"/>
      <c r="F82" s="1"/>
      <c r="G82" s="82"/>
      <c r="H82" s="35" t="s">
        <v>4617</v>
      </c>
      <c r="I82" s="82"/>
      <c r="J82" s="2010">
        <f>CJ48</f>
        <v>0</v>
      </c>
      <c r="K82" s="2011">
        <f>CK48</f>
        <v>0</v>
      </c>
      <c r="L82" s="2011">
        <f>CL48</f>
        <v>0</v>
      </c>
      <c r="M82" s="2011">
        <f>CM48</f>
        <v>0</v>
      </c>
      <c r="N82" s="2012">
        <f>CN48</f>
        <v>0</v>
      </c>
      <c r="O82" s="1957">
        <f t="shared" si="356"/>
        <v>0</v>
      </c>
      <c r="R82" s="3388"/>
      <c r="S82" s="3389"/>
      <c r="T82" s="3389"/>
      <c r="U82" s="3389"/>
      <c r="V82" s="3390"/>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1148</v>
      </c>
      <c r="I83" s="82"/>
      <c r="J83" s="2010">
        <f>CE48</f>
        <v>0</v>
      </c>
      <c r="K83" s="2011">
        <f>CF48</f>
        <v>0</v>
      </c>
      <c r="L83" s="2011">
        <f>CG48</f>
        <v>0</v>
      </c>
      <c r="M83" s="2011">
        <f>CH48</f>
        <v>0</v>
      </c>
      <c r="N83" s="2012">
        <f>CI48</f>
        <v>0</v>
      </c>
      <c r="O83" s="1957">
        <f t="shared" si="356"/>
        <v>0</v>
      </c>
      <c r="R83" s="3388"/>
      <c r="S83" s="3389"/>
      <c r="T83" s="3389"/>
      <c r="U83" s="3389"/>
      <c r="V83" s="3390"/>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388"/>
      <c r="S84" s="3389"/>
      <c r="T84" s="3389"/>
      <c r="U84" s="3389"/>
      <c r="V84" s="3390"/>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4618</v>
      </c>
      <c r="I85" s="1155"/>
      <c r="J85" s="2010">
        <f>BU48</f>
        <v>0</v>
      </c>
      <c r="K85" s="2011">
        <f>BV48</f>
        <v>0</v>
      </c>
      <c r="L85" s="2011">
        <f>BW48</f>
        <v>0</v>
      </c>
      <c r="M85" s="2011">
        <f>BX48</f>
        <v>0</v>
      </c>
      <c r="N85" s="2012">
        <f>BY48</f>
        <v>0</v>
      </c>
      <c r="O85" s="1957">
        <f t="shared" si="356"/>
        <v>0</v>
      </c>
      <c r="R85" s="3388"/>
      <c r="S85" s="3389"/>
      <c r="T85" s="3389"/>
      <c r="U85" s="3389"/>
      <c r="V85" s="3390"/>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4619</v>
      </c>
      <c r="I86" s="82"/>
      <c r="J86" s="2010">
        <f>BP48</f>
        <v>0</v>
      </c>
      <c r="K86" s="2011">
        <f>BQ48</f>
        <v>0</v>
      </c>
      <c r="L86" s="2011">
        <f>BR48</f>
        <v>0</v>
      </c>
      <c r="M86" s="2011">
        <f>BS48</f>
        <v>0</v>
      </c>
      <c r="N86" s="2012">
        <f>BT48</f>
        <v>0</v>
      </c>
      <c r="O86" s="1957">
        <f t="shared" si="356"/>
        <v>0</v>
      </c>
      <c r="R86" s="3388"/>
      <c r="S86" s="3389"/>
      <c r="T86" s="3389"/>
      <c r="U86" s="3389"/>
      <c r="V86" s="3390"/>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4620</v>
      </c>
      <c r="I87" s="82"/>
      <c r="J87" s="2013">
        <f>BK48</f>
        <v>0</v>
      </c>
      <c r="K87" s="2014">
        <f>BL48</f>
        <v>0</v>
      </c>
      <c r="L87" s="2014">
        <f>BM48</f>
        <v>0</v>
      </c>
      <c r="M87" s="2014">
        <f>BN48</f>
        <v>0</v>
      </c>
      <c r="N87" s="2015">
        <f>BO48</f>
        <v>0</v>
      </c>
      <c r="O87" s="960">
        <f t="shared" si="356"/>
        <v>0</v>
      </c>
      <c r="R87" s="3388"/>
      <c r="S87" s="3389"/>
      <c r="T87" s="3389"/>
      <c r="U87" s="3389"/>
      <c r="V87" s="3390"/>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538</v>
      </c>
      <c r="I88" s="82"/>
      <c r="J88" s="1958">
        <f>SUM(J81:J87)</f>
        <v>0</v>
      </c>
      <c r="K88" s="1958">
        <f>SUM(K81:K87)</f>
        <v>0</v>
      </c>
      <c r="L88" s="1958">
        <f>SUM(L81:L87)</f>
        <v>0</v>
      </c>
      <c r="M88" s="1958">
        <f>SUM(M81:M87)</f>
        <v>0</v>
      </c>
      <c r="N88" s="1958">
        <f>SUM(N81:N87)</f>
        <v>0</v>
      </c>
      <c r="O88" s="1958">
        <f t="shared" si="356"/>
        <v>0</v>
      </c>
      <c r="R88" s="3392"/>
      <c r="S88" s="3393"/>
      <c r="T88" s="3393"/>
      <c r="U88" s="3393"/>
      <c r="V88" s="3394"/>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7" customHeight="1" thickBot="1">
      <c r="A90" s="12" t="s">
        <v>739</v>
      </c>
      <c r="B90" s="12" t="s">
        <v>5000</v>
      </c>
      <c r="K90" s="3466" t="str">
        <f>$K$53</f>
        <v>40% of Units at 60% of AMI</v>
      </c>
      <c r="L90" s="3467"/>
      <c r="M90" s="3467"/>
      <c r="N90" s="3468"/>
      <c r="O90" s="82"/>
      <c r="R90" s="3469" t="str">
        <f>B90</f>
        <v>UNIT SUMMARY (Continued)</v>
      </c>
      <c r="S90" s="3469"/>
      <c r="T90" s="3469"/>
      <c r="U90" s="3469"/>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889</v>
      </c>
      <c r="D92" s="414"/>
      <c r="E92" s="414"/>
      <c r="F92" s="1"/>
      <c r="G92" s="82"/>
      <c r="H92" s="35" t="s">
        <v>4616</v>
      </c>
      <c r="I92" s="82"/>
      <c r="J92" s="2007">
        <f>DX48</f>
        <v>0</v>
      </c>
      <c r="K92" s="2008">
        <f>DY48</f>
        <v>0</v>
      </c>
      <c r="L92" s="2008">
        <f>DZ48</f>
        <v>0</v>
      </c>
      <c r="M92" s="2008">
        <f>EA48</f>
        <v>0</v>
      </c>
      <c r="N92" s="2009">
        <f>EB48</f>
        <v>0</v>
      </c>
      <c r="O92" s="961">
        <f t="shared" ref="O92:O99" si="357">SUM(J92:N92)</f>
        <v>0</v>
      </c>
      <c r="R92" s="3383"/>
      <c r="S92" s="3384"/>
      <c r="T92" s="3384"/>
      <c r="U92" s="3384"/>
      <c r="V92" s="3385"/>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2511</v>
      </c>
      <c r="D93" s="414"/>
      <c r="E93" s="414"/>
      <c r="F93" s="1"/>
      <c r="G93" s="82"/>
      <c r="H93" s="35" t="s">
        <v>4617</v>
      </c>
      <c r="I93" s="82"/>
      <c r="J93" s="2010">
        <f>DS48</f>
        <v>0</v>
      </c>
      <c r="K93" s="2011">
        <f>DT48</f>
        <v>0</v>
      </c>
      <c r="L93" s="2011">
        <f>DU48</f>
        <v>0</v>
      </c>
      <c r="M93" s="2011">
        <f>DV48</f>
        <v>0</v>
      </c>
      <c r="N93" s="2012">
        <f>DW48</f>
        <v>0</v>
      </c>
      <c r="O93" s="956">
        <f t="shared" si="357"/>
        <v>0</v>
      </c>
      <c r="R93" s="3388"/>
      <c r="S93" s="3389"/>
      <c r="T93" s="3389"/>
      <c r="U93" s="3389"/>
      <c r="V93" s="3390"/>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1148</v>
      </c>
      <c r="I94" s="82"/>
      <c r="J94" s="2010">
        <f>DN48</f>
        <v>0</v>
      </c>
      <c r="K94" s="2011">
        <f>DO48</f>
        <v>0</v>
      </c>
      <c r="L94" s="2011">
        <f>DP48</f>
        <v>0</v>
      </c>
      <c r="M94" s="2011">
        <f>DQ48</f>
        <v>0</v>
      </c>
      <c r="N94" s="2012">
        <f>DR48</f>
        <v>0</v>
      </c>
      <c r="O94" s="956">
        <f t="shared" si="357"/>
        <v>0</v>
      </c>
      <c r="R94" s="3388"/>
      <c r="S94" s="3389"/>
      <c r="T94" s="3389"/>
      <c r="U94" s="3389"/>
      <c r="V94" s="3390"/>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388"/>
      <c r="S95" s="3389"/>
      <c r="T95" s="3389"/>
      <c r="U95" s="3389"/>
      <c r="V95" s="3390"/>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4618</v>
      </c>
      <c r="I96" s="1155"/>
      <c r="J96" s="2010">
        <f>DD48</f>
        <v>0</v>
      </c>
      <c r="K96" s="2011">
        <f>DE48</f>
        <v>0</v>
      </c>
      <c r="L96" s="2011">
        <f>DF48</f>
        <v>0</v>
      </c>
      <c r="M96" s="2011">
        <f>DG48</f>
        <v>0</v>
      </c>
      <c r="N96" s="2012">
        <f>DH48</f>
        <v>0</v>
      </c>
      <c r="O96" s="956">
        <f t="shared" si="357"/>
        <v>0</v>
      </c>
      <c r="R96" s="3388"/>
      <c r="S96" s="3389"/>
      <c r="T96" s="3389"/>
      <c r="U96" s="3389"/>
      <c r="V96" s="3390"/>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4619</v>
      </c>
      <c r="I97" s="82"/>
      <c r="J97" s="2010">
        <f>CY48</f>
        <v>0</v>
      </c>
      <c r="K97" s="2011">
        <f>CZ48</f>
        <v>0</v>
      </c>
      <c r="L97" s="2011">
        <f>DA48</f>
        <v>0</v>
      </c>
      <c r="M97" s="2011">
        <f>DB48</f>
        <v>0</v>
      </c>
      <c r="N97" s="2012">
        <f>DC48</f>
        <v>0</v>
      </c>
      <c r="O97" s="956">
        <f t="shared" si="357"/>
        <v>0</v>
      </c>
      <c r="R97" s="3388"/>
      <c r="S97" s="3389"/>
      <c r="T97" s="3389"/>
      <c r="U97" s="3389"/>
      <c r="V97" s="3390"/>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4620</v>
      </c>
      <c r="I98" s="82"/>
      <c r="J98" s="2013">
        <f>CT48</f>
        <v>0</v>
      </c>
      <c r="K98" s="2014">
        <f>CU48</f>
        <v>0</v>
      </c>
      <c r="L98" s="2014">
        <f>CV48</f>
        <v>0</v>
      </c>
      <c r="M98" s="2014">
        <f>CW48</f>
        <v>0</v>
      </c>
      <c r="N98" s="2015">
        <f>CX48</f>
        <v>0</v>
      </c>
      <c r="O98" s="957">
        <f t="shared" si="357"/>
        <v>0</v>
      </c>
      <c r="R98" s="3388"/>
      <c r="S98" s="3389"/>
      <c r="T98" s="3389"/>
      <c r="U98" s="3389"/>
      <c r="V98" s="3390"/>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538</v>
      </c>
      <c r="I99" s="82"/>
      <c r="J99" s="1958">
        <f>SUM(J92:J98)</f>
        <v>0</v>
      </c>
      <c r="K99" s="1958">
        <f>SUM(K92:K98)</f>
        <v>0</v>
      </c>
      <c r="L99" s="1958">
        <f>SUM(L92:L98)</f>
        <v>0</v>
      </c>
      <c r="M99" s="1958">
        <f>SUM(M92:M98)</f>
        <v>0</v>
      </c>
      <c r="N99" s="1958">
        <f>SUM(N92:N98)</f>
        <v>0</v>
      </c>
      <c r="O99" s="1958">
        <f t="shared" si="357"/>
        <v>0</v>
      </c>
      <c r="R99" s="3392"/>
      <c r="S99" s="3393"/>
      <c r="T99" s="3393"/>
      <c r="U99" s="3393"/>
      <c r="V99" s="3394"/>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3444" t="s">
        <v>38</v>
      </c>
      <c r="D101" s="3444"/>
      <c r="E101" s="103" t="s">
        <v>2294</v>
      </c>
      <c r="F101" s="1"/>
      <c r="G101" s="82"/>
      <c r="H101" s="35" t="s">
        <v>1431</v>
      </c>
      <c r="I101" s="82"/>
      <c r="J101" s="1989">
        <f>GF48</f>
        <v>0</v>
      </c>
      <c r="K101" s="1990">
        <f>GG48</f>
        <v>0</v>
      </c>
      <c r="L101" s="1990">
        <f>GH48</f>
        <v>0</v>
      </c>
      <c r="M101" s="1990">
        <f>GI48</f>
        <v>0</v>
      </c>
      <c r="N101" s="1991">
        <f>GJ48</f>
        <v>0</v>
      </c>
      <c r="O101" s="961">
        <f t="shared" ref="O101:O111" si="358">SUM(J101:N101)</f>
        <v>0</v>
      </c>
      <c r="R101" s="3383"/>
      <c r="S101" s="3384"/>
      <c r="T101" s="3384"/>
      <c r="U101" s="3384"/>
      <c r="V101" s="3385"/>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3444"/>
      <c r="D102" s="3444"/>
      <c r="E102" s="110"/>
      <c r="F102" s="1"/>
      <c r="G102" s="82"/>
      <c r="H102" s="35" t="s">
        <v>303</v>
      </c>
      <c r="I102" s="82"/>
      <c r="J102" s="1995">
        <f>GK48</f>
        <v>0</v>
      </c>
      <c r="K102" s="1996">
        <f>GL48</f>
        <v>0</v>
      </c>
      <c r="L102" s="1996">
        <f>GM48</f>
        <v>0</v>
      </c>
      <c r="M102" s="1996">
        <f>GN48</f>
        <v>0</v>
      </c>
      <c r="N102" s="1997">
        <f>GO48</f>
        <v>0</v>
      </c>
      <c r="O102" s="957">
        <f t="shared" si="358"/>
        <v>0</v>
      </c>
      <c r="R102" s="3388"/>
      <c r="S102" s="3389"/>
      <c r="T102" s="3389"/>
      <c r="U102" s="3389"/>
      <c r="V102" s="3390"/>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3444"/>
      <c r="D103" s="3444"/>
      <c r="E103" s="110"/>
      <c r="F103" s="1"/>
      <c r="G103" s="82"/>
      <c r="H103" s="86" t="s">
        <v>32</v>
      </c>
      <c r="I103" s="82"/>
      <c r="J103" s="1960">
        <f>SUM(J101:J102)+GP48</f>
        <v>0</v>
      </c>
      <c r="K103" s="1960">
        <f>SUM(K101:K102)+GQ48</f>
        <v>0</v>
      </c>
      <c r="L103" s="1960">
        <f>SUM(L101:L102)+GR48</f>
        <v>0</v>
      </c>
      <c r="M103" s="1960">
        <f>SUM(M101:M102)+GS48</f>
        <v>0</v>
      </c>
      <c r="N103" s="1960">
        <f>SUM(N101:N102)+GT48</f>
        <v>0</v>
      </c>
      <c r="O103" s="1960">
        <f t="shared" si="358"/>
        <v>0</v>
      </c>
      <c r="R103" s="3388"/>
      <c r="S103" s="3389"/>
      <c r="T103" s="3389"/>
      <c r="U103" s="3389"/>
      <c r="V103" s="3390"/>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3444"/>
      <c r="D104" s="3444"/>
      <c r="E104" s="103" t="s">
        <v>2136</v>
      </c>
      <c r="F104" s="1"/>
      <c r="G104" s="82"/>
      <c r="H104" s="35" t="s">
        <v>1431</v>
      </c>
      <c r="I104" s="82"/>
      <c r="J104" s="1989">
        <f>GU48</f>
        <v>0</v>
      </c>
      <c r="K104" s="1990">
        <f>GV48</f>
        <v>12</v>
      </c>
      <c r="L104" s="1990">
        <f>GW48</f>
        <v>23</v>
      </c>
      <c r="M104" s="1990">
        <f>GX48</f>
        <v>4</v>
      </c>
      <c r="N104" s="1991">
        <f>GY48</f>
        <v>0</v>
      </c>
      <c r="O104" s="961">
        <f t="shared" si="358"/>
        <v>39</v>
      </c>
      <c r="R104" s="3388"/>
      <c r="S104" s="3389"/>
      <c r="T104" s="3389"/>
      <c r="U104" s="3389"/>
      <c r="V104" s="3390"/>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3444"/>
      <c r="D105" s="3444"/>
      <c r="E105" s="110"/>
      <c r="F105" s="1"/>
      <c r="G105" s="82"/>
      <c r="H105" s="35" t="s">
        <v>303</v>
      </c>
      <c r="I105" s="82"/>
      <c r="J105" s="1995">
        <f>GZ48</f>
        <v>0</v>
      </c>
      <c r="K105" s="1996">
        <f>HA48</f>
        <v>0</v>
      </c>
      <c r="L105" s="1996">
        <f>HB48</f>
        <v>0</v>
      </c>
      <c r="M105" s="1996">
        <f>HC48</f>
        <v>0</v>
      </c>
      <c r="N105" s="1997">
        <f>HD48</f>
        <v>0</v>
      </c>
      <c r="O105" s="957">
        <f t="shared" si="358"/>
        <v>0</v>
      </c>
      <c r="R105" s="3388"/>
      <c r="S105" s="3389"/>
      <c r="T105" s="3389"/>
      <c r="U105" s="3389"/>
      <c r="V105" s="3390"/>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3444"/>
      <c r="D106" s="3444"/>
      <c r="E106" s="110"/>
      <c r="F106" s="1"/>
      <c r="G106" s="82"/>
      <c r="H106" s="86" t="s">
        <v>32</v>
      </c>
      <c r="I106" s="82"/>
      <c r="J106" s="1960">
        <f>SUM(J104:J105)+HE48</f>
        <v>0</v>
      </c>
      <c r="K106" s="1960">
        <f>SUM(K104:K105)+HF48</f>
        <v>12</v>
      </c>
      <c r="L106" s="1960">
        <f>SUM(L104:L105)+HG48</f>
        <v>24</v>
      </c>
      <c r="M106" s="1960">
        <f>SUM(M104:M105)+HH48</f>
        <v>4</v>
      </c>
      <c r="N106" s="1960">
        <f>SUM(N104:N105)+HI48</f>
        <v>0</v>
      </c>
      <c r="O106" s="1960">
        <f t="shared" si="358"/>
        <v>40</v>
      </c>
      <c r="R106" s="3388"/>
      <c r="S106" s="3389"/>
      <c r="T106" s="3389"/>
      <c r="U106" s="3389"/>
      <c r="V106" s="3390"/>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3445" t="s">
        <v>1418</v>
      </c>
      <c r="F107" s="3445"/>
      <c r="G107" s="82"/>
      <c r="H107" s="35" t="s">
        <v>1431</v>
      </c>
      <c r="I107" s="82"/>
      <c r="J107" s="1989">
        <f>HJ48</f>
        <v>0</v>
      </c>
      <c r="K107" s="1990">
        <f>HK48</f>
        <v>0</v>
      </c>
      <c r="L107" s="1990">
        <f>HL48</f>
        <v>0</v>
      </c>
      <c r="M107" s="1990">
        <f>HM48</f>
        <v>0</v>
      </c>
      <c r="N107" s="1991">
        <f>HN48</f>
        <v>0</v>
      </c>
      <c r="O107" s="961">
        <f t="shared" si="358"/>
        <v>0</v>
      </c>
      <c r="R107" s="3388"/>
      <c r="S107" s="3389"/>
      <c r="T107" s="3389"/>
      <c r="U107" s="3389"/>
      <c r="V107" s="3390"/>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3445"/>
      <c r="F108" s="3445"/>
      <c r="G108" s="82"/>
      <c r="H108" s="35" t="s">
        <v>303</v>
      </c>
      <c r="I108" s="82"/>
      <c r="J108" s="1995">
        <f>HO48</f>
        <v>0</v>
      </c>
      <c r="K108" s="1996">
        <f>HP48</f>
        <v>0</v>
      </c>
      <c r="L108" s="1996">
        <f>HQ48</f>
        <v>0</v>
      </c>
      <c r="M108" s="1996">
        <f>HR48</f>
        <v>0</v>
      </c>
      <c r="N108" s="1997">
        <f>HS48</f>
        <v>0</v>
      </c>
      <c r="O108" s="957">
        <f t="shared" si="358"/>
        <v>0</v>
      </c>
      <c r="R108" s="3388"/>
      <c r="S108" s="3389"/>
      <c r="T108" s="3389"/>
      <c r="U108" s="3389"/>
      <c r="V108" s="3390"/>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388"/>
      <c r="S109" s="3389"/>
      <c r="T109" s="3389"/>
      <c r="U109" s="3389"/>
      <c r="V109" s="3390"/>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2643"/>
      <c r="K110" s="2643"/>
      <c r="L110" s="2643"/>
      <c r="M110" s="2643"/>
      <c r="N110" s="2643"/>
      <c r="O110" s="595">
        <f t="shared" si="358"/>
        <v>0</v>
      </c>
      <c r="R110" s="3388"/>
      <c r="S110" s="3389"/>
      <c r="T110" s="3389"/>
      <c r="U110" s="3389"/>
      <c r="V110" s="3390"/>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3391" t="str">
        <f>IF(AND('Part IV-A-Uses of Funds'!$T$165="Yes",'Part IX Scoring Criteria'!$O$420&gt;0,O111&lt;1),"SHOW HISTORIC UNITS HERE &gt;&gt;&gt;&gt;","")</f>
        <v/>
      </c>
      <c r="B111" s="3391"/>
      <c r="C111" s="3391"/>
      <c r="D111" s="3391"/>
      <c r="E111" s="490" t="s">
        <v>3394</v>
      </c>
      <c r="F111" s="1"/>
      <c r="G111" s="172"/>
      <c r="H111" s="82"/>
      <c r="I111" s="82"/>
      <c r="J111" s="2644"/>
      <c r="K111" s="2644"/>
      <c r="L111" s="2644"/>
      <c r="M111" s="2644"/>
      <c r="N111" s="2644"/>
      <c r="O111" s="596">
        <f t="shared" si="358"/>
        <v>0</v>
      </c>
      <c r="R111" s="3388"/>
      <c r="S111" s="3389"/>
      <c r="T111" s="3389"/>
      <c r="U111" s="3389"/>
      <c r="V111" s="3390"/>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388"/>
      <c r="S112" s="3389"/>
      <c r="T112" s="3389"/>
      <c r="U112" s="3389"/>
      <c r="V112" s="3390"/>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3355</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392"/>
      <c r="S113" s="3393"/>
      <c r="T113" s="3393"/>
      <c r="U113" s="3393"/>
      <c r="V113" s="3394"/>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3441" t="s">
        <v>4084</v>
      </c>
      <c r="D115" s="3441"/>
      <c r="E115" s="1151" t="s">
        <v>39</v>
      </c>
      <c r="F115" s="990"/>
      <c r="G115" s="1152"/>
      <c r="H115" s="1153"/>
      <c r="I115" s="1154"/>
      <c r="J115" s="2019">
        <f t="shared" ref="J115:O115" si="359">SUM(J116:J123)</f>
        <v>0</v>
      </c>
      <c r="K115" s="2020">
        <f t="shared" si="359"/>
        <v>12</v>
      </c>
      <c r="L115" s="2020">
        <f t="shared" si="359"/>
        <v>24</v>
      </c>
      <c r="M115" s="2020">
        <f t="shared" si="359"/>
        <v>4</v>
      </c>
      <c r="N115" s="2021">
        <f t="shared" si="359"/>
        <v>0</v>
      </c>
      <c r="O115" s="1965">
        <f t="shared" si="359"/>
        <v>40</v>
      </c>
      <c r="R115" s="3383"/>
      <c r="S115" s="3384"/>
      <c r="T115" s="3384"/>
      <c r="U115" s="3384"/>
      <c r="V115" s="3385"/>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386"/>
      <c r="D116" s="3386"/>
      <c r="E116" s="103"/>
      <c r="F116" s="4"/>
      <c r="G116" s="151"/>
      <c r="H116" s="897" t="s">
        <v>2603</v>
      </c>
      <c r="I116" s="1155"/>
      <c r="J116" s="1992">
        <f>JR48</f>
        <v>0</v>
      </c>
      <c r="K116" s="1993">
        <f>JS48</f>
        <v>0</v>
      </c>
      <c r="L116" s="1993">
        <f>JT48</f>
        <v>0</v>
      </c>
      <c r="M116" s="1993">
        <f>JU48</f>
        <v>0</v>
      </c>
      <c r="N116" s="1994">
        <f>JV48</f>
        <v>0</v>
      </c>
      <c r="O116" s="956">
        <f t="shared" ref="O116:O131" si="360">SUM(J116:N116)</f>
        <v>0</v>
      </c>
      <c r="R116" s="3388"/>
      <c r="S116" s="3389"/>
      <c r="T116" s="3389"/>
      <c r="U116" s="3389"/>
      <c r="V116" s="3390"/>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386"/>
      <c r="D117" s="3386"/>
      <c r="E117" s="103"/>
      <c r="F117" s="4"/>
      <c r="G117" s="151"/>
      <c r="H117" s="95" t="s">
        <v>3355</v>
      </c>
      <c r="I117" s="1155"/>
      <c r="J117" s="2022">
        <f>JW48</f>
        <v>0</v>
      </c>
      <c r="K117" s="2023">
        <f>JX48</f>
        <v>0</v>
      </c>
      <c r="L117" s="2023">
        <f>JY48</f>
        <v>0</v>
      </c>
      <c r="M117" s="2023">
        <f>JZ48</f>
        <v>0</v>
      </c>
      <c r="N117" s="2024">
        <f>KA48</f>
        <v>0</v>
      </c>
      <c r="O117" s="598">
        <f t="shared" si="360"/>
        <v>0</v>
      </c>
      <c r="R117" s="3388"/>
      <c r="S117" s="3389"/>
      <c r="T117" s="3389"/>
      <c r="U117" s="3389"/>
      <c r="V117" s="3390"/>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386"/>
      <c r="D118" s="3386"/>
      <c r="E118" s="103"/>
      <c r="F118" s="4"/>
      <c r="G118" s="151"/>
      <c r="H118" s="897" t="s">
        <v>2604</v>
      </c>
      <c r="I118" s="1155"/>
      <c r="J118" s="1992">
        <f>KB48</f>
        <v>0</v>
      </c>
      <c r="K118" s="1993">
        <f>KC48</f>
        <v>0</v>
      </c>
      <c r="L118" s="1993">
        <f>KD48</f>
        <v>0</v>
      </c>
      <c r="M118" s="1993">
        <f>KE48</f>
        <v>0</v>
      </c>
      <c r="N118" s="1994">
        <f>KF48</f>
        <v>0</v>
      </c>
      <c r="O118" s="599">
        <f t="shared" si="360"/>
        <v>0</v>
      </c>
      <c r="R118" s="3388"/>
      <c r="S118" s="3389"/>
      <c r="T118" s="3389"/>
      <c r="U118" s="3389"/>
      <c r="V118" s="3390"/>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386"/>
      <c r="D119" s="3386"/>
      <c r="E119" s="103"/>
      <c r="F119" s="4"/>
      <c r="G119" s="151"/>
      <c r="H119" s="95" t="s">
        <v>3355</v>
      </c>
      <c r="I119" s="1155"/>
      <c r="J119" s="2022">
        <f>KG48</f>
        <v>0</v>
      </c>
      <c r="K119" s="2023">
        <f>KH48</f>
        <v>0</v>
      </c>
      <c r="L119" s="2023">
        <f>KI48</f>
        <v>0</v>
      </c>
      <c r="M119" s="2023">
        <f>KJ48</f>
        <v>0</v>
      </c>
      <c r="N119" s="2024">
        <f>KK48</f>
        <v>0</v>
      </c>
      <c r="O119" s="598">
        <f t="shared" si="360"/>
        <v>0</v>
      </c>
      <c r="R119" s="3388"/>
      <c r="S119" s="3389"/>
      <c r="T119" s="3389"/>
      <c r="U119" s="3389"/>
      <c r="V119" s="3390"/>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386"/>
      <c r="D120" s="3386"/>
      <c r="E120" s="103"/>
      <c r="F120" s="4"/>
      <c r="G120" s="151"/>
      <c r="H120" s="897" t="s">
        <v>2606</v>
      </c>
      <c r="I120" s="1155"/>
      <c r="J120" s="1992">
        <f>KL48</f>
        <v>0</v>
      </c>
      <c r="K120" s="1993">
        <f>KM48</f>
        <v>12</v>
      </c>
      <c r="L120" s="1993">
        <f>KN48</f>
        <v>24</v>
      </c>
      <c r="M120" s="1993">
        <f>KO48</f>
        <v>4</v>
      </c>
      <c r="N120" s="1994">
        <f>KP48</f>
        <v>0</v>
      </c>
      <c r="O120" s="599">
        <f t="shared" si="360"/>
        <v>40</v>
      </c>
      <c r="R120" s="3388"/>
      <c r="S120" s="3389"/>
      <c r="T120" s="3389"/>
      <c r="U120" s="3389"/>
      <c r="V120" s="3390"/>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386"/>
      <c r="D121" s="3386"/>
      <c r="E121" s="103"/>
      <c r="F121" s="4"/>
      <c r="G121" s="151"/>
      <c r="H121" s="95" t="s">
        <v>3355</v>
      </c>
      <c r="I121" s="1155"/>
      <c r="J121" s="2022">
        <f>KQ48</f>
        <v>0</v>
      </c>
      <c r="K121" s="2023">
        <f>KR48</f>
        <v>0</v>
      </c>
      <c r="L121" s="2023">
        <f>KS48</f>
        <v>0</v>
      </c>
      <c r="M121" s="2023">
        <f>KT48</f>
        <v>0</v>
      </c>
      <c r="N121" s="2024">
        <f>KU48</f>
        <v>0</v>
      </c>
      <c r="O121" s="598">
        <f t="shared" si="360"/>
        <v>0</v>
      </c>
      <c r="R121" s="3388"/>
      <c r="S121" s="3389"/>
      <c r="T121" s="3389"/>
      <c r="U121" s="3389"/>
      <c r="V121" s="3390"/>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386"/>
      <c r="D122" s="3386"/>
      <c r="E122" s="103"/>
      <c r="F122" s="1"/>
      <c r="G122" s="82"/>
      <c r="H122" s="39" t="s">
        <v>2605</v>
      </c>
      <c r="I122" s="82"/>
      <c r="J122" s="1992">
        <f>KV48</f>
        <v>0</v>
      </c>
      <c r="K122" s="1993">
        <f>KW48</f>
        <v>0</v>
      </c>
      <c r="L122" s="1993">
        <f>KX48</f>
        <v>0</v>
      </c>
      <c r="M122" s="1993">
        <f>KY48</f>
        <v>0</v>
      </c>
      <c r="N122" s="1994">
        <f>KZ48</f>
        <v>0</v>
      </c>
      <c r="O122" s="599">
        <f t="shared" si="360"/>
        <v>0</v>
      </c>
      <c r="R122" s="3388"/>
      <c r="S122" s="3389"/>
      <c r="T122" s="3389"/>
      <c r="U122" s="3389"/>
      <c r="V122" s="3390"/>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386"/>
      <c r="D123" s="3386"/>
      <c r="E123" s="103"/>
      <c r="F123" s="1"/>
      <c r="G123" s="82"/>
      <c r="H123" s="893" t="s">
        <v>3355</v>
      </c>
      <c r="I123" s="82"/>
      <c r="J123" s="1992">
        <f>LA48</f>
        <v>0</v>
      </c>
      <c r="K123" s="1993">
        <f>LB48</f>
        <v>0</v>
      </c>
      <c r="L123" s="1993">
        <f>LC48</f>
        <v>0</v>
      </c>
      <c r="M123" s="1993">
        <f>LD48</f>
        <v>0</v>
      </c>
      <c r="N123" s="1994">
        <f>LE48</f>
        <v>0</v>
      </c>
      <c r="O123" s="956">
        <f t="shared" si="360"/>
        <v>0</v>
      </c>
      <c r="R123" s="3388"/>
      <c r="S123" s="3389"/>
      <c r="T123" s="3389"/>
      <c r="U123" s="3389"/>
      <c r="V123" s="3390"/>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388"/>
      <c r="S124" s="3389"/>
      <c r="T124" s="3389"/>
      <c r="U124" s="3389"/>
      <c r="V124" s="3390"/>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3355</v>
      </c>
      <c r="I125" s="82"/>
      <c r="J125" s="2022">
        <f>II48</f>
        <v>0</v>
      </c>
      <c r="K125" s="2023">
        <f>IJ48</f>
        <v>0</v>
      </c>
      <c r="L125" s="2023">
        <f>IK48</f>
        <v>0</v>
      </c>
      <c r="M125" s="2023">
        <f>IL48</f>
        <v>0</v>
      </c>
      <c r="N125" s="2024">
        <f>IM48</f>
        <v>0</v>
      </c>
      <c r="O125" s="598">
        <f t="shared" si="360"/>
        <v>0</v>
      </c>
      <c r="R125" s="3388"/>
      <c r="S125" s="3389"/>
      <c r="T125" s="3389"/>
      <c r="U125" s="3389"/>
      <c r="V125" s="3390"/>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0</v>
      </c>
      <c r="L126" s="2026">
        <f>JJ48</f>
        <v>0</v>
      </c>
      <c r="M126" s="2026">
        <f>JK48</f>
        <v>0</v>
      </c>
      <c r="N126" s="2027">
        <f>JL48</f>
        <v>0</v>
      </c>
      <c r="O126" s="599">
        <f t="shared" si="360"/>
        <v>0</v>
      </c>
      <c r="R126" s="3388"/>
      <c r="S126" s="3389"/>
      <c r="T126" s="3389"/>
      <c r="U126" s="3389"/>
      <c r="V126" s="3390"/>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3355</v>
      </c>
      <c r="I127" s="82"/>
      <c r="J127" s="2022">
        <f>JM48</f>
        <v>0</v>
      </c>
      <c r="K127" s="2023">
        <f>JN48</f>
        <v>0</v>
      </c>
      <c r="L127" s="2023">
        <f>JO48</f>
        <v>0</v>
      </c>
      <c r="M127" s="2023">
        <f>JP48</f>
        <v>0</v>
      </c>
      <c r="N127" s="2024">
        <f>JQ48</f>
        <v>0</v>
      </c>
      <c r="O127" s="598">
        <f t="shared" si="360"/>
        <v>0</v>
      </c>
      <c r="R127" s="3388"/>
      <c r="S127" s="3389"/>
      <c r="T127" s="3389"/>
      <c r="U127" s="3389"/>
      <c r="V127" s="3390"/>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564</v>
      </c>
      <c r="F128" s="1"/>
      <c r="G128" s="82"/>
      <c r="H128" s="39"/>
      <c r="I128" s="82"/>
      <c r="J128" s="2025">
        <f>IX48</f>
        <v>0</v>
      </c>
      <c r="K128" s="2026">
        <f>IY48</f>
        <v>0</v>
      </c>
      <c r="L128" s="2026">
        <f>IZ48</f>
        <v>0</v>
      </c>
      <c r="M128" s="2026">
        <f>JA48</f>
        <v>0</v>
      </c>
      <c r="N128" s="2027">
        <f>JB48</f>
        <v>0</v>
      </c>
      <c r="O128" s="599">
        <f t="shared" si="360"/>
        <v>0</v>
      </c>
      <c r="R128" s="3388"/>
      <c r="S128" s="3389"/>
      <c r="T128" s="3389"/>
      <c r="U128" s="3389"/>
      <c r="V128" s="3390"/>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3355</v>
      </c>
      <c r="I129" s="82"/>
      <c r="J129" s="1992">
        <f>JC48</f>
        <v>0</v>
      </c>
      <c r="K129" s="1993">
        <f>JD48</f>
        <v>0</v>
      </c>
      <c r="L129" s="1993">
        <f>JE48</f>
        <v>0</v>
      </c>
      <c r="M129" s="1993">
        <f>JF48</f>
        <v>0</v>
      </c>
      <c r="N129" s="1994">
        <f>JG48</f>
        <v>0</v>
      </c>
      <c r="O129" s="598">
        <f t="shared" si="360"/>
        <v>0</v>
      </c>
      <c r="R129" s="3388"/>
      <c r="S129" s="3389"/>
      <c r="T129" s="3389"/>
      <c r="U129" s="3389"/>
      <c r="V129" s="3390"/>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565</v>
      </c>
      <c r="F130" s="1"/>
      <c r="G130" s="82"/>
      <c r="H130" s="39"/>
      <c r="I130" s="82"/>
      <c r="J130" s="2025">
        <f>IN48</f>
        <v>0</v>
      </c>
      <c r="K130" s="2026">
        <f>IO48</f>
        <v>0</v>
      </c>
      <c r="L130" s="2026">
        <f>IP48</f>
        <v>0</v>
      </c>
      <c r="M130" s="2026">
        <f>IQ48</f>
        <v>0</v>
      </c>
      <c r="N130" s="2027">
        <f>IR48</f>
        <v>0</v>
      </c>
      <c r="O130" s="599">
        <f t="shared" si="360"/>
        <v>0</v>
      </c>
      <c r="R130" s="3388"/>
      <c r="S130" s="3389"/>
      <c r="T130" s="3389"/>
      <c r="U130" s="3389"/>
      <c r="V130" s="3390"/>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3355</v>
      </c>
      <c r="I131" s="82"/>
      <c r="J131" s="1995">
        <f>IS48</f>
        <v>0</v>
      </c>
      <c r="K131" s="1996">
        <f>IT48</f>
        <v>0</v>
      </c>
      <c r="L131" s="1996">
        <f>IU48</f>
        <v>0</v>
      </c>
      <c r="M131" s="1996">
        <f>IV48</f>
        <v>0</v>
      </c>
      <c r="N131" s="1997">
        <f>IW48</f>
        <v>0</v>
      </c>
      <c r="O131" s="957">
        <f t="shared" si="360"/>
        <v>0</v>
      </c>
      <c r="R131" s="3392"/>
      <c r="S131" s="3393"/>
      <c r="T131" s="3393"/>
      <c r="U131" s="3393"/>
      <c r="V131" s="3394"/>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7" customHeight="1" thickBot="1">
      <c r="A133" s="12" t="s">
        <v>739</v>
      </c>
      <c r="B133" s="12" t="s">
        <v>5000</v>
      </c>
      <c r="K133" s="3466" t="str">
        <f>$K$53</f>
        <v>40% of Units at 60% of AMI</v>
      </c>
      <c r="L133" s="3467"/>
      <c r="M133" s="3467"/>
      <c r="N133" s="3468"/>
      <c r="O133" s="82"/>
      <c r="R133" s="3403" t="str">
        <f>B133</f>
        <v>UNIT SUMMARY (Continued)</v>
      </c>
      <c r="S133" s="3403"/>
      <c r="T133" s="3403"/>
      <c r="U133" s="3403"/>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41" t="s">
        <v>4605</v>
      </c>
      <c r="D135" s="3441"/>
      <c r="E135" s="1151" t="s">
        <v>3350</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383"/>
      <c r="S135" s="3384"/>
      <c r="T135" s="3384"/>
      <c r="U135" s="3384"/>
      <c r="V135" s="3385"/>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386"/>
      <c r="D136" s="3386"/>
      <c r="E136" s="103"/>
      <c r="F136" s="493"/>
      <c r="G136" s="151"/>
      <c r="H136" s="95" t="s">
        <v>3355</v>
      </c>
      <c r="I136" s="1155"/>
      <c r="J136" s="2031">
        <f t="shared" si="361"/>
        <v>0</v>
      </c>
      <c r="K136" s="2032">
        <f t="shared" si="361"/>
        <v>0</v>
      </c>
      <c r="L136" s="2032">
        <f t="shared" si="361"/>
        <v>0</v>
      </c>
      <c r="M136" s="2032">
        <f t="shared" si="361"/>
        <v>0</v>
      </c>
      <c r="N136" s="2033">
        <f t="shared" si="361"/>
        <v>0</v>
      </c>
      <c r="O136" s="601">
        <f t="shared" si="362"/>
        <v>0</v>
      </c>
      <c r="R136" s="3388"/>
      <c r="S136" s="3389"/>
      <c r="T136" s="3389"/>
      <c r="U136" s="3389"/>
      <c r="V136" s="3390"/>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386"/>
      <c r="D137" s="3386"/>
      <c r="E137" s="103" t="s">
        <v>3351</v>
      </c>
      <c r="F137" s="493"/>
      <c r="G137" s="151"/>
      <c r="H137" s="493"/>
      <c r="I137" s="1155"/>
      <c r="J137" s="2034">
        <f t="shared" ref="J137:N138" si="363">J116+J126</f>
        <v>0</v>
      </c>
      <c r="K137" s="2035">
        <f t="shared" si="363"/>
        <v>0</v>
      </c>
      <c r="L137" s="2035">
        <f t="shared" si="363"/>
        <v>0</v>
      </c>
      <c r="M137" s="2035">
        <f t="shared" si="363"/>
        <v>0</v>
      </c>
      <c r="N137" s="2036">
        <f t="shared" si="363"/>
        <v>0</v>
      </c>
      <c r="O137" s="959">
        <f t="shared" si="362"/>
        <v>0</v>
      </c>
      <c r="R137" s="3388"/>
      <c r="S137" s="3389"/>
      <c r="T137" s="3389"/>
      <c r="U137" s="3389"/>
      <c r="V137" s="3390"/>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386"/>
      <c r="D138" s="3386"/>
      <c r="E138" s="103"/>
      <c r="F138" s="493"/>
      <c r="G138" s="151"/>
      <c r="H138" s="95" t="s">
        <v>3355</v>
      </c>
      <c r="I138" s="1155"/>
      <c r="J138" s="2031">
        <f t="shared" si="363"/>
        <v>0</v>
      </c>
      <c r="K138" s="2032">
        <f t="shared" si="363"/>
        <v>0</v>
      </c>
      <c r="L138" s="2032">
        <f t="shared" si="363"/>
        <v>0</v>
      </c>
      <c r="M138" s="2032">
        <f t="shared" si="363"/>
        <v>0</v>
      </c>
      <c r="N138" s="2033">
        <f t="shared" si="363"/>
        <v>0</v>
      </c>
      <c r="O138" s="601">
        <f t="shared" si="362"/>
        <v>0</v>
      </c>
      <c r="R138" s="3388"/>
      <c r="S138" s="3389"/>
      <c r="T138" s="3389"/>
      <c r="U138" s="3389"/>
      <c r="V138" s="3390"/>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386"/>
      <c r="D139" s="3386"/>
      <c r="E139" s="103" t="s">
        <v>3352</v>
      </c>
      <c r="F139" s="493"/>
      <c r="G139" s="151"/>
      <c r="H139" s="897"/>
      <c r="I139" s="1155"/>
      <c r="J139" s="2034">
        <f t="shared" ref="J139:N140" si="364">J120</f>
        <v>0</v>
      </c>
      <c r="K139" s="2035">
        <f t="shared" si="364"/>
        <v>12</v>
      </c>
      <c r="L139" s="2035">
        <f t="shared" si="364"/>
        <v>24</v>
      </c>
      <c r="M139" s="2035">
        <f t="shared" si="364"/>
        <v>4</v>
      </c>
      <c r="N139" s="2036">
        <f t="shared" si="364"/>
        <v>0</v>
      </c>
      <c r="O139" s="959">
        <f t="shared" si="362"/>
        <v>40</v>
      </c>
      <c r="R139" s="3388"/>
      <c r="S139" s="3389"/>
      <c r="T139" s="3389"/>
      <c r="U139" s="3389"/>
      <c r="V139" s="3390"/>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386"/>
      <c r="D140" s="3386"/>
      <c r="E140" s="103"/>
      <c r="F140" s="493"/>
      <c r="G140" s="151"/>
      <c r="H140" s="95" t="s">
        <v>3355</v>
      </c>
      <c r="I140" s="1155"/>
      <c r="J140" s="2031">
        <f t="shared" si="364"/>
        <v>0</v>
      </c>
      <c r="K140" s="2032">
        <f t="shared" si="364"/>
        <v>0</v>
      </c>
      <c r="L140" s="2032">
        <f t="shared" si="364"/>
        <v>0</v>
      </c>
      <c r="M140" s="2032">
        <f t="shared" si="364"/>
        <v>0</v>
      </c>
      <c r="N140" s="2033">
        <f t="shared" si="364"/>
        <v>0</v>
      </c>
      <c r="O140" s="601">
        <f t="shared" si="362"/>
        <v>0</v>
      </c>
      <c r="R140" s="3388"/>
      <c r="S140" s="3389"/>
      <c r="T140" s="3389"/>
      <c r="U140" s="3389"/>
      <c r="V140" s="3390"/>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386"/>
      <c r="D141" s="3386"/>
      <c r="E141" s="103" t="s">
        <v>3353</v>
      </c>
      <c r="F141" s="493"/>
      <c r="G141" s="151"/>
      <c r="H141" s="897"/>
      <c r="I141" s="1155"/>
      <c r="J141" s="2034">
        <f t="shared" ref="J141:N142" si="365">J118+J122</f>
        <v>0</v>
      </c>
      <c r="K141" s="2035">
        <f t="shared" si="365"/>
        <v>0</v>
      </c>
      <c r="L141" s="2035">
        <f t="shared" si="365"/>
        <v>0</v>
      </c>
      <c r="M141" s="2035">
        <f t="shared" si="365"/>
        <v>0</v>
      </c>
      <c r="N141" s="2036">
        <f t="shared" si="365"/>
        <v>0</v>
      </c>
      <c r="O141" s="959">
        <f t="shared" si="362"/>
        <v>0</v>
      </c>
      <c r="R141" s="3388"/>
      <c r="S141" s="3389"/>
      <c r="T141" s="3389"/>
      <c r="U141" s="3389"/>
      <c r="V141" s="3390"/>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3355</v>
      </c>
      <c r="I142" s="82"/>
      <c r="J142" s="2037">
        <f t="shared" si="365"/>
        <v>0</v>
      </c>
      <c r="K142" s="2038">
        <f t="shared" si="365"/>
        <v>0</v>
      </c>
      <c r="L142" s="2038">
        <f t="shared" si="365"/>
        <v>0</v>
      </c>
      <c r="M142" s="2038">
        <f t="shared" si="365"/>
        <v>0</v>
      </c>
      <c r="N142" s="2039">
        <f t="shared" si="365"/>
        <v>0</v>
      </c>
      <c r="O142" s="960">
        <f t="shared" si="362"/>
        <v>0</v>
      </c>
      <c r="P142" s="3395" t="s">
        <v>5033</v>
      </c>
      <c r="R142" s="3392"/>
      <c r="S142" s="3393"/>
      <c r="T142" s="3393"/>
      <c r="U142" s="3393"/>
      <c r="V142" s="3394"/>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3395"/>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2164</v>
      </c>
      <c r="C144" s="1"/>
      <c r="D144" s="1"/>
      <c r="E144" s="1"/>
      <c r="F144" s="1"/>
      <c r="G144" s="82"/>
      <c r="H144" s="39"/>
      <c r="I144" s="82"/>
      <c r="J144" s="602"/>
      <c r="K144" s="602"/>
      <c r="L144" s="602"/>
      <c r="M144" s="602"/>
      <c r="N144" s="602"/>
      <c r="O144" s="602"/>
      <c r="P144" s="3395"/>
      <c r="R144" s="3402" t="str">
        <f>B144</f>
        <v>Unit Square Footage:</v>
      </c>
      <c r="S144" s="3402"/>
      <c r="T144" s="3402"/>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2135</v>
      </c>
      <c r="D145" s="1"/>
      <c r="E145" s="1"/>
      <c r="F145" s="1"/>
      <c r="G145" s="82"/>
      <c r="H145" s="54" t="s">
        <v>4616</v>
      </c>
      <c r="I145" s="82"/>
      <c r="J145" s="2007">
        <f>EH48</f>
        <v>0</v>
      </c>
      <c r="K145" s="2008">
        <f>EI48</f>
        <v>0</v>
      </c>
      <c r="L145" s="2008">
        <f>EJ48</f>
        <v>0</v>
      </c>
      <c r="M145" s="2008">
        <f>EK48</f>
        <v>0</v>
      </c>
      <c r="N145" s="2009">
        <f>EL48</f>
        <v>0</v>
      </c>
      <c r="O145" s="1954">
        <f t="shared" ref="O145:O151" si="366">SUM(J145:N145)</f>
        <v>0</v>
      </c>
      <c r="P145" s="2178" t="str">
        <f t="shared" ref="P145:P151" si="367">IF(OR(O56=0,O56=""),"",O145/O56)</f>
        <v/>
      </c>
      <c r="R145" s="3383"/>
      <c r="S145" s="3384"/>
      <c r="T145" s="3384"/>
      <c r="U145" s="3384"/>
      <c r="V145" s="3385"/>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4617</v>
      </c>
      <c r="I146" s="82"/>
      <c r="J146" s="2040">
        <f>EM48</f>
        <v>0</v>
      </c>
      <c r="K146" s="2041">
        <f>EN48</f>
        <v>0</v>
      </c>
      <c r="L146" s="2041">
        <f>EO48</f>
        <v>0</v>
      </c>
      <c r="M146" s="2041">
        <f>EP48</f>
        <v>0</v>
      </c>
      <c r="N146" s="2042">
        <f>EQ48</f>
        <v>0</v>
      </c>
      <c r="O146" s="1955">
        <f t="shared" si="366"/>
        <v>0</v>
      </c>
      <c r="P146" s="2178" t="str">
        <f t="shared" si="367"/>
        <v/>
      </c>
      <c r="R146" s="3388"/>
      <c r="S146" s="3389"/>
      <c r="T146" s="3389"/>
      <c r="U146" s="3389"/>
      <c r="V146" s="3390"/>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1148</v>
      </c>
      <c r="I147" s="82"/>
      <c r="J147" s="2040">
        <f>ER48</f>
        <v>0</v>
      </c>
      <c r="K147" s="2041">
        <f>ES48</f>
        <v>4536</v>
      </c>
      <c r="L147" s="2041">
        <f>ET48</f>
        <v>10065</v>
      </c>
      <c r="M147" s="2041">
        <f>EU48</f>
        <v>2272</v>
      </c>
      <c r="N147" s="2042">
        <f>EV48</f>
        <v>0</v>
      </c>
      <c r="O147" s="1955">
        <f t="shared" si="366"/>
        <v>16873</v>
      </c>
      <c r="P147" s="2178">
        <f t="shared" si="367"/>
        <v>888.0526315789474</v>
      </c>
      <c r="R147" s="3388"/>
      <c r="S147" s="3389"/>
      <c r="T147" s="3389"/>
      <c r="U147" s="3389"/>
      <c r="V147" s="3390"/>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8">
        <f>EW48</f>
        <v>0</v>
      </c>
      <c r="K148" s="2169">
        <f>EX48</f>
        <v>4536</v>
      </c>
      <c r="L148" s="2169">
        <f>EY48</f>
        <v>10980</v>
      </c>
      <c r="M148" s="2169">
        <f>EZ48</f>
        <v>2272</v>
      </c>
      <c r="N148" s="2170">
        <f>FA48</f>
        <v>0</v>
      </c>
      <c r="O148" s="2171">
        <f t="shared" si="366"/>
        <v>17788</v>
      </c>
      <c r="P148" s="2178">
        <f t="shared" si="367"/>
        <v>889.4</v>
      </c>
      <c r="R148" s="3388"/>
      <c r="S148" s="3389"/>
      <c r="T148" s="3389"/>
      <c r="U148" s="3389"/>
      <c r="V148" s="3390"/>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4618</v>
      </c>
      <c r="I149" s="1155"/>
      <c r="J149" s="2040">
        <f>FB48</f>
        <v>0</v>
      </c>
      <c r="K149" s="2041">
        <f>FC48</f>
        <v>0</v>
      </c>
      <c r="L149" s="2041">
        <f>FD48</f>
        <v>0</v>
      </c>
      <c r="M149" s="2041">
        <f>FE48</f>
        <v>0</v>
      </c>
      <c r="N149" s="2042">
        <f>FF48</f>
        <v>0</v>
      </c>
      <c r="O149" s="1955">
        <f t="shared" si="366"/>
        <v>0</v>
      </c>
      <c r="P149" s="2178" t="str">
        <f t="shared" si="367"/>
        <v/>
      </c>
      <c r="R149" s="3388"/>
      <c r="S149" s="3389"/>
      <c r="T149" s="3389"/>
      <c r="U149" s="3389"/>
      <c r="V149" s="3390"/>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4619</v>
      </c>
      <c r="I150" s="82"/>
      <c r="J150" s="2040">
        <f>FG48</f>
        <v>0</v>
      </c>
      <c r="K150" s="2041">
        <f>FH48</f>
        <v>0</v>
      </c>
      <c r="L150" s="2041">
        <f>FI48</f>
        <v>0</v>
      </c>
      <c r="M150" s="2041">
        <f>FJ48</f>
        <v>0</v>
      </c>
      <c r="N150" s="2042">
        <f>FK48</f>
        <v>0</v>
      </c>
      <c r="O150" s="1955">
        <f t="shared" si="366"/>
        <v>0</v>
      </c>
      <c r="P150" s="2178" t="str">
        <f t="shared" si="367"/>
        <v/>
      </c>
      <c r="R150" s="3388"/>
      <c r="S150" s="3389"/>
      <c r="T150" s="3389"/>
      <c r="U150" s="3389"/>
      <c r="V150" s="3390"/>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4620</v>
      </c>
      <c r="I151" s="82"/>
      <c r="J151" s="2013">
        <f>FL48</f>
        <v>0</v>
      </c>
      <c r="K151" s="2014">
        <f>FM48</f>
        <v>0</v>
      </c>
      <c r="L151" s="2014">
        <f>FN48</f>
        <v>0</v>
      </c>
      <c r="M151" s="2014">
        <f>FO48</f>
        <v>0</v>
      </c>
      <c r="N151" s="2015">
        <f>FP48</f>
        <v>0</v>
      </c>
      <c r="O151" s="1956">
        <f t="shared" si="366"/>
        <v>0</v>
      </c>
      <c r="P151" s="2178" t="str">
        <f t="shared" si="367"/>
        <v/>
      </c>
      <c r="R151" s="3388"/>
      <c r="S151" s="3389"/>
      <c r="T151" s="3389"/>
      <c r="U151" s="3389"/>
      <c r="V151" s="3390"/>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4701</v>
      </c>
      <c r="I152" s="82"/>
      <c r="J152" s="1964">
        <f>SUM(J145:J151)</f>
        <v>0</v>
      </c>
      <c r="K152" s="1964">
        <f>SUM(K145:K151)</f>
        <v>9072</v>
      </c>
      <c r="L152" s="1964">
        <f>SUM(L145:L151)</f>
        <v>21045</v>
      </c>
      <c r="M152" s="1964">
        <f>SUM(M145:M151)</f>
        <v>4544</v>
      </c>
      <c r="N152" s="1964">
        <f>SUM(N145:N151)</f>
        <v>0</v>
      </c>
      <c r="O152" s="1964">
        <f>SUM(J152:N152)</f>
        <v>34661</v>
      </c>
      <c r="R152" s="3388"/>
      <c r="S152" s="3389"/>
      <c r="T152" s="3389"/>
      <c r="U152" s="3389"/>
      <c r="V152" s="3390"/>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0</v>
      </c>
      <c r="L153" s="2044">
        <f>FS48</f>
        <v>0</v>
      </c>
      <c r="M153" s="2044">
        <f>FT48</f>
        <v>0</v>
      </c>
      <c r="N153" s="2045">
        <f>FU48</f>
        <v>0</v>
      </c>
      <c r="O153" s="1962">
        <f>SUM(J153:N153)</f>
        <v>0</v>
      </c>
      <c r="P153" s="2178" t="str">
        <f>IF(OR(O64=0,O64=""),"",O153/O64)</f>
        <v/>
      </c>
      <c r="R153" s="3388"/>
      <c r="S153" s="3389"/>
      <c r="T153" s="3389"/>
      <c r="U153" s="3389"/>
      <c r="V153" s="3390"/>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1137</v>
      </c>
      <c r="D154" s="1"/>
      <c r="E154" s="1"/>
      <c r="F154" s="1"/>
      <c r="G154" s="1"/>
      <c r="H154" s="82"/>
      <c r="I154" s="82"/>
      <c r="J154" s="1963">
        <f>SUM(J152:J153)</f>
        <v>0</v>
      </c>
      <c r="K154" s="1963">
        <f>SUM(K152:K153)</f>
        <v>9072</v>
      </c>
      <c r="L154" s="1963">
        <f>SUM(L152:L153)</f>
        <v>21045</v>
      </c>
      <c r="M154" s="1963">
        <f>SUM(M152:M153)</f>
        <v>4544</v>
      </c>
      <c r="N154" s="1963">
        <f>SUM(N152:N153)</f>
        <v>0</v>
      </c>
      <c r="O154" s="1963">
        <f>SUM(J154:N154)</f>
        <v>34661</v>
      </c>
      <c r="R154" s="3388"/>
      <c r="S154" s="3389"/>
      <c r="T154" s="3389"/>
      <c r="U154" s="3389"/>
      <c r="V154" s="3390"/>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2510</v>
      </c>
      <c r="D155" s="1"/>
      <c r="E155" s="1"/>
      <c r="F155" s="1"/>
      <c r="G155" s="1"/>
      <c r="H155" s="82"/>
      <c r="I155" s="82"/>
      <c r="J155" s="2043">
        <f>GA48</f>
        <v>0</v>
      </c>
      <c r="K155" s="2044">
        <f>GB48</f>
        <v>0</v>
      </c>
      <c r="L155" s="2044">
        <f>GC48</f>
        <v>915</v>
      </c>
      <c r="M155" s="2044">
        <f>GD48</f>
        <v>0</v>
      </c>
      <c r="N155" s="2045">
        <f>GE48</f>
        <v>0</v>
      </c>
      <c r="O155" s="1962">
        <f>SUM(J155:N155)</f>
        <v>915</v>
      </c>
      <c r="P155" s="2178">
        <f>IF(OR(O66=0,O66=""),"",O155/O66)</f>
        <v>915</v>
      </c>
      <c r="R155" s="3388"/>
      <c r="S155" s="3389"/>
      <c r="T155" s="3389"/>
      <c r="U155" s="3389"/>
      <c r="V155" s="3390"/>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538</v>
      </c>
      <c r="D156" s="1"/>
      <c r="E156" s="1"/>
      <c r="F156" s="1"/>
      <c r="G156" s="1"/>
      <c r="H156" s="82"/>
      <c r="I156" s="82"/>
      <c r="J156" s="1961">
        <f>SUM(J154:J155)</f>
        <v>0</v>
      </c>
      <c r="K156" s="1961">
        <f>SUM(K154:K155)</f>
        <v>9072</v>
      </c>
      <c r="L156" s="1961">
        <f>SUM(L154:L155)</f>
        <v>21960</v>
      </c>
      <c r="M156" s="1961">
        <f>SUM(M154:M155)</f>
        <v>4544</v>
      </c>
      <c r="N156" s="1961">
        <f>SUM(N154:N155)</f>
        <v>0</v>
      </c>
      <c r="O156" s="1961">
        <f>SUM(J156:N156)</f>
        <v>35576</v>
      </c>
      <c r="R156" s="3392"/>
      <c r="S156" s="3393"/>
      <c r="T156" s="3393"/>
      <c r="U156" s="3393"/>
      <c r="V156" s="3394"/>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3.95" customHeight="1"/>
    <row r="158" spans="1:492" s="90" customFormat="1" ht="13.95"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5028</v>
      </c>
      <c r="D159" s="1"/>
      <c r="E159" s="1"/>
      <c r="F159" s="1"/>
      <c r="G159" s="1"/>
      <c r="H159" s="1"/>
      <c r="I159" s="1"/>
      <c r="J159" s="2177" t="str">
        <f>IF(OR(J$67="",J$67=0),"",J$156/J$67)</f>
        <v/>
      </c>
      <c r="K159" s="2177">
        <f>IF(OR(K$67="",K$67=0),"",K$156/K$67)</f>
        <v>756</v>
      </c>
      <c r="L159" s="2177">
        <f>IF(OR(L$67="",L$67=0),"",L$156/L$67)</f>
        <v>915</v>
      </c>
      <c r="M159" s="2177">
        <f>IF(OR(M$67="",M$67=0),"",M$156/M$67)</f>
        <v>1136</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87"/>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741</v>
      </c>
      <c r="B171" s="12" t="s">
        <v>225</v>
      </c>
      <c r="P171" s="7"/>
      <c r="Q171" s="7"/>
      <c r="R171" s="12" t="s">
        <v>1844</v>
      </c>
      <c r="T171" s="408"/>
      <c r="JV171" s="448"/>
      <c r="KA171" s="448"/>
      <c r="LG171" s="453"/>
      <c r="LM171" s="448"/>
      <c r="LN171" s="456"/>
      <c r="MC171" s="448"/>
      <c r="ME171" s="456"/>
    </row>
    <row r="172" spans="1:492" ht="2.25" customHeight="1">
      <c r="P172" s="408"/>
      <c r="Q172" s="408"/>
    </row>
    <row r="173" spans="1:492" ht="11.25" customHeight="1">
      <c r="B173" s="914" t="s">
        <v>1015</v>
      </c>
      <c r="C173" s="89"/>
      <c r="D173" s="110"/>
      <c r="E173" s="89"/>
      <c r="F173" s="89"/>
      <c r="G173" s="89"/>
      <c r="H173" s="3442">
        <f>'Part VII-Pro Forma'!B9*L49</f>
        <v>4370.3999999999996</v>
      </c>
      <c r="I173" s="3443"/>
      <c r="J173" s="89"/>
      <c r="K173" s="487" t="s">
        <v>2740</v>
      </c>
      <c r="L173" s="89"/>
      <c r="M173" s="89"/>
      <c r="N173" s="89"/>
      <c r="O173" s="915">
        <f>H173/L49</f>
        <v>1.9999999999999997E-2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1444</v>
      </c>
      <c r="C175" s="89"/>
      <c r="D175" s="89"/>
      <c r="E175" s="89"/>
      <c r="F175" s="89"/>
      <c r="G175" s="89"/>
      <c r="H175" s="89"/>
      <c r="I175" s="914"/>
      <c r="J175" s="89"/>
      <c r="K175" s="917"/>
      <c r="L175" s="89"/>
      <c r="M175" s="89"/>
      <c r="N175" s="89"/>
      <c r="O175" s="89"/>
      <c r="P175" s="111"/>
      <c r="R175" s="2287" t="str">
        <f>B175</f>
        <v>Other Income (OI) by Year:</v>
      </c>
    </row>
    <row r="176" spans="1:492" ht="11.25" customHeight="1">
      <c r="B176" s="918" t="s">
        <v>2285</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1016</v>
      </c>
      <c r="C177" s="110"/>
      <c r="D177" s="110"/>
      <c r="E177" s="110"/>
      <c r="F177" s="110"/>
      <c r="G177" s="2645"/>
      <c r="H177" s="2645"/>
      <c r="I177" s="2645"/>
      <c r="J177" s="2645"/>
      <c r="K177" s="2645"/>
      <c r="L177" s="2645"/>
      <c r="M177" s="2645"/>
      <c r="N177" s="2645"/>
      <c r="O177" s="2645"/>
      <c r="P177" s="2645"/>
      <c r="Q177" s="873"/>
      <c r="R177" s="3383"/>
      <c r="S177" s="3384"/>
      <c r="T177" s="3384"/>
      <c r="U177" s="3384"/>
      <c r="V177" s="3385"/>
    </row>
    <row r="178" spans="2:22" ht="13.5" customHeight="1">
      <c r="B178" s="110" t="s">
        <v>740</v>
      </c>
      <c r="C178" s="3435" t="s">
        <v>5285</v>
      </c>
      <c r="D178" s="3436"/>
      <c r="E178" s="3436"/>
      <c r="F178" s="3437"/>
      <c r="G178" s="2646">
        <v>4500</v>
      </c>
      <c r="H178" s="2646">
        <v>4500</v>
      </c>
      <c r="I178" s="2646">
        <v>4500</v>
      </c>
      <c r="J178" s="2646">
        <v>4500</v>
      </c>
      <c r="K178" s="2646">
        <v>4500</v>
      </c>
      <c r="L178" s="2646">
        <v>4500</v>
      </c>
      <c r="M178" s="2646">
        <v>4500</v>
      </c>
      <c r="N178" s="2646">
        <v>4500</v>
      </c>
      <c r="O178" s="2646">
        <v>4500</v>
      </c>
      <c r="P178" s="2646">
        <v>4500</v>
      </c>
      <c r="Q178" s="873"/>
      <c r="R178" s="3388"/>
      <c r="S178" s="3389"/>
      <c r="T178" s="3389"/>
      <c r="U178" s="3389"/>
      <c r="V178" s="3390"/>
    </row>
    <row r="179" spans="2:22" ht="13.5" customHeight="1">
      <c r="B179" s="110"/>
      <c r="C179" s="110" t="s">
        <v>927</v>
      </c>
      <c r="D179" s="110"/>
      <c r="E179" s="110"/>
      <c r="F179" s="110"/>
      <c r="G179" s="921">
        <f t="shared" ref="G179:P179" si="368">SUM(G177:G178)</f>
        <v>4500</v>
      </c>
      <c r="H179" s="921">
        <f t="shared" si="368"/>
        <v>4500</v>
      </c>
      <c r="I179" s="921">
        <f t="shared" si="368"/>
        <v>4500</v>
      </c>
      <c r="J179" s="921">
        <f t="shared" si="368"/>
        <v>4500</v>
      </c>
      <c r="K179" s="921">
        <f t="shared" si="368"/>
        <v>4500</v>
      </c>
      <c r="L179" s="921">
        <f t="shared" si="368"/>
        <v>4500</v>
      </c>
      <c r="M179" s="921">
        <f t="shared" si="368"/>
        <v>4500</v>
      </c>
      <c r="N179" s="921">
        <f t="shared" si="368"/>
        <v>4500</v>
      </c>
      <c r="O179" s="921">
        <f t="shared" si="368"/>
        <v>4500</v>
      </c>
      <c r="P179" s="921">
        <f t="shared" si="368"/>
        <v>4500</v>
      </c>
      <c r="Q179" s="118"/>
      <c r="R179" s="3392"/>
      <c r="S179" s="3393"/>
      <c r="T179" s="3393"/>
      <c r="U179" s="3393"/>
      <c r="V179" s="3394"/>
    </row>
    <row r="180" spans="2:22" ht="13.5" customHeight="1">
      <c r="B180" s="922" t="s">
        <v>3669</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532</v>
      </c>
      <c r="C181" s="110"/>
      <c r="D181" s="110"/>
      <c r="E181" s="110"/>
      <c r="F181" s="110"/>
      <c r="G181" s="2645"/>
      <c r="H181" s="2645"/>
      <c r="I181" s="2645"/>
      <c r="J181" s="2645"/>
      <c r="K181" s="2645"/>
      <c r="L181" s="2645"/>
      <c r="M181" s="2645"/>
      <c r="N181" s="2645"/>
      <c r="O181" s="2645"/>
      <c r="P181" s="2645"/>
      <c r="Q181" s="873"/>
      <c r="R181" s="3383"/>
      <c r="S181" s="3384"/>
      <c r="T181" s="3384"/>
      <c r="U181" s="3384"/>
      <c r="V181" s="3385"/>
    </row>
    <row r="182" spans="2:22" ht="13.5" customHeight="1">
      <c r="B182" s="110" t="s">
        <v>740</v>
      </c>
      <c r="C182" s="3435"/>
      <c r="D182" s="3436"/>
      <c r="E182" s="3436"/>
      <c r="F182" s="3437"/>
      <c r="G182" s="2646"/>
      <c r="H182" s="2646"/>
      <c r="I182" s="2646"/>
      <c r="J182" s="2646"/>
      <c r="K182" s="2647"/>
      <c r="L182" s="2646"/>
      <c r="M182" s="2646"/>
      <c r="N182" s="2646"/>
      <c r="O182" s="2646"/>
      <c r="P182" s="2646"/>
      <c r="Q182" s="873"/>
      <c r="R182" s="3388"/>
      <c r="S182" s="3389"/>
      <c r="T182" s="3389"/>
      <c r="U182" s="3389"/>
      <c r="V182" s="3390"/>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392"/>
      <c r="S183" s="3393"/>
      <c r="T183" s="3393"/>
      <c r="U183" s="3393"/>
      <c r="V183" s="3394"/>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2285</v>
      </c>
      <c r="C185" s="89"/>
      <c r="D185" s="89"/>
      <c r="E185" s="89"/>
      <c r="F185" s="89"/>
      <c r="G185" s="919">
        <v>11</v>
      </c>
      <c r="H185" s="919">
        <v>12</v>
      </c>
      <c r="I185" s="919">
        <v>13</v>
      </c>
      <c r="J185" s="919">
        <v>14</v>
      </c>
      <c r="K185" s="919">
        <v>15</v>
      </c>
      <c r="L185" s="919">
        <v>16</v>
      </c>
      <c r="M185" s="919">
        <v>17</v>
      </c>
      <c r="N185" s="919">
        <v>18</v>
      </c>
      <c r="O185" s="919">
        <v>19</v>
      </c>
      <c r="P185" s="919">
        <v>20</v>
      </c>
      <c r="R185" s="138" t="s">
        <v>2621</v>
      </c>
      <c r="S185" s="94" t="str">
        <f>B185</f>
        <v>Included in Mgt Fee:</v>
      </c>
    </row>
    <row r="186" spans="2:22" ht="13.5" customHeight="1">
      <c r="B186" s="110" t="s">
        <v>1016</v>
      </c>
      <c r="C186" s="110"/>
      <c r="D186" s="110"/>
      <c r="E186" s="110"/>
      <c r="F186" s="110"/>
      <c r="G186" s="2645"/>
      <c r="H186" s="2645"/>
      <c r="I186" s="2645"/>
      <c r="J186" s="2645"/>
      <c r="K186" s="2648"/>
      <c r="L186" s="2645"/>
      <c r="M186" s="2645"/>
      <c r="N186" s="2645"/>
      <c r="O186" s="2645"/>
      <c r="P186" s="2645"/>
      <c r="Q186" s="873"/>
      <c r="R186" s="3383"/>
      <c r="S186" s="3384"/>
      <c r="T186" s="3384"/>
      <c r="U186" s="3384"/>
      <c r="V186" s="3385"/>
    </row>
    <row r="187" spans="2:22" ht="13.5" customHeight="1">
      <c r="B187" s="110" t="s">
        <v>740</v>
      </c>
      <c r="C187" s="3435" t="s">
        <v>5285</v>
      </c>
      <c r="D187" s="3436"/>
      <c r="E187" s="3436"/>
      <c r="F187" s="3437"/>
      <c r="G187" s="2646"/>
      <c r="H187" s="2646"/>
      <c r="I187" s="2646"/>
      <c r="J187" s="2646"/>
      <c r="K187" s="2647"/>
      <c r="L187" s="2646"/>
      <c r="M187" s="2646"/>
      <c r="N187" s="2646"/>
      <c r="O187" s="2646"/>
      <c r="P187" s="2646"/>
      <c r="Q187" s="873"/>
      <c r="R187" s="3388"/>
      <c r="S187" s="3389"/>
      <c r="T187" s="3389"/>
      <c r="U187" s="3389"/>
      <c r="V187" s="3390"/>
    </row>
    <row r="188" spans="2:22" ht="13.5" customHeight="1">
      <c r="B188" s="110"/>
      <c r="C188" s="110" t="s">
        <v>927</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392"/>
      <c r="S188" s="3393"/>
      <c r="T188" s="3393"/>
      <c r="U188" s="3393"/>
      <c r="V188" s="3394"/>
    </row>
    <row r="189" spans="2:22" ht="13.5" customHeight="1">
      <c r="B189" s="922" t="s">
        <v>3669</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532</v>
      </c>
      <c r="C190" s="110"/>
      <c r="D190" s="110"/>
      <c r="E190" s="110"/>
      <c r="F190" s="110"/>
      <c r="G190" s="2645"/>
      <c r="H190" s="2645"/>
      <c r="I190" s="2645"/>
      <c r="J190" s="2645"/>
      <c r="K190" s="2648"/>
      <c r="L190" s="2645"/>
      <c r="M190" s="2645"/>
      <c r="N190" s="2645"/>
      <c r="O190" s="2645"/>
      <c r="P190" s="2645"/>
      <c r="Q190" s="873"/>
      <c r="R190" s="3383"/>
      <c r="S190" s="3384"/>
      <c r="T190" s="3384"/>
      <c r="U190" s="3384"/>
      <c r="V190" s="3385"/>
    </row>
    <row r="191" spans="2:22" ht="13.5" customHeight="1">
      <c r="B191" s="110" t="s">
        <v>740</v>
      </c>
      <c r="C191" s="3435"/>
      <c r="D191" s="3436"/>
      <c r="E191" s="3436"/>
      <c r="F191" s="3437"/>
      <c r="G191" s="2646"/>
      <c r="H191" s="2646"/>
      <c r="I191" s="2646"/>
      <c r="J191" s="2646"/>
      <c r="K191" s="2647"/>
      <c r="L191" s="2646"/>
      <c r="M191" s="2646"/>
      <c r="N191" s="2646"/>
      <c r="O191" s="2646"/>
      <c r="P191" s="2646"/>
      <c r="Q191" s="873"/>
      <c r="R191" s="3388"/>
      <c r="S191" s="3389"/>
      <c r="T191" s="3389"/>
      <c r="U191" s="3389"/>
      <c r="V191" s="3390"/>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392"/>
      <c r="S192" s="3393"/>
      <c r="T192" s="3393"/>
      <c r="U192" s="3393"/>
      <c r="V192" s="3394"/>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2285</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2622</v>
      </c>
      <c r="S194" s="94" t="str">
        <f>B194</f>
        <v>Included in Mgt Fee:</v>
      </c>
    </row>
    <row r="195" spans="2:22" ht="13.5" customHeight="1">
      <c r="B195" s="110" t="s">
        <v>1016</v>
      </c>
      <c r="C195" s="110"/>
      <c r="D195" s="110"/>
      <c r="E195" s="110"/>
      <c r="F195" s="110"/>
      <c r="G195" s="2645"/>
      <c r="H195" s="2645"/>
      <c r="I195" s="2645"/>
      <c r="J195" s="2645"/>
      <c r="K195" s="2648"/>
      <c r="L195" s="2645"/>
      <c r="M195" s="2645"/>
      <c r="N195" s="2645"/>
      <c r="O195" s="2645"/>
      <c r="P195" s="2645"/>
      <c r="Q195" s="873"/>
      <c r="R195" s="3383"/>
      <c r="S195" s="3384"/>
      <c r="T195" s="3384"/>
      <c r="U195" s="3384"/>
      <c r="V195" s="3385"/>
    </row>
    <row r="196" spans="2:22" ht="13.5" customHeight="1">
      <c r="B196" s="110" t="s">
        <v>740</v>
      </c>
      <c r="C196" s="3435"/>
      <c r="D196" s="3436"/>
      <c r="E196" s="3436"/>
      <c r="F196" s="3437"/>
      <c r="G196" s="2646"/>
      <c r="H196" s="2646"/>
      <c r="I196" s="2646"/>
      <c r="J196" s="2646"/>
      <c r="K196" s="2647"/>
      <c r="L196" s="2646"/>
      <c r="M196" s="2646"/>
      <c r="N196" s="2646"/>
      <c r="O196" s="2646"/>
      <c r="P196" s="2646"/>
      <c r="Q196" s="873"/>
      <c r="R196" s="3388"/>
      <c r="S196" s="3389"/>
      <c r="T196" s="3389"/>
      <c r="U196" s="3389"/>
      <c r="V196" s="3390"/>
    </row>
    <row r="197" spans="2:22" ht="13.5" customHeight="1">
      <c r="B197" s="110"/>
      <c r="C197" s="110" t="s">
        <v>927</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392"/>
      <c r="S197" s="3393"/>
      <c r="T197" s="3393"/>
      <c r="U197" s="3393"/>
      <c r="V197" s="3394"/>
    </row>
    <row r="198" spans="2:22" ht="13.5" customHeight="1">
      <c r="B198" s="922" t="s">
        <v>3669</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532</v>
      </c>
      <c r="C199" s="110"/>
      <c r="D199" s="110"/>
      <c r="E199" s="110"/>
      <c r="F199" s="110"/>
      <c r="G199" s="2645"/>
      <c r="H199" s="2645"/>
      <c r="I199" s="2645"/>
      <c r="J199" s="2645"/>
      <c r="K199" s="2648"/>
      <c r="L199" s="2645"/>
      <c r="M199" s="2645"/>
      <c r="N199" s="2645"/>
      <c r="O199" s="2645"/>
      <c r="P199" s="2645"/>
      <c r="Q199" s="873"/>
      <c r="R199" s="3383"/>
      <c r="S199" s="3384"/>
      <c r="T199" s="3384"/>
      <c r="U199" s="3384"/>
      <c r="V199" s="3385"/>
    </row>
    <row r="200" spans="2:22" ht="13.5" customHeight="1">
      <c r="B200" s="110" t="s">
        <v>740</v>
      </c>
      <c r="C200" s="3435"/>
      <c r="D200" s="3436"/>
      <c r="E200" s="3436"/>
      <c r="F200" s="3437"/>
      <c r="G200" s="2646"/>
      <c r="H200" s="2646"/>
      <c r="I200" s="2646"/>
      <c r="J200" s="2646"/>
      <c r="K200" s="2647"/>
      <c r="L200" s="2646"/>
      <c r="M200" s="2646"/>
      <c r="N200" s="2646"/>
      <c r="O200" s="2646"/>
      <c r="P200" s="2646"/>
      <c r="Q200" s="873"/>
      <c r="R200" s="3388"/>
      <c r="S200" s="3389"/>
      <c r="T200" s="3389"/>
      <c r="U200" s="3389"/>
      <c r="V200" s="3390"/>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392"/>
      <c r="S201" s="3393"/>
      <c r="T201" s="3393"/>
      <c r="U201" s="3393"/>
      <c r="V201" s="3394"/>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2285</v>
      </c>
      <c r="C203" s="89"/>
      <c r="D203" s="89"/>
      <c r="E203" s="89"/>
      <c r="F203" s="89"/>
      <c r="G203" s="919">
        <v>31</v>
      </c>
      <c r="H203" s="919">
        <v>32</v>
      </c>
      <c r="I203" s="919">
        <v>33</v>
      </c>
      <c r="J203" s="919">
        <v>34</v>
      </c>
      <c r="K203" s="919">
        <v>35</v>
      </c>
      <c r="L203" s="89"/>
      <c r="M203" s="89"/>
      <c r="N203" s="89"/>
      <c r="O203" s="89"/>
      <c r="P203" s="89"/>
      <c r="R203" s="138" t="s">
        <v>2622</v>
      </c>
      <c r="S203" s="94" t="str">
        <f>B203</f>
        <v>Included in Mgt Fee:</v>
      </c>
    </row>
    <row r="204" spans="2:22" ht="13.5" customHeight="1">
      <c r="B204" s="110" t="s">
        <v>1016</v>
      </c>
      <c r="C204" s="110"/>
      <c r="D204" s="110"/>
      <c r="E204" s="110"/>
      <c r="F204" s="110"/>
      <c r="G204" s="2645"/>
      <c r="H204" s="2645"/>
      <c r="I204" s="2645"/>
      <c r="J204" s="2645"/>
      <c r="K204" s="2648"/>
      <c r="L204" s="89"/>
      <c r="M204" s="89"/>
      <c r="N204" s="89"/>
      <c r="O204" s="89"/>
      <c r="P204" s="89"/>
      <c r="Q204" s="7"/>
      <c r="R204" s="3383"/>
      <c r="S204" s="3384"/>
      <c r="T204" s="3384"/>
      <c r="U204" s="3384"/>
      <c r="V204" s="3385"/>
    </row>
    <row r="205" spans="2:22" ht="13.5" customHeight="1">
      <c r="B205" s="110" t="s">
        <v>740</v>
      </c>
      <c r="C205" s="3435"/>
      <c r="D205" s="3436"/>
      <c r="E205" s="3436"/>
      <c r="F205" s="3437"/>
      <c r="G205" s="2646"/>
      <c r="H205" s="2646"/>
      <c r="I205" s="2646"/>
      <c r="J205" s="2646"/>
      <c r="K205" s="2647"/>
      <c r="L205" s="89"/>
      <c r="M205" s="89"/>
      <c r="N205" s="89"/>
      <c r="O205" s="89"/>
      <c r="P205" s="89"/>
      <c r="Q205" s="7"/>
      <c r="R205" s="3388"/>
      <c r="S205" s="3389"/>
      <c r="T205" s="3389"/>
      <c r="U205" s="3389"/>
      <c r="V205" s="3390"/>
    </row>
    <row r="206" spans="2:22" ht="13.5" customHeight="1">
      <c r="B206" s="110"/>
      <c r="C206" s="110" t="s">
        <v>927</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392"/>
      <c r="S206" s="3393"/>
      <c r="T206" s="3393"/>
      <c r="U206" s="3393"/>
      <c r="V206" s="3394"/>
    </row>
    <row r="207" spans="2:22" ht="13.5" customHeight="1">
      <c r="B207" s="922" t="s">
        <v>3669</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532</v>
      </c>
      <c r="C208" s="110"/>
      <c r="D208" s="110"/>
      <c r="E208" s="110"/>
      <c r="F208" s="110"/>
      <c r="G208" s="2645"/>
      <c r="H208" s="2645"/>
      <c r="I208" s="2645"/>
      <c r="J208" s="2645"/>
      <c r="K208" s="2648"/>
      <c r="L208" s="89"/>
      <c r="M208" s="89"/>
      <c r="N208" s="89"/>
      <c r="O208" s="89"/>
      <c r="P208" s="89"/>
      <c r="Q208" s="7"/>
      <c r="R208" s="3383"/>
      <c r="S208" s="3384"/>
      <c r="T208" s="3384"/>
      <c r="U208" s="3384"/>
      <c r="V208" s="3385"/>
    </row>
    <row r="209" spans="1:492" ht="13.5" customHeight="1">
      <c r="B209" s="110" t="s">
        <v>740</v>
      </c>
      <c r="C209" s="3435"/>
      <c r="D209" s="3436"/>
      <c r="E209" s="3436"/>
      <c r="F209" s="3437"/>
      <c r="G209" s="2646"/>
      <c r="H209" s="2646"/>
      <c r="I209" s="2646"/>
      <c r="J209" s="2646"/>
      <c r="K209" s="2647"/>
      <c r="L209" s="89"/>
      <c r="M209" s="89"/>
      <c r="N209" s="89"/>
      <c r="O209" s="89"/>
      <c r="P209" s="89"/>
      <c r="Q209" s="7"/>
      <c r="R209" s="3388"/>
      <c r="S209" s="3389"/>
      <c r="T209" s="3389"/>
      <c r="U209" s="3389"/>
      <c r="V209" s="3390"/>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392"/>
      <c r="S210" s="3393"/>
      <c r="T210" s="3393"/>
      <c r="U210" s="3393"/>
      <c r="V210" s="3394"/>
    </row>
    <row r="211" spans="1:492" ht="2.25" customHeight="1">
      <c r="B211" s="12"/>
      <c r="F211" s="33"/>
      <c r="G211" s="33"/>
      <c r="J211" s="15"/>
      <c r="P211" s="7"/>
      <c r="Q211" s="7"/>
    </row>
    <row r="212" spans="1:492" s="90" customFormat="1" ht="11.25" customHeight="1">
      <c r="A212" s="3" t="s">
        <v>1791</v>
      </c>
      <c r="B212" s="2289" t="s">
        <v>1018</v>
      </c>
      <c r="C212" s="2289"/>
      <c r="D212" s="2289"/>
      <c r="E212" s="2289"/>
      <c r="F212" s="2289"/>
      <c r="G212" s="2289"/>
      <c r="H212" s="2289"/>
      <c r="I212" s="2289"/>
      <c r="J212" s="2289"/>
      <c r="K212" s="2289"/>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9"/>
      <c r="C213" s="2289"/>
      <c r="D213" s="2289"/>
      <c r="E213" s="2289"/>
      <c r="F213" s="2289"/>
      <c r="G213" s="2289"/>
      <c r="H213" s="2289"/>
      <c r="I213" s="2289"/>
      <c r="J213" s="2289"/>
      <c r="K213" s="1"/>
      <c r="L213" s="1"/>
      <c r="M213" s="1"/>
      <c r="N213" s="1"/>
      <c r="O213" s="1"/>
      <c r="P213" s="1"/>
      <c r="Q213" s="1"/>
      <c r="R213" s="88" t="s">
        <v>1844</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1289</v>
      </c>
      <c r="C214" s="1"/>
      <c r="D214" s="1"/>
      <c r="E214" s="1"/>
      <c r="F214" s="26"/>
      <c r="G214" s="26"/>
      <c r="H214" s="1"/>
      <c r="I214" s="9" t="s">
        <v>1376</v>
      </c>
      <c r="J214" s="1"/>
      <c r="K214" s="1"/>
      <c r="L214" s="1"/>
      <c r="M214" s="1"/>
      <c r="N214" s="9" t="s">
        <v>1375</v>
      </c>
      <c r="O214" s="1"/>
      <c r="P214" s="1"/>
      <c r="Q214" s="1"/>
      <c r="R214" s="3383"/>
      <c r="S214" s="3384"/>
      <c r="T214" s="3384"/>
      <c r="U214" s="3384"/>
      <c r="V214" s="3385"/>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2195</v>
      </c>
      <c r="C215" s="1"/>
      <c r="D215" s="1"/>
      <c r="E215" s="1"/>
      <c r="F215" s="3438">
        <v>15600</v>
      </c>
      <c r="G215" s="3439"/>
      <c r="H215" s="1"/>
      <c r="I215" s="1" t="s">
        <v>1377</v>
      </c>
      <c r="J215" s="1"/>
      <c r="K215" s="3438"/>
      <c r="L215" s="3439"/>
      <c r="M215" s="1"/>
      <c r="N215" s="1" t="s">
        <v>928</v>
      </c>
      <c r="O215" s="1"/>
      <c r="P215" s="2649">
        <v>22000</v>
      </c>
      <c r="Q215" s="873"/>
      <c r="R215" s="3388"/>
      <c r="S215" s="3389"/>
      <c r="T215" s="3389"/>
      <c r="U215" s="3389"/>
      <c r="V215" s="3390"/>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1366</v>
      </c>
      <c r="C216" s="1"/>
      <c r="D216" s="1"/>
      <c r="E216" s="1"/>
      <c r="F216" s="3427">
        <v>13728</v>
      </c>
      <c r="G216" s="3405"/>
      <c r="H216" s="1"/>
      <c r="I216" s="1" t="s">
        <v>1378</v>
      </c>
      <c r="J216" s="1"/>
      <c r="K216" s="3409"/>
      <c r="L216" s="3410"/>
      <c r="M216" s="1"/>
      <c r="N216" s="1" t="s">
        <v>147</v>
      </c>
      <c r="O216" s="1"/>
      <c r="P216" s="2650">
        <v>15000</v>
      </c>
      <c r="Q216" s="873"/>
      <c r="R216" s="3388"/>
      <c r="S216" s="3389"/>
      <c r="T216" s="3389"/>
      <c r="U216" s="3389"/>
      <c r="V216" s="3390"/>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1238</v>
      </c>
      <c r="C217" s="1"/>
      <c r="D217" s="1"/>
      <c r="E217" s="1"/>
      <c r="F217" s="3427"/>
      <c r="G217" s="3405"/>
      <c r="H217" s="1"/>
      <c r="I217" s="1"/>
      <c r="J217" s="122" t="s">
        <v>191</v>
      </c>
      <c r="K217" s="3417">
        <f>SUM(K215:L216)</f>
        <v>0</v>
      </c>
      <c r="L217" s="3418"/>
      <c r="M217" s="1"/>
      <c r="N217" s="3428" t="s">
        <v>5254</v>
      </c>
      <c r="O217" s="3429"/>
      <c r="P217" s="2651">
        <v>4220</v>
      </c>
      <c r="Q217" s="873"/>
      <c r="R217" s="3388"/>
      <c r="S217" s="3389"/>
      <c r="T217" s="3389"/>
      <c r="U217" s="3389"/>
      <c r="V217" s="3390"/>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06" t="s">
        <v>51</v>
      </c>
      <c r="C218" s="3407"/>
      <c r="D218" s="3407"/>
      <c r="E218" s="3408"/>
      <c r="F218" s="3409"/>
      <c r="G218" s="3410"/>
      <c r="H218" s="1"/>
      <c r="I218" s="1"/>
      <c r="J218" s="1"/>
      <c r="K218" s="1"/>
      <c r="L218" s="1"/>
      <c r="M218" s="1"/>
      <c r="N218" s="10" t="s">
        <v>191</v>
      </c>
      <c r="O218" s="1"/>
      <c r="P218" s="405">
        <f>SUM(P215:P217)</f>
        <v>41220</v>
      </c>
      <c r="Q218" s="873"/>
      <c r="R218" s="3388"/>
      <c r="S218" s="3389"/>
      <c r="T218" s="3389"/>
      <c r="U218" s="3389"/>
      <c r="V218" s="3390"/>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17">
        <f>SUM(F215:G218)</f>
        <v>29328</v>
      </c>
      <c r="G219" s="3418"/>
      <c r="H219" s="1"/>
      <c r="I219" s="1"/>
      <c r="J219" s="11"/>
      <c r="K219" s="1"/>
      <c r="L219" s="1"/>
      <c r="M219" s="1"/>
      <c r="N219" s="1"/>
      <c r="O219" s="1"/>
      <c r="P219" s="1"/>
      <c r="Q219" s="1"/>
      <c r="R219" s="3388"/>
      <c r="S219" s="3389"/>
      <c r="T219" s="3389"/>
      <c r="U219" s="3389"/>
      <c r="V219" s="3390"/>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388"/>
      <c r="S220" s="3389"/>
      <c r="T220" s="3389"/>
      <c r="U220" s="3389"/>
      <c r="V220" s="3390"/>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1290</v>
      </c>
      <c r="C221" s="1"/>
      <c r="D221" s="8"/>
      <c r="E221" s="1"/>
      <c r="F221" s="1"/>
      <c r="G221" s="1"/>
      <c r="H221" s="1"/>
      <c r="I221" s="9" t="s">
        <v>1291</v>
      </c>
      <c r="J221" s="1"/>
      <c r="K221" s="1"/>
      <c r="L221" s="1"/>
      <c r="M221" s="1"/>
      <c r="N221" s="9" t="s">
        <v>1379</v>
      </c>
      <c r="O221" s="1"/>
      <c r="P221" s="404">
        <f>IF(OR('Part VII-Pro Forma'!$B$21 = "Choose Mgt Fee",'Part VII-Pro Forma'!$B$21 = "Choose One!"), 0,- 'Part VII-Pro Forma'!$B$21)</f>
        <v>14510</v>
      </c>
      <c r="Q221" s="874"/>
      <c r="R221" s="3388"/>
      <c r="S221" s="3389"/>
      <c r="T221" s="3389"/>
      <c r="U221" s="3389"/>
      <c r="V221" s="3390"/>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1371</v>
      </c>
      <c r="C222" s="1"/>
      <c r="D222" s="8"/>
      <c r="E222" s="1"/>
      <c r="F222" s="3438">
        <v>3000</v>
      </c>
      <c r="G222" s="3439"/>
      <c r="H222" s="1"/>
      <c r="I222" s="1" t="s">
        <v>1601</v>
      </c>
      <c r="J222" s="1"/>
      <c r="K222" s="3421">
        <v>1250</v>
      </c>
      <c r="L222" s="3422"/>
      <c r="M222" s="1"/>
      <c r="N222" s="393">
        <f>+P221/(O67*0.93)</f>
        <v>390.05376344086017</v>
      </c>
      <c r="O222" s="66" t="s">
        <v>2754</v>
      </c>
      <c r="P222" s="1"/>
      <c r="Q222" s="1"/>
      <c r="R222" s="3388"/>
      <c r="S222" s="3389"/>
      <c r="T222" s="3389"/>
      <c r="U222" s="3389"/>
      <c r="V222" s="3390"/>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1372</v>
      </c>
      <c r="C223" s="1"/>
      <c r="D223" s="8"/>
      <c r="E223" s="1"/>
      <c r="F223" s="3427">
        <v>1200</v>
      </c>
      <c r="G223" s="3405"/>
      <c r="H223" s="1"/>
      <c r="I223" s="1" t="s">
        <v>2048</v>
      </c>
      <c r="J223" s="1"/>
      <c r="K223" s="3425">
        <v>5200</v>
      </c>
      <c r="L223" s="3426"/>
      <c r="M223" s="1"/>
      <c r="N223" s="393">
        <f>+P221/(O67*0.93)/12</f>
        <v>32.50448028673835</v>
      </c>
      <c r="O223" s="66" t="s">
        <v>2755</v>
      </c>
      <c r="P223" s="1"/>
      <c r="Q223" s="1"/>
      <c r="R223" s="3388"/>
      <c r="S223" s="3389"/>
      <c r="T223" s="3389"/>
      <c r="U223" s="3389"/>
      <c r="V223" s="3390"/>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1373</v>
      </c>
      <c r="C224" s="1"/>
      <c r="D224" s="8"/>
      <c r="E224" s="1"/>
      <c r="F224" s="3427">
        <v>500</v>
      </c>
      <c r="G224" s="3405"/>
      <c r="H224" s="1"/>
      <c r="I224" s="1" t="s">
        <v>1602</v>
      </c>
      <c r="J224" s="1"/>
      <c r="K224" s="3425">
        <v>300</v>
      </c>
      <c r="L224" s="3426"/>
      <c r="M224" s="1"/>
      <c r="N224" s="35" t="s">
        <v>3726</v>
      </c>
      <c r="O224" s="972"/>
      <c r="P224" s="972"/>
      <c r="Q224" s="2301"/>
      <c r="R224" s="3388"/>
      <c r="S224" s="3389"/>
      <c r="T224" s="3389"/>
      <c r="U224" s="3389"/>
      <c r="V224" s="3390"/>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2340</v>
      </c>
      <c r="C225" s="1"/>
      <c r="D225" s="8"/>
      <c r="E225" s="1"/>
      <c r="F225" s="3427"/>
      <c r="G225" s="3405"/>
      <c r="H225" s="1"/>
      <c r="I225" s="3428" t="s">
        <v>5241</v>
      </c>
      <c r="J225" s="3429"/>
      <c r="K225" s="3430">
        <v>2800</v>
      </c>
      <c r="L225" s="3431"/>
      <c r="M225" s="1"/>
      <c r="N225" s="972"/>
      <c r="O225" s="972"/>
      <c r="P225" s="972"/>
      <c r="Q225" s="2301"/>
      <c r="R225" s="3388"/>
      <c r="S225" s="3389"/>
      <c r="T225" s="3389"/>
      <c r="U225" s="3389"/>
      <c r="V225" s="3390"/>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1599</v>
      </c>
      <c r="C226" s="1"/>
      <c r="D226" s="8"/>
      <c r="E226" s="1"/>
      <c r="F226" s="3427">
        <v>800</v>
      </c>
      <c r="G226" s="3405"/>
      <c r="H226" s="1"/>
      <c r="I226" s="9"/>
      <c r="J226" s="10" t="s">
        <v>191</v>
      </c>
      <c r="K226" s="3432">
        <f>SUM(K222:K225)</f>
        <v>9550</v>
      </c>
      <c r="L226" s="3433"/>
      <c r="M226" s="3434" t="str">
        <f>IF(P228="","",IF(P226&lt;P228, "WARNING! OE below required minimum.",""))</f>
        <v/>
      </c>
      <c r="N226" s="9" t="s">
        <v>2185</v>
      </c>
      <c r="O226" s="4"/>
      <c r="P226" s="403">
        <f>F219+F228+F239+K217+K226+K236+P218+P221</f>
        <v>159133</v>
      </c>
      <c r="R226" s="3388"/>
      <c r="S226" s="3389"/>
      <c r="T226" s="3389"/>
      <c r="U226" s="3389"/>
      <c r="V226" s="3390"/>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06" t="s">
        <v>51</v>
      </c>
      <c r="C227" s="3407"/>
      <c r="D227" s="3407"/>
      <c r="E227" s="3408"/>
      <c r="F227" s="3409"/>
      <c r="G227" s="3410"/>
      <c r="H227" s="1"/>
      <c r="I227" s="1"/>
      <c r="J227" s="11"/>
      <c r="K227" s="1"/>
      <c r="L227" s="1"/>
      <c r="M227" s="3434"/>
      <c r="N227" s="66" t="s">
        <v>2756</v>
      </c>
      <c r="O227" s="393">
        <f>+P226/O67</f>
        <v>3978.3249999999998</v>
      </c>
      <c r="Q227" s="873"/>
      <c r="R227" s="3388"/>
      <c r="S227" s="3389"/>
      <c r="T227" s="3389"/>
      <c r="U227" s="3389"/>
      <c r="V227" s="3390"/>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17">
        <f>SUM(F222:G227)</f>
        <v>5500</v>
      </c>
      <c r="G228" s="3418"/>
      <c r="H228" s="1"/>
      <c r="I228" s="1"/>
      <c r="J228" s="11"/>
      <c r="K228" s="1"/>
      <c r="L228" s="1"/>
      <c r="M228" s="3434"/>
      <c r="O228" s="973" t="s">
        <v>3727</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150000</v>
      </c>
      <c r="R228" s="3388"/>
      <c r="S228" s="3389"/>
      <c r="T228" s="3389"/>
      <c r="U228" s="3389"/>
      <c r="V228" s="3390"/>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34"/>
      <c r="N229" s="1"/>
      <c r="O229" s="1"/>
      <c r="P229" s="4"/>
      <c r="Q229" s="4"/>
      <c r="R229" s="3388"/>
      <c r="S229" s="3389"/>
      <c r="T229" s="3389"/>
      <c r="U229" s="3389"/>
      <c r="V229" s="3390"/>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1292</v>
      </c>
      <c r="C230" s="1"/>
      <c r="D230" s="8"/>
      <c r="E230" s="1"/>
      <c r="F230" s="1"/>
      <c r="G230" s="1"/>
      <c r="H230" s="1"/>
      <c r="I230" s="9" t="s">
        <v>1374</v>
      </c>
      <c r="J230" s="2273" t="s">
        <v>5012</v>
      </c>
      <c r="K230" s="1"/>
      <c r="L230" s="1"/>
      <c r="M230" s="1"/>
      <c r="N230" s="9" t="s">
        <v>3479</v>
      </c>
      <c r="O230" s="9"/>
      <c r="P230" s="2652">
        <f>P239</f>
        <v>14000</v>
      </c>
      <c r="Q230" s="874"/>
      <c r="R230" s="3388"/>
      <c r="S230" s="3389"/>
      <c r="T230" s="3389"/>
      <c r="U230" s="3389"/>
      <c r="V230" s="3390"/>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1603</v>
      </c>
      <c r="C231" s="1"/>
      <c r="D231" s="8"/>
      <c r="E231" s="1"/>
      <c r="F231" s="3419">
        <v>3625</v>
      </c>
      <c r="G231" s="3420"/>
      <c r="H231" s="1"/>
      <c r="I231" s="1" t="s">
        <v>1367</v>
      </c>
      <c r="J231" s="460">
        <f>K231/12/O67</f>
        <v>15</v>
      </c>
      <c r="K231" s="3421">
        <v>7200</v>
      </c>
      <c r="L231" s="3422"/>
      <c r="M231" s="3413" t="str">
        <f>IF(P230&lt;P239, "WARNING! RR proposed is below the DCA required minimum.","")</f>
        <v/>
      </c>
      <c r="N231" s="995" t="s">
        <v>5011</v>
      </c>
      <c r="O231" s="990"/>
      <c r="P231" s="996">
        <f>P230/O239</f>
        <v>350</v>
      </c>
      <c r="Q231" s="2653"/>
      <c r="R231" s="3388"/>
      <c r="S231" s="3389"/>
      <c r="T231" s="3389"/>
      <c r="U231" s="3389"/>
      <c r="V231" s="3390"/>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1604</v>
      </c>
      <c r="C232" s="1"/>
      <c r="D232" s="8"/>
      <c r="E232" s="1"/>
      <c r="F232" s="3423">
        <v>9000</v>
      </c>
      <c r="G232" s="3424"/>
      <c r="H232" s="1"/>
      <c r="I232" s="1" t="s">
        <v>1368</v>
      </c>
      <c r="J232" s="460">
        <f>K232/12/O67</f>
        <v>0</v>
      </c>
      <c r="K232" s="3425"/>
      <c r="L232" s="3426"/>
      <c r="M232" s="3413"/>
      <c r="N232" s="3414" t="s">
        <v>3734</v>
      </c>
      <c r="O232" s="3415"/>
      <c r="P232" s="3416"/>
      <c r="R232" s="3388"/>
      <c r="S232" s="3389"/>
      <c r="T232" s="3389"/>
      <c r="U232" s="3389"/>
      <c r="V232" s="3390"/>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1605</v>
      </c>
      <c r="C233" s="1"/>
      <c r="D233" s="8"/>
      <c r="E233" s="1"/>
      <c r="F233" s="3423">
        <v>7000</v>
      </c>
      <c r="G233" s="3424"/>
      <c r="H233" s="1"/>
      <c r="I233" s="1" t="s">
        <v>2351</v>
      </c>
      <c r="J233" s="460">
        <f>K233/12/O67</f>
        <v>33.333333333333329</v>
      </c>
      <c r="K233" s="3425">
        <v>16000</v>
      </c>
      <c r="L233" s="3426"/>
      <c r="M233" s="3413"/>
      <c r="N233" s="989" t="s">
        <v>2713</v>
      </c>
      <c r="O233" s="870" t="s">
        <v>3846</v>
      </c>
      <c r="P233" s="991" t="s">
        <v>3436</v>
      </c>
      <c r="Q233" s="870"/>
      <c r="R233" s="3388"/>
      <c r="S233" s="3389"/>
      <c r="T233" s="3389"/>
      <c r="U233" s="3389"/>
      <c r="V233" s="3390"/>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1002</v>
      </c>
      <c r="C234" s="1"/>
      <c r="D234" s="8"/>
      <c r="E234" s="1"/>
      <c r="F234" s="3427">
        <v>3800</v>
      </c>
      <c r="G234" s="3405"/>
      <c r="H234" s="1"/>
      <c r="I234" s="1" t="s">
        <v>1370</v>
      </c>
      <c r="J234" s="1"/>
      <c r="K234" s="3425">
        <v>3000</v>
      </c>
      <c r="L234" s="3426"/>
      <c r="M234" s="3413"/>
      <c r="N234" s="627" t="s">
        <v>39</v>
      </c>
      <c r="O234" s="628"/>
      <c r="P234" s="629"/>
      <c r="Q234" s="628"/>
      <c r="R234" s="3388"/>
      <c r="S234" s="3389"/>
      <c r="T234" s="3389"/>
      <c r="U234" s="3389"/>
      <c r="V234" s="3390"/>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1003</v>
      </c>
      <c r="C235" s="1"/>
      <c r="D235" s="8"/>
      <c r="E235" s="1"/>
      <c r="F235" s="3427">
        <v>5200</v>
      </c>
      <c r="G235" s="3405"/>
      <c r="H235" s="1"/>
      <c r="I235" s="3428" t="s">
        <v>51</v>
      </c>
      <c r="J235" s="3429"/>
      <c r="K235" s="3430"/>
      <c r="L235" s="3431"/>
      <c r="M235" s="3413"/>
      <c r="N235" s="492" t="s">
        <v>3428</v>
      </c>
      <c r="O235" s="876" t="str">
        <f>CONCATENATE(SUM(ME48:MI48)," units x $",'DCA Underwriting Assumptions'!$Q$64," =")</f>
        <v>40 units x $350 =</v>
      </c>
      <c r="P235" s="630">
        <f>SUM(ME48:MI48)*'DCA Underwriting Assumptions'!$Q$64</f>
        <v>14000</v>
      </c>
      <c r="Q235" s="876"/>
      <c r="R235" s="3388"/>
      <c r="S235" s="3389"/>
      <c r="T235" s="3389"/>
      <c r="U235" s="3389"/>
      <c r="V235" s="3390"/>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1004</v>
      </c>
      <c r="C236" s="1"/>
      <c r="D236" s="8"/>
      <c r="E236" s="1"/>
      <c r="F236" s="3427"/>
      <c r="G236" s="3405"/>
      <c r="H236" s="1"/>
      <c r="I236" s="1"/>
      <c r="J236" s="10" t="s">
        <v>191</v>
      </c>
      <c r="K236" s="3432">
        <f>SUM(K231:K235)</f>
        <v>26200</v>
      </c>
      <c r="L236" s="3433"/>
      <c r="M236" s="3413"/>
      <c r="N236" s="492" t="s">
        <v>3427</v>
      </c>
      <c r="O236" s="876" t="str">
        <f>CONCATENATE(SUM(MJ48:MN48)," units x $",'DCA Underwriting Assumptions'!$Q$65," =")</f>
        <v>0 units x $250 =</v>
      </c>
      <c r="P236" s="630">
        <f>SUM(MJ48:MN48)*'DCA Underwriting Assumptions'!$Q$65</f>
        <v>0</v>
      </c>
      <c r="Q236" s="876"/>
      <c r="R236" s="3388"/>
      <c r="S236" s="3389"/>
      <c r="T236" s="3389"/>
      <c r="U236" s="3389"/>
      <c r="V236" s="3390"/>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867</v>
      </c>
      <c r="C237" s="1"/>
      <c r="D237" s="8"/>
      <c r="E237" s="1"/>
      <c r="F237" s="3404">
        <v>1000</v>
      </c>
      <c r="G237" s="3405"/>
      <c r="H237" s="1"/>
      <c r="I237" s="1"/>
      <c r="J237" s="11"/>
      <c r="K237" s="1"/>
      <c r="L237" s="1"/>
      <c r="M237" s="3413"/>
      <c r="N237" s="631" t="s">
        <v>3431</v>
      </c>
      <c r="O237" s="876" t="str">
        <f>CONCATENATE(SUM(MO48:MS48)," units x $",'DCA Underwriting Assumptions'!$Q$66," =")</f>
        <v>0 units x $420 =</v>
      </c>
      <c r="P237" s="630">
        <f>SUM(MO48:MS48)*'DCA Underwriting Assumptions'!$Q$66</f>
        <v>0</v>
      </c>
      <c r="Q237" s="876"/>
      <c r="R237" s="3388"/>
      <c r="S237" s="3389"/>
      <c r="T237" s="3389"/>
      <c r="U237" s="3389"/>
      <c r="V237" s="3390"/>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06" t="s">
        <v>5253</v>
      </c>
      <c r="C238" s="3407"/>
      <c r="D238" s="3407"/>
      <c r="E238" s="3408"/>
      <c r="F238" s="3409">
        <v>3200</v>
      </c>
      <c r="G238" s="3410"/>
      <c r="H238" s="1"/>
      <c r="I238" s="1"/>
      <c r="J238" s="11"/>
      <c r="K238" s="1"/>
      <c r="L238" s="1"/>
      <c r="M238" s="1"/>
      <c r="N238" s="631" t="s">
        <v>3426</v>
      </c>
      <c r="O238" s="876" t="str">
        <f>CONCATENATE(O113," units x $",'DCA Underwriting Assumptions'!$Q$66," =")</f>
        <v>0 units x $420 =</v>
      </c>
      <c r="P238" s="630">
        <f>O113*'DCA Underwriting Assumptions'!$Q$66</f>
        <v>0</v>
      </c>
      <c r="Q238" s="876"/>
      <c r="R238" s="3388"/>
      <c r="S238" s="3389"/>
      <c r="T238" s="3389"/>
      <c r="U238" s="3389"/>
      <c r="V238" s="3390"/>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11">
        <f>SUM(F231:G238)</f>
        <v>32825</v>
      </c>
      <c r="G239" s="3412"/>
      <c r="H239" s="1"/>
      <c r="I239" s="1"/>
      <c r="J239" s="11"/>
      <c r="K239" s="1"/>
      <c r="L239" s="1"/>
      <c r="M239" s="1"/>
      <c r="N239" s="992" t="s">
        <v>2716</v>
      </c>
      <c r="O239" s="993">
        <f>SUM(ME48:MI48)+SUM(MJ48:MN48)+SUM(MO48:MS48)+O113</f>
        <v>40</v>
      </c>
      <c r="P239" s="994">
        <f>SUM(P235:P238)</f>
        <v>14000</v>
      </c>
      <c r="Q239" s="876"/>
      <c r="R239" s="3392"/>
      <c r="S239" s="3393"/>
      <c r="T239" s="3393"/>
      <c r="U239" s="3393"/>
      <c r="V239" s="3394"/>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2186</v>
      </c>
      <c r="O241" s="1"/>
      <c r="P241" s="403">
        <f>P226+P230</f>
        <v>173133</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1793</v>
      </c>
      <c r="B243" s="9" t="s">
        <v>4997</v>
      </c>
      <c r="C243" s="10"/>
      <c r="D243" s="1"/>
      <c r="E243" s="1"/>
      <c r="F243" s="2163" t="s">
        <v>4998</v>
      </c>
      <c r="G243" s="11"/>
      <c r="H243" s="3464"/>
      <c r="I243" s="3465"/>
      <c r="J243" s="2248" t="s">
        <v>5073</v>
      </c>
      <c r="K243" s="2654"/>
      <c r="N243" s="9" t="s">
        <v>5001</v>
      </c>
      <c r="O243" s="1"/>
      <c r="P243" s="2655">
        <f>H243*K243</f>
        <v>0</v>
      </c>
      <c r="Q243" s="873"/>
      <c r="R243" s="3379"/>
      <c r="S243" s="3380"/>
      <c r="T243" s="3380"/>
      <c r="U243" s="3380"/>
      <c r="V243" s="3381"/>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5074</v>
      </c>
      <c r="C245" s="10"/>
      <c r="D245" s="1"/>
      <c r="E245" s="1"/>
      <c r="F245" s="11"/>
      <c r="G245" s="11"/>
      <c r="H245" s="1"/>
      <c r="I245" s="2581" t="s">
        <v>2991</v>
      </c>
      <c r="J245" s="2163" t="s">
        <v>5076</v>
      </c>
      <c r="K245" s="2581" t="s">
        <v>1770</v>
      </c>
      <c r="L245" s="72" t="s">
        <v>5077</v>
      </c>
      <c r="M245" s="2654"/>
      <c r="N245" s="469" t="s">
        <v>5075</v>
      </c>
      <c r="O245" s="1"/>
      <c r="P245" s="2656"/>
      <c r="Q245" s="873"/>
      <c r="R245" s="3379"/>
      <c r="S245" s="3380"/>
      <c r="T245" s="3380"/>
      <c r="U245" s="3380"/>
      <c r="V245" s="3381"/>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4103</v>
      </c>
      <c r="B247" s="12" t="s">
        <v>571</v>
      </c>
      <c r="M247" s="12" t="s">
        <v>4996</v>
      </c>
      <c r="N247" s="12"/>
    </row>
    <row r="248" spans="1:492" ht="408.75" customHeight="1">
      <c r="A248" s="3065" t="s">
        <v>5286</v>
      </c>
      <c r="B248" s="3065"/>
      <c r="C248" s="3065"/>
      <c r="D248" s="3065"/>
      <c r="E248" s="3065"/>
      <c r="F248" s="3065"/>
      <c r="G248" s="3065"/>
      <c r="H248" s="3065"/>
      <c r="I248" s="3065"/>
      <c r="J248" s="3065"/>
      <c r="K248" s="3065"/>
      <c r="L248" s="3065"/>
      <c r="M248" s="3064"/>
      <c r="N248" s="3064"/>
      <c r="O248" s="3064"/>
      <c r="P248" s="3064"/>
      <c r="Q248" s="3401" t="s">
        <v>4102</v>
      </c>
      <c r="R248" s="2765"/>
      <c r="S248" s="2765"/>
      <c r="T248" s="2765"/>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87"/>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87"/>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87"/>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leUvk64bYoqjdglyy0arVHtpLZ5zfxcius9HFXBUKrgJ2x748j5NOKerF/EFORrTFpu0etsCBo5oBobg7EqE9g==" saltValue="FFKv9mZHroa7AdFT9gJC8g==" spinCount="100000" sheet="1" object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5" fitToHeight="0" orientation="landscape" verticalDpi="3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18" zoomScaleNormal="100" workbookViewId="0">
      <selection activeCell="A118" sqref="A1:XFD1048576"/>
    </sheetView>
  </sheetViews>
  <sheetFormatPr defaultColWidth="8.6640625" defaultRowHeight="13.2"/>
  <cols>
    <col min="1" max="1" width="22.33203125" style="7" customWidth="1"/>
    <col min="2" max="11" width="12" style="7" customWidth="1"/>
    <col min="12" max="13" width="2.33203125" style="7" customWidth="1"/>
    <col min="14" max="14" width="19.33203125" style="7" customWidth="1"/>
    <col min="15" max="15" width="83" style="7" customWidth="1"/>
    <col min="16" max="16" width="8.6640625" style="7"/>
    <col min="17" max="17" width="5.33203125" style="7" customWidth="1"/>
    <col min="18" max="18" width="12.33203125" style="7" customWidth="1"/>
    <col min="19" max="19" width="12.44140625" style="7" customWidth="1"/>
    <col min="20" max="16384" width="8.6640625" style="7"/>
  </cols>
  <sheetData>
    <row r="1" spans="1:19" s="15" customFormat="1" ht="13.95" customHeight="1">
      <c r="A1" s="3480" t="str">
        <f>CONCATENATE("PART SEVEN - OPERATING PRO FORMA","  -  ",'Part I-Project Information'!$O$6," ",'Part I-Project Information'!$F$34,", ",'Part I-Project Information'!F38,", ",'Part I-Project Information'!J39," County")</f>
        <v>PART SEVEN - OPERATING PRO FORMA  -  2019-049 Woodstone Apartments II, Leesburg, Lee County</v>
      </c>
      <c r="B1" s="3481"/>
      <c r="C1" s="3481"/>
      <c r="D1" s="3481"/>
      <c r="E1" s="3481"/>
      <c r="F1" s="3481"/>
      <c r="G1" s="3481"/>
      <c r="H1" s="3481"/>
      <c r="I1" s="3481"/>
      <c r="J1" s="3481"/>
      <c r="K1" s="3482"/>
      <c r="L1" s="9"/>
      <c r="M1" s="9"/>
      <c r="N1" s="3483" t="str">
        <f>A1</f>
        <v>PART SEVEN - OPERATING PRO FORMA  -  2019-049 Woodstone Apartments II, Leesburg, Lee County</v>
      </c>
      <c r="O1" s="3483"/>
      <c r="P1" s="9"/>
    </row>
    <row r="2" spans="1:19" ht="13.5" customHeight="1">
      <c r="A2" s="489"/>
      <c r="B2" s="489"/>
      <c r="C2" s="489"/>
      <c r="D2" s="489"/>
      <c r="E2" s="489"/>
      <c r="F2" s="489"/>
      <c r="G2" s="489"/>
      <c r="H2" s="489"/>
      <c r="I2" s="489"/>
      <c r="J2" s="489"/>
      <c r="K2" s="489"/>
      <c r="N2" s="3484" t="s">
        <v>1844</v>
      </c>
      <c r="O2" s="3484"/>
    </row>
    <row r="3" spans="1:19" ht="13.5" customHeight="1">
      <c r="A3" s="12" t="s">
        <v>90</v>
      </c>
      <c r="C3" s="3485" t="str">
        <f>'Part I-Project Information'!$B$6</f>
        <v>April 2019 Final</v>
      </c>
      <c r="D3" s="1220" t="s">
        <v>80</v>
      </c>
      <c r="E3" s="217"/>
      <c r="F3" s="1221" t="s">
        <v>4178</v>
      </c>
      <c r="N3" s="12" t="str">
        <f>A3</f>
        <v>I.  OPERATING ASSUMPTIONS</v>
      </c>
      <c r="O3" s="30"/>
    </row>
    <row r="4" spans="1:19" ht="2.7" customHeight="1">
      <c r="A4" s="15"/>
      <c r="B4" s="15"/>
      <c r="C4" s="3485"/>
      <c r="H4" s="15"/>
      <c r="I4" s="15"/>
    </row>
    <row r="5" spans="1:19" ht="13.5" customHeight="1">
      <c r="A5" s="15" t="s">
        <v>2187</v>
      </c>
      <c r="B5" s="77">
        <v>0.02</v>
      </c>
      <c r="C5" s="3485"/>
      <c r="D5" s="3386" t="s">
        <v>4179</v>
      </c>
      <c r="E5" s="3386"/>
      <c r="F5" s="3386"/>
      <c r="G5" s="2657"/>
      <c r="H5" s="96" t="s">
        <v>1906</v>
      </c>
      <c r="K5" s="101">
        <f>IF(($B$14+$B$15+$B$16+$B$17)=0,"",B30/($B$14+$B$15+$B$16+$B$17))</f>
        <v>-2.1247655533688414E-2</v>
      </c>
      <c r="N5" s="3383"/>
      <c r="O5" s="3385"/>
    </row>
    <row r="6" spans="1:19">
      <c r="A6" s="15" t="s">
        <v>2188</v>
      </c>
      <c r="B6" s="77">
        <v>0.03</v>
      </c>
      <c r="C6" s="3485"/>
      <c r="D6" s="3386"/>
      <c r="E6" s="3386"/>
      <c r="F6" s="3386"/>
      <c r="G6" s="1222">
        <f>IF(OR('Part III-Sources of Funds'!E5="Yes",'Part III-Sources of Funds'!H5&gt;0),'DCA Underwriting Assumptions'!$Q$96,0)</f>
        <v>0</v>
      </c>
      <c r="H6" s="15"/>
      <c r="I6" s="15"/>
      <c r="J6" s="15"/>
      <c r="K6" s="15"/>
      <c r="N6" s="3388"/>
      <c r="O6" s="3390"/>
    </row>
    <row r="7" spans="1:19">
      <c r="A7" s="15" t="s">
        <v>2190</v>
      </c>
      <c r="B7" s="77">
        <v>0.03</v>
      </c>
      <c r="C7" s="3485"/>
      <c r="D7" s="79" t="s">
        <v>270</v>
      </c>
      <c r="G7" s="81"/>
      <c r="H7" s="96" t="s">
        <v>2373</v>
      </c>
      <c r="K7" s="101">
        <f>IF(($B$14+$B$15+$B$16+$B$17)=0,"",-B21/($B$14+$B$15+$B$16+$B$17))</f>
        <v>6.8511884843070858E-2</v>
      </c>
      <c r="N7" s="3388"/>
      <c r="O7" s="3390"/>
    </row>
    <row r="8" spans="1:19" ht="13.2" customHeight="1">
      <c r="A8" s="15" t="s">
        <v>2189</v>
      </c>
      <c r="B8" s="2658">
        <v>7.0000000000000007E-2</v>
      </c>
      <c r="C8" s="2154" t="str">
        <f>IF(B8&lt;0.07, "Must be &gt;= 7%!","")</f>
        <v/>
      </c>
      <c r="D8" s="78" t="s">
        <v>2507</v>
      </c>
      <c r="G8" s="2659" t="s">
        <v>2988</v>
      </c>
      <c r="H8" s="163" t="s">
        <v>1443</v>
      </c>
      <c r="K8" s="2660">
        <v>14510</v>
      </c>
      <c r="N8" s="3388"/>
      <c r="O8" s="3390"/>
    </row>
    <row r="9" spans="1:19">
      <c r="A9" s="15" t="s">
        <v>1417</v>
      </c>
      <c r="B9" s="77">
        <v>0.02</v>
      </c>
      <c r="D9" s="78" t="s">
        <v>1717</v>
      </c>
      <c r="G9" s="2661" t="s">
        <v>2991</v>
      </c>
      <c r="H9" s="163" t="s">
        <v>2355</v>
      </c>
      <c r="K9" s="2662"/>
      <c r="N9" s="3392"/>
      <c r="O9" s="3394"/>
    </row>
    <row r="10" spans="1:19" ht="9" customHeight="1"/>
    <row r="11" spans="1:19">
      <c r="A11" s="12" t="s">
        <v>91</v>
      </c>
      <c r="D11" s="1084"/>
      <c r="N11" s="12" t="str">
        <f>A11</f>
        <v>II.  OPERATING PRO FORMA</v>
      </c>
    </row>
    <row r="12" spans="1:19" ht="2.7" customHeight="1"/>
    <row r="13" spans="1:19" ht="14.7" customHeight="1">
      <c r="A13" s="12" t="s">
        <v>2479</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107" t="s">
        <v>2623</v>
      </c>
      <c r="O13" s="3107"/>
    </row>
    <row r="14" spans="1:19" ht="13.2" customHeight="1">
      <c r="A14" s="17" t="s">
        <v>2403</v>
      </c>
      <c r="B14" s="18">
        <f>'Part VI-Revenues &amp; Expenses'!$L$49</f>
        <v>218520</v>
      </c>
      <c r="C14" s="18">
        <f t="shared" ref="C14:K14" si="1">$B$14*(1+$B$5)^(C13-1)</f>
        <v>222890.4</v>
      </c>
      <c r="D14" s="18">
        <f t="shared" si="1"/>
        <v>227348.20799999998</v>
      </c>
      <c r="E14" s="18">
        <f t="shared" si="1"/>
        <v>231895.17215999999</v>
      </c>
      <c r="F14" s="18">
        <f t="shared" si="1"/>
        <v>236533.07560320001</v>
      </c>
      <c r="G14" s="18">
        <f t="shared" si="1"/>
        <v>241263.737115264</v>
      </c>
      <c r="H14" s="18">
        <f t="shared" si="1"/>
        <v>246089.0118575693</v>
      </c>
      <c r="I14" s="18">
        <f t="shared" si="1"/>
        <v>251010.79209472061</v>
      </c>
      <c r="J14" s="18">
        <f t="shared" si="1"/>
        <v>256031.00793661506</v>
      </c>
      <c r="K14" s="19">
        <f t="shared" si="1"/>
        <v>261151.62809534738</v>
      </c>
      <c r="N14" s="3383"/>
      <c r="O14" s="3385"/>
      <c r="S14" s="3476" t="s">
        <v>4184</v>
      </c>
    </row>
    <row r="15" spans="1:19" ht="13.2" customHeight="1">
      <c r="A15" s="20" t="s">
        <v>1015</v>
      </c>
      <c r="B15" s="21">
        <f>MIN(B14*B9,'Part VI-Revenues &amp; Expenses'!$H$173)</f>
        <v>4370.3999999999996</v>
      </c>
      <c r="C15" s="21">
        <f t="shared" ref="C15:K15" si="2">$B$15*(1+$B$5)^(C13-1)</f>
        <v>4457.808</v>
      </c>
      <c r="D15" s="21">
        <f t="shared" si="2"/>
        <v>4546.9641599999995</v>
      </c>
      <c r="E15" s="21">
        <f t="shared" si="2"/>
        <v>4637.9034431999989</v>
      </c>
      <c r="F15" s="21">
        <f t="shared" si="2"/>
        <v>4730.6615120639999</v>
      </c>
      <c r="G15" s="21">
        <f t="shared" si="2"/>
        <v>4825.2747423052797</v>
      </c>
      <c r="H15" s="21">
        <f t="shared" si="2"/>
        <v>4921.7802371513853</v>
      </c>
      <c r="I15" s="21">
        <f t="shared" si="2"/>
        <v>5020.2158418944118</v>
      </c>
      <c r="J15" s="21">
        <f t="shared" si="2"/>
        <v>5120.6201587323012</v>
      </c>
      <c r="K15" s="22">
        <f t="shared" si="2"/>
        <v>5223.0325619069472</v>
      </c>
      <c r="N15" s="3388"/>
      <c r="O15" s="3390"/>
      <c r="S15" s="3477"/>
    </row>
    <row r="16" spans="1:19" ht="13.2" customHeight="1">
      <c r="A16" s="20" t="s">
        <v>2404</v>
      </c>
      <c r="B16" s="21">
        <f t="shared" ref="B16:K16" si="3">-(B14+B15)*$B$8</f>
        <v>-15602.328000000001</v>
      </c>
      <c r="C16" s="21">
        <f t="shared" si="3"/>
        <v>-15914.37456</v>
      </c>
      <c r="D16" s="21">
        <f t="shared" si="3"/>
        <v>-16232.662051200001</v>
      </c>
      <c r="E16" s="21">
        <f t="shared" si="3"/>
        <v>-16557.315292224001</v>
      </c>
      <c r="F16" s="21">
        <f t="shared" si="3"/>
        <v>-16888.461598068483</v>
      </c>
      <c r="G16" s="21">
        <f t="shared" si="3"/>
        <v>-17226.23083002985</v>
      </c>
      <c r="H16" s="21">
        <f t="shared" si="3"/>
        <v>-17570.75544663045</v>
      </c>
      <c r="I16" s="21">
        <f t="shared" si="3"/>
        <v>-17922.170555563054</v>
      </c>
      <c r="J16" s="21">
        <f t="shared" si="3"/>
        <v>-18280.613966674318</v>
      </c>
      <c r="K16" s="22">
        <f t="shared" si="3"/>
        <v>-18646.226246007805</v>
      </c>
      <c r="N16" s="3388"/>
      <c r="O16" s="3390"/>
      <c r="Q16" s="3479" t="s">
        <v>3880</v>
      </c>
      <c r="R16" s="3479" t="s">
        <v>4183</v>
      </c>
      <c r="S16" s="3477"/>
    </row>
    <row r="17" spans="1:19" ht="13.2" customHeight="1">
      <c r="A17" s="20" t="s">
        <v>52</v>
      </c>
      <c r="B17" s="21">
        <f>+'Part VI-Revenues &amp; Expenses'!G179</f>
        <v>4500</v>
      </c>
      <c r="C17" s="21">
        <f>+'Part VI-Revenues &amp; Expenses'!H179</f>
        <v>4500</v>
      </c>
      <c r="D17" s="21">
        <f>+'Part VI-Revenues &amp; Expenses'!I179</f>
        <v>4500</v>
      </c>
      <c r="E17" s="21">
        <f>+'Part VI-Revenues &amp; Expenses'!J179</f>
        <v>4500</v>
      </c>
      <c r="F17" s="21">
        <f>+'Part VI-Revenues &amp; Expenses'!K179</f>
        <v>4500</v>
      </c>
      <c r="G17" s="21">
        <f>+'Part VI-Revenues &amp; Expenses'!L179</f>
        <v>4500</v>
      </c>
      <c r="H17" s="21">
        <f>+'Part VI-Revenues &amp; Expenses'!M179</f>
        <v>4500</v>
      </c>
      <c r="I17" s="21">
        <f>+'Part VI-Revenues &amp; Expenses'!N179</f>
        <v>4500</v>
      </c>
      <c r="J17" s="21">
        <f>+'Part VI-Revenues &amp; Expenses'!O179</f>
        <v>4500</v>
      </c>
      <c r="K17" s="22">
        <f>+'Part VI-Revenues &amp; Expenses'!P179</f>
        <v>4500</v>
      </c>
      <c r="N17" s="3388"/>
      <c r="O17" s="3390"/>
      <c r="Q17" s="3479"/>
      <c r="R17" s="3479"/>
      <c r="S17" s="3478"/>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388"/>
      <c r="O18" s="3390"/>
    </row>
    <row r="19" spans="1:19" ht="13.2" customHeight="1">
      <c r="A19" s="420" t="s">
        <v>4939</v>
      </c>
      <c r="B19" s="21">
        <f>SUM(B14:B18)</f>
        <v>211788.07199999999</v>
      </c>
      <c r="C19" s="21">
        <f t="shared" ref="C19:K19" si="4">SUM(C14:C18)</f>
        <v>215933.83343999999</v>
      </c>
      <c r="D19" s="21">
        <f t="shared" si="4"/>
        <v>220162.51010879999</v>
      </c>
      <c r="E19" s="21">
        <f t="shared" si="4"/>
        <v>224475.76031097598</v>
      </c>
      <c r="F19" s="21">
        <f t="shared" si="4"/>
        <v>228875.27551719552</v>
      </c>
      <c r="G19" s="21">
        <f t="shared" si="4"/>
        <v>233362.78102753943</v>
      </c>
      <c r="H19" s="21">
        <f t="shared" si="4"/>
        <v>237940.03664809026</v>
      </c>
      <c r="I19" s="21">
        <f t="shared" si="4"/>
        <v>242608.83738105197</v>
      </c>
      <c r="J19" s="21">
        <f t="shared" si="4"/>
        <v>247371.01412867306</v>
      </c>
      <c r="K19" s="22">
        <f t="shared" si="4"/>
        <v>252228.43441124653</v>
      </c>
      <c r="N19" s="3388"/>
      <c r="O19" s="3390"/>
    </row>
    <row r="20" spans="1:19" ht="13.2" customHeight="1">
      <c r="A20" s="20" t="s">
        <v>613</v>
      </c>
      <c r="B20" s="21">
        <f>-('Part VI-Revenues &amp; Expenses'!$P$226-'Part VI-Revenues &amp; Expenses'!$P$221)</f>
        <v>-144623</v>
      </c>
      <c r="C20" s="21">
        <f t="shared" ref="C20:K20" si="5">$B$20*(1+$B$6)^(C13-1)</f>
        <v>-148961.69</v>
      </c>
      <c r="D20" s="21">
        <f t="shared" si="5"/>
        <v>-153430.54069999998</v>
      </c>
      <c r="E20" s="21">
        <f t="shared" si="5"/>
        <v>-158033.456921</v>
      </c>
      <c r="F20" s="21">
        <f t="shared" si="5"/>
        <v>-162774.46062862998</v>
      </c>
      <c r="G20" s="21">
        <f t="shared" si="5"/>
        <v>-167657.69444748887</v>
      </c>
      <c r="H20" s="21">
        <f t="shared" si="5"/>
        <v>-172687.42528091357</v>
      </c>
      <c r="I20" s="21">
        <f t="shared" si="5"/>
        <v>-177868.04803934097</v>
      </c>
      <c r="J20" s="21">
        <f t="shared" si="5"/>
        <v>-183204.08948052119</v>
      </c>
      <c r="K20" s="22">
        <f t="shared" si="5"/>
        <v>-188700.21216493682</v>
      </c>
      <c r="N20" s="3388"/>
      <c r="O20" s="3390"/>
      <c r="Q20" s="61">
        <v>1</v>
      </c>
      <c r="R20" s="1092">
        <f>-B31</f>
        <v>637</v>
      </c>
      <c r="S20" s="1092">
        <f>B32+R20</f>
        <v>34155.071999999986</v>
      </c>
    </row>
    <row r="21" spans="1:19" ht="13.2" customHeight="1">
      <c r="A21" s="20" t="s">
        <v>1114</v>
      </c>
      <c r="B21" s="21">
        <f>IF(AND('Part VII-Pro Forma'!$G$8="Yes",'Part VII-Pro Forma'!$G$9="Yes"),"Choose One!",IF('Part VII-Pro Forma'!$G$8="Yes",ROUND((-$K$8*(1+'Part VII-Pro Forma'!$B$6)^('Part VII-Pro Forma'!B13-1)),),IF('Part VII-Pro Forma'!$G$9="Yes",ROUND((-(SUM(B14:B17)*'Part VII-Pro Forma'!$K$9)),),"Choose mgt fee")))</f>
        <v>-14510</v>
      </c>
      <c r="C21" s="21">
        <f>IF(AND('Part VII-Pro Forma'!$G$8="Yes",'Part VII-Pro Forma'!$G$9="Yes"),"Choose One!",IF('Part VII-Pro Forma'!$G$8="Yes",ROUND((-$K$8*(1+'Part VII-Pro Forma'!$B$6)^('Part VII-Pro Forma'!C13-1)),),IF('Part VII-Pro Forma'!$G$9="Yes",ROUND((-(SUM(C14:C17)*'Part VII-Pro Forma'!$K$9)),),"Choose mgt fee")))</f>
        <v>-14945</v>
      </c>
      <c r="D21" s="21">
        <f>IF(AND('Part VII-Pro Forma'!$G$8="Yes",'Part VII-Pro Forma'!$G$9="Yes"),"Choose One!",IF('Part VII-Pro Forma'!$G$8="Yes",ROUND((-$K$8*(1+'Part VII-Pro Forma'!$B$6)^('Part VII-Pro Forma'!D13-1)),),IF('Part VII-Pro Forma'!$G$9="Yes",ROUND((-(SUM(D14:D17)*'Part VII-Pro Forma'!$K$9)),),"Choose mgt fee")))</f>
        <v>-15394</v>
      </c>
      <c r="E21" s="21">
        <f>IF(AND('Part VII-Pro Forma'!$G$8="Yes",'Part VII-Pro Forma'!$G$9="Yes"),"Choose One!",IF('Part VII-Pro Forma'!$G$8="Yes",ROUND((-$K$8*(1+'Part VII-Pro Forma'!$B$6)^('Part VII-Pro Forma'!E13-1)),),IF('Part VII-Pro Forma'!$G$9="Yes",ROUND((-(SUM(E14:E17)*'Part VII-Pro Forma'!$K$9)),),"Choose mgt fee")))</f>
        <v>-15855</v>
      </c>
      <c r="F21" s="21">
        <f>IF(AND('Part VII-Pro Forma'!$G$8="Yes",'Part VII-Pro Forma'!$G$9="Yes"),"Choose One!",IF('Part VII-Pro Forma'!$G$8="Yes",ROUND((-$K$8*(1+'Part VII-Pro Forma'!$B$6)^('Part VII-Pro Forma'!F13-1)),),IF('Part VII-Pro Forma'!$G$9="Yes",ROUND((-(SUM(F14:F17)*'Part VII-Pro Forma'!$K$9)),),"Choose mgt fee")))</f>
        <v>-16331</v>
      </c>
      <c r="G21" s="21">
        <f>IF(AND('Part VII-Pro Forma'!$G$8="Yes",'Part VII-Pro Forma'!$G$9="Yes"),"Choose One!",IF('Part VII-Pro Forma'!$G$8="Yes",ROUND((-$K$8*(1+'Part VII-Pro Forma'!$B$6)^('Part VII-Pro Forma'!G13-1)),),IF('Part VII-Pro Forma'!$G$9="Yes",ROUND((-(SUM(G14:G17)*'Part VII-Pro Forma'!$K$9)),),"Choose mgt fee")))</f>
        <v>-16821</v>
      </c>
      <c r="H21" s="21">
        <f>IF(AND('Part VII-Pro Forma'!$G$8="Yes",'Part VII-Pro Forma'!$G$9="Yes"),"Choose One!",IF('Part VII-Pro Forma'!$G$8="Yes",ROUND((-$K$8*(1+'Part VII-Pro Forma'!$B$6)^('Part VII-Pro Forma'!H13-1)),),IF('Part VII-Pro Forma'!$G$9="Yes",ROUND((-(SUM(H14:H17)*'Part VII-Pro Forma'!$K$9)),),"Choose mgt fee")))</f>
        <v>-17326</v>
      </c>
      <c r="I21" s="21">
        <f>IF(AND('Part VII-Pro Forma'!$G$8="Yes",'Part VII-Pro Forma'!$G$9="Yes"),"Choose One!",IF('Part VII-Pro Forma'!$G$8="Yes",ROUND((-$K$8*(1+'Part VII-Pro Forma'!$B$6)^('Part VII-Pro Forma'!I13-1)),),IF('Part VII-Pro Forma'!$G$9="Yes",ROUND((-(SUM(I14:I17)*'Part VII-Pro Forma'!$K$9)),),"Choose mgt fee")))</f>
        <v>-17845</v>
      </c>
      <c r="J21" s="21">
        <f>IF(AND('Part VII-Pro Forma'!$G$8="Yes",'Part VII-Pro Forma'!$G$9="Yes"),"Choose One!",IF('Part VII-Pro Forma'!$G$8="Yes",ROUND((-$K$8*(1+'Part VII-Pro Forma'!$B$6)^('Part VII-Pro Forma'!J13-1)),),IF('Part VII-Pro Forma'!$G$9="Yes",ROUND((-(SUM(J14:J17)*'Part VII-Pro Forma'!$K$9)),),"Choose mgt fee")))</f>
        <v>-18381</v>
      </c>
      <c r="K21" s="22">
        <f>IF(AND('Part VII-Pro Forma'!$G$8="Yes",'Part VII-Pro Forma'!$G$9="Yes"),"Choose One!",IF('Part VII-Pro Forma'!$G$8="Yes",ROUND((-$K$8*(1+'Part VII-Pro Forma'!$B$6)^('Part VII-Pro Forma'!K13-1)),),IF('Part VII-Pro Forma'!$G$9="Yes",ROUND((-(SUM(K14:K17)*'Part VII-Pro Forma'!$K$9)),),"Choose mgt fee")))</f>
        <v>-18932</v>
      </c>
      <c r="N21" s="3388"/>
      <c r="O21" s="3390"/>
      <c r="Q21" s="61">
        <v>2</v>
      </c>
      <c r="R21" s="1092">
        <f>-SUM(B31:C31)</f>
        <v>637</v>
      </c>
      <c r="S21" s="1092">
        <f>SUM(B32:C32)+R21</f>
        <v>67262.215439999971</v>
      </c>
    </row>
    <row r="22" spans="1:19" ht="13.2" customHeight="1">
      <c r="A22" s="20" t="s">
        <v>1201</v>
      </c>
      <c r="B22" s="21">
        <f>-('Part VI-Revenues &amp; Expenses'!$P$230)</f>
        <v>-14000</v>
      </c>
      <c r="C22" s="21">
        <f t="shared" ref="C22:K22" si="6">$B$22*(1+$B$7)^(C13-1)</f>
        <v>-14420</v>
      </c>
      <c r="D22" s="21">
        <f t="shared" si="6"/>
        <v>-14852.599999999999</v>
      </c>
      <c r="E22" s="21">
        <f t="shared" si="6"/>
        <v>-15298.178</v>
      </c>
      <c r="F22" s="21">
        <f t="shared" si="6"/>
        <v>-15757.123339999998</v>
      </c>
      <c r="G22" s="21">
        <f t="shared" si="6"/>
        <v>-16229.837040199998</v>
      </c>
      <c r="H22" s="21">
        <f t="shared" si="6"/>
        <v>-16716.732151405999</v>
      </c>
      <c r="I22" s="21">
        <f t="shared" si="6"/>
        <v>-17218.23411594818</v>
      </c>
      <c r="J22" s="21">
        <f t="shared" si="6"/>
        <v>-17734.781139426625</v>
      </c>
      <c r="K22" s="22">
        <f t="shared" si="6"/>
        <v>-18266.824573609421</v>
      </c>
      <c r="N22" s="3388"/>
      <c r="O22" s="3390"/>
      <c r="Q22" s="61">
        <v>3</v>
      </c>
      <c r="R22" s="1092">
        <f>-SUM(B31:D31)</f>
        <v>637</v>
      </c>
      <c r="S22" s="1092">
        <f>SUM(B32:D32)+R22</f>
        <v>99247.584848799976</v>
      </c>
    </row>
    <row r="23" spans="1:19" ht="13.2" customHeight="1">
      <c r="A23" s="420" t="s">
        <v>4938</v>
      </c>
      <c r="B23" s="2663">
        <f>IF(B13&lt;=+'Part VI-Revenues &amp; Expenses'!$K$243,-'Part VI-Revenues &amp; Expenses'!$H$243,0)</f>
        <v>0</v>
      </c>
      <c r="C23" s="2663">
        <f>IF(C13&lt;=+'Part VI-Revenues &amp; Expenses'!$K$243,-'Part VI-Revenues &amp; Expenses'!$H$243,0)</f>
        <v>0</v>
      </c>
      <c r="D23" s="2663">
        <f>IF(D13&lt;=+'Part VI-Revenues &amp; Expenses'!$K$243,-'Part VI-Revenues &amp; Expenses'!$H$243,0)</f>
        <v>0</v>
      </c>
      <c r="E23" s="2663">
        <f>IF(E13&lt;=+'Part VI-Revenues &amp; Expenses'!$K$243,-'Part VI-Revenues &amp; Expenses'!$H$243,0)</f>
        <v>0</v>
      </c>
      <c r="F23" s="2663">
        <f>IF(F13&lt;=+'Part VI-Revenues &amp; Expenses'!$K$243,-'Part VI-Revenues &amp; Expenses'!$H$243,0)</f>
        <v>0</v>
      </c>
      <c r="G23" s="2663">
        <f>IF(G13&lt;=+'Part VI-Revenues &amp; Expenses'!$K$243,-'Part VI-Revenues &amp; Expenses'!$H$243,0)</f>
        <v>0</v>
      </c>
      <c r="H23" s="2663">
        <f>IF(H13&lt;=+'Part VI-Revenues &amp; Expenses'!$K$243,-'Part VI-Revenues &amp; Expenses'!$H$243,0)</f>
        <v>0</v>
      </c>
      <c r="I23" s="2663">
        <f>IF(I13&lt;=+'Part VI-Revenues &amp; Expenses'!$K$243,-'Part VI-Revenues &amp; Expenses'!$H$243,0)</f>
        <v>0</v>
      </c>
      <c r="J23" s="2663">
        <f>IF(J13&lt;=+'Part VI-Revenues &amp; Expenses'!$K$243,-'Part VI-Revenues &amp; Expenses'!$H$243,0)</f>
        <v>0</v>
      </c>
      <c r="K23" s="2663">
        <f>IF(K13&lt;=+'Part VI-Revenues &amp; Expenses'!$K$243,-'Part VI-Revenues &amp; Expenses'!$H$243,0)</f>
        <v>0</v>
      </c>
      <c r="N23" s="3388"/>
      <c r="O23" s="3390"/>
      <c r="Q23" s="971">
        <v>10</v>
      </c>
      <c r="R23" s="1092">
        <f>-SUM(B28:K28)</f>
        <v>0</v>
      </c>
      <c r="S23" s="1092">
        <f>SUM(B29:K29)+R23</f>
        <v>0</v>
      </c>
    </row>
    <row r="24" spans="1:19" ht="13.2" customHeight="1">
      <c r="A24" s="20" t="s">
        <v>1202</v>
      </c>
      <c r="B24" s="21">
        <f>SUM(B19:B23)</f>
        <v>38655.071999999986</v>
      </c>
      <c r="C24" s="21">
        <f t="shared" ref="C24:J24" si="7">SUM(C19:C23)</f>
        <v>37607.143439999985</v>
      </c>
      <c r="D24" s="21">
        <f t="shared" si="7"/>
        <v>36485.369408800012</v>
      </c>
      <c r="E24" s="21">
        <f t="shared" si="7"/>
        <v>35289.125389975976</v>
      </c>
      <c r="F24" s="21">
        <f t="shared" si="7"/>
        <v>34012.691548565541</v>
      </c>
      <c r="G24" s="21">
        <f t="shared" si="7"/>
        <v>32654.249539850556</v>
      </c>
      <c r="H24" s="21">
        <f t="shared" si="7"/>
        <v>31209.879215770696</v>
      </c>
      <c r="I24" s="21">
        <f t="shared" si="7"/>
        <v>29677.555225762822</v>
      </c>
      <c r="J24" s="21">
        <f t="shared" si="7"/>
        <v>28051.143508725254</v>
      </c>
      <c r="K24" s="2156">
        <f>SUM(K19:K23)</f>
        <v>26329.397672700292</v>
      </c>
      <c r="N24" s="3388"/>
      <c r="O24" s="3390"/>
      <c r="Q24" s="971">
        <v>4</v>
      </c>
      <c r="R24" s="1092">
        <f>-SUM(B31:E31)</f>
        <v>637</v>
      </c>
      <c r="S24" s="1092">
        <f>SUM(B32:E32)+R24</f>
        <v>130036.71023877595</v>
      </c>
    </row>
    <row r="25" spans="1:19" ht="13.2" customHeight="1">
      <c r="A25" s="420" t="s">
        <v>1590</v>
      </c>
      <c r="B25" s="2664">
        <f>IF('Part III-Sources of Funds'!$P$38="", 0,-'Part III-Sources of Funds'!$P$38)</f>
        <v>0</v>
      </c>
      <c r="C25" s="2664">
        <f>IF('Part III-Sources of Funds'!$P$38="", 0,-'Part III-Sources of Funds'!$P$38)</f>
        <v>0</v>
      </c>
      <c r="D25" s="2664">
        <f>IF('Part III-Sources of Funds'!$P$38="", 0,-'Part III-Sources of Funds'!$P$38)</f>
        <v>0</v>
      </c>
      <c r="E25" s="2664">
        <f>IF('Part III-Sources of Funds'!$P$38="", 0,-'Part III-Sources of Funds'!$P$38)</f>
        <v>0</v>
      </c>
      <c r="F25" s="2664">
        <f>IF('Part III-Sources of Funds'!$P$38="", 0,-'Part III-Sources of Funds'!$P$38)</f>
        <v>0</v>
      </c>
      <c r="G25" s="2664">
        <f>IF('Part III-Sources of Funds'!$P$38="", 0,-'Part III-Sources of Funds'!$P$38)</f>
        <v>0</v>
      </c>
      <c r="H25" s="2664">
        <f>IF('Part III-Sources of Funds'!$P$38="", 0,-'Part III-Sources of Funds'!$P$38)</f>
        <v>0</v>
      </c>
      <c r="I25" s="2664">
        <f>IF('Part III-Sources of Funds'!$P$38="", 0,-'Part III-Sources of Funds'!$P$38)</f>
        <v>0</v>
      </c>
      <c r="J25" s="2664">
        <f>IF('Part III-Sources of Funds'!$P$38="", 0,-'Part III-Sources of Funds'!$P$38)</f>
        <v>0</v>
      </c>
      <c r="K25" s="2664">
        <f>IF('Part III-Sources of Funds'!$P$38="", 0,-'Part III-Sources of Funds'!$P$38)</f>
        <v>0</v>
      </c>
      <c r="N25" s="3388"/>
      <c r="O25" s="3390"/>
      <c r="Q25" s="971">
        <v>5</v>
      </c>
      <c r="R25" s="1092">
        <f>-SUM(B31:F31)</f>
        <v>637</v>
      </c>
      <c r="S25" s="1092">
        <f>SUM(B32:F32)+R25</f>
        <v>159549.40178734149</v>
      </c>
    </row>
    <row r="26" spans="1:19" ht="13.2" customHeight="1">
      <c r="A26" s="420" t="s">
        <v>1591</v>
      </c>
      <c r="B26" s="2665">
        <f>IF('Part III-Sources of Funds'!$P$39="", 0,-'Part III-Sources of Funds'!$P$39)</f>
        <v>0</v>
      </c>
      <c r="C26" s="2665">
        <f>IF('Part III-Sources of Funds'!$P$39="", 0,-'Part III-Sources of Funds'!$P$39)</f>
        <v>0</v>
      </c>
      <c r="D26" s="2665">
        <f>IF('Part III-Sources of Funds'!$P$39="", 0,-'Part III-Sources of Funds'!$P$39)</f>
        <v>0</v>
      </c>
      <c r="E26" s="2665">
        <f>IF('Part III-Sources of Funds'!$P$39="", 0,-'Part III-Sources of Funds'!$P$39)</f>
        <v>0</v>
      </c>
      <c r="F26" s="2665">
        <f>IF('Part III-Sources of Funds'!$P$39="", 0,-'Part III-Sources of Funds'!$P$39)</f>
        <v>0</v>
      </c>
      <c r="G26" s="2665">
        <f>IF('Part III-Sources of Funds'!$P$39="", 0,-'Part III-Sources of Funds'!$P$39)</f>
        <v>0</v>
      </c>
      <c r="H26" s="2665">
        <f>IF('Part III-Sources of Funds'!$P$39="", 0,-'Part III-Sources of Funds'!$P$39)</f>
        <v>0</v>
      </c>
      <c r="I26" s="2665">
        <f>IF('Part III-Sources of Funds'!$P$39="", 0,-'Part III-Sources of Funds'!$P$39)</f>
        <v>0</v>
      </c>
      <c r="J26" s="2665">
        <f>IF('Part III-Sources of Funds'!$P$39="", 0,-'Part III-Sources of Funds'!$P$39)</f>
        <v>0</v>
      </c>
      <c r="K26" s="2665">
        <f>IF('Part III-Sources of Funds'!$P$39="", 0,-'Part III-Sources of Funds'!$P$39)</f>
        <v>0</v>
      </c>
      <c r="N26" s="3388"/>
      <c r="O26" s="3390"/>
      <c r="Q26" s="971">
        <v>6</v>
      </c>
      <c r="R26" s="1092">
        <f>-SUM(B31:G31)</f>
        <v>637</v>
      </c>
      <c r="S26" s="1092">
        <f>SUM(B32:G32)+R26</f>
        <v>187703.65132719203</v>
      </c>
    </row>
    <row r="27" spans="1:19" ht="13.2" customHeight="1">
      <c r="A27" s="420" t="s">
        <v>1592</v>
      </c>
      <c r="B27" s="2665">
        <f>IF('Part III-Sources of Funds'!$P$40="", 0,-'Part III-Sources of Funds'!$P$40)</f>
        <v>0</v>
      </c>
      <c r="C27" s="2665">
        <f>IF('Part III-Sources of Funds'!$P$40="", 0,-'Part III-Sources of Funds'!$P$40)</f>
        <v>0</v>
      </c>
      <c r="D27" s="2665">
        <f>IF('Part III-Sources of Funds'!$P$40="", 0,-'Part III-Sources of Funds'!$P$40)</f>
        <v>0</v>
      </c>
      <c r="E27" s="2665">
        <f>IF('Part III-Sources of Funds'!$P$40="", 0,-'Part III-Sources of Funds'!$P$40)</f>
        <v>0</v>
      </c>
      <c r="F27" s="2665">
        <f>IF('Part III-Sources of Funds'!$P$40="", 0,-'Part III-Sources of Funds'!$P$40)</f>
        <v>0</v>
      </c>
      <c r="G27" s="2665">
        <f>IF('Part III-Sources of Funds'!$P$40="", 0,-'Part III-Sources of Funds'!$P$40)</f>
        <v>0</v>
      </c>
      <c r="H27" s="2665">
        <f>IF('Part III-Sources of Funds'!$P$40="", 0,-'Part III-Sources of Funds'!$P$40)</f>
        <v>0</v>
      </c>
      <c r="I27" s="2665">
        <f>IF('Part III-Sources of Funds'!$P$40="", 0,-'Part III-Sources of Funds'!$P$40)</f>
        <v>0</v>
      </c>
      <c r="J27" s="2665">
        <f>IF('Part III-Sources of Funds'!$P$40="", 0,-'Part III-Sources of Funds'!$P$40)</f>
        <v>0</v>
      </c>
      <c r="K27" s="2665">
        <f>IF('Part III-Sources of Funds'!$P$40="", 0,-'Part III-Sources of Funds'!$P$40)</f>
        <v>0</v>
      </c>
      <c r="N27" s="3388"/>
      <c r="O27" s="3390"/>
      <c r="Q27" s="971">
        <v>7</v>
      </c>
      <c r="R27" s="1092">
        <f>-SUM(B31:H31)</f>
        <v>637</v>
      </c>
      <c r="S27" s="1092">
        <f>SUM(B32:H32)+R27</f>
        <v>214413.53054296272</v>
      </c>
    </row>
    <row r="28" spans="1:19" ht="13.2" customHeight="1">
      <c r="A28" s="420" t="s">
        <v>3849</v>
      </c>
      <c r="B28" s="2665">
        <f>IF('Part III-Sources of Funds'!$P$41="", 0,-'Part III-Sources of Funds'!$P$41)</f>
        <v>0</v>
      </c>
      <c r="C28" s="2665">
        <f>IF('Part III-Sources of Funds'!$P$41="", 0,-'Part III-Sources of Funds'!$P$41)</f>
        <v>0</v>
      </c>
      <c r="D28" s="2665">
        <f>IF('Part III-Sources of Funds'!$P$41="", 0,-'Part III-Sources of Funds'!$P$41)</f>
        <v>0</v>
      </c>
      <c r="E28" s="2665">
        <f>IF('Part III-Sources of Funds'!$P$41="", 0,-'Part III-Sources of Funds'!$P$41)</f>
        <v>0</v>
      </c>
      <c r="F28" s="2665">
        <f>IF('Part III-Sources of Funds'!$P$41="", 0,-'Part III-Sources of Funds'!$P$41)</f>
        <v>0</v>
      </c>
      <c r="G28" s="2665">
        <f>IF('Part III-Sources of Funds'!$P$41="", 0,-'Part III-Sources of Funds'!$P$41)</f>
        <v>0</v>
      </c>
      <c r="H28" s="2665">
        <f>IF('Part III-Sources of Funds'!$P$41="", 0,-'Part III-Sources of Funds'!$P$41)</f>
        <v>0</v>
      </c>
      <c r="I28" s="2665">
        <f>IF('Part III-Sources of Funds'!$P$41="", 0,-'Part III-Sources of Funds'!$P$41)</f>
        <v>0</v>
      </c>
      <c r="J28" s="2665">
        <f>IF('Part III-Sources of Funds'!$P$41="", 0,-'Part III-Sources of Funds'!$P$41)</f>
        <v>0</v>
      </c>
      <c r="K28" s="2665">
        <f>IF('Part III-Sources of Funds'!$P$41="", 0,-'Part III-Sources of Funds'!$P$41)</f>
        <v>0</v>
      </c>
      <c r="N28" s="3388"/>
      <c r="O28" s="3390"/>
      <c r="Q28" s="971">
        <v>8</v>
      </c>
      <c r="R28" s="1092">
        <f>-SUM(B31:I31)</f>
        <v>637</v>
      </c>
      <c r="S28" s="1092">
        <f>SUM(B32:I32)+R28</f>
        <v>239591.08576872555</v>
      </c>
    </row>
    <row r="29" spans="1:19" ht="13.2" customHeight="1">
      <c r="A29" s="20" t="s">
        <v>762</v>
      </c>
      <c r="B29" s="2666"/>
      <c r="C29" s="2666"/>
      <c r="D29" s="2666"/>
      <c r="E29" s="2666"/>
      <c r="F29" s="2666"/>
      <c r="G29" s="2666"/>
      <c r="H29" s="2666"/>
      <c r="I29" s="2666"/>
      <c r="J29" s="2666"/>
      <c r="K29" s="2666"/>
      <c r="N29" s="3388"/>
      <c r="O29" s="3390"/>
      <c r="Q29" s="971">
        <v>9</v>
      </c>
      <c r="R29" s="1092">
        <f>-SUM(B31:J31)</f>
        <v>637</v>
      </c>
      <c r="S29" s="1092">
        <f>SUM(B32:J32)+R29</f>
        <v>263142.22927745082</v>
      </c>
    </row>
    <row r="30" spans="1:19" ht="13.2" customHeight="1">
      <c r="A30" s="420" t="s">
        <v>1162</v>
      </c>
      <c r="B30" s="2667">
        <v>-4500</v>
      </c>
      <c r="C30" s="2667">
        <f t="shared" ref="C30:K30" si="8">+B30</f>
        <v>-4500</v>
      </c>
      <c r="D30" s="2667">
        <f t="shared" si="8"/>
        <v>-4500</v>
      </c>
      <c r="E30" s="2667">
        <f t="shared" si="8"/>
        <v>-4500</v>
      </c>
      <c r="F30" s="2667">
        <f t="shared" si="8"/>
        <v>-4500</v>
      </c>
      <c r="G30" s="2667">
        <f t="shared" si="8"/>
        <v>-4500</v>
      </c>
      <c r="H30" s="2667">
        <f t="shared" si="8"/>
        <v>-4500</v>
      </c>
      <c r="I30" s="2667">
        <f t="shared" si="8"/>
        <v>-4500</v>
      </c>
      <c r="J30" s="2667">
        <f t="shared" si="8"/>
        <v>-4500</v>
      </c>
      <c r="K30" s="2667">
        <f t="shared" si="8"/>
        <v>-4500</v>
      </c>
      <c r="N30" s="3388"/>
      <c r="O30" s="3390"/>
      <c r="Q30" s="971">
        <v>10</v>
      </c>
      <c r="R30" s="1092">
        <f>-SUM(B31:K31)</f>
        <v>637</v>
      </c>
      <c r="S30" s="1092">
        <f>SUM(B32:K32)+R30</f>
        <v>284971.62695015111</v>
      </c>
    </row>
    <row r="31" spans="1:19" ht="13.2" customHeight="1">
      <c r="A31" s="420" t="s">
        <v>4081</v>
      </c>
      <c r="B31" s="2668">
        <v>-637</v>
      </c>
      <c r="C31" s="2668">
        <f>IF('Part III-Sources of Funds'!$P$43="", 0,-'Part III-Sources of Funds'!$P$43)</f>
        <v>0</v>
      </c>
      <c r="D31" s="2668">
        <f>IF('Part III-Sources of Funds'!$P$43="", 0,-'Part III-Sources of Funds'!$P$43)</f>
        <v>0</v>
      </c>
      <c r="E31" s="2668">
        <f>IF('Part III-Sources of Funds'!$P$43="", 0,-'Part III-Sources of Funds'!$P$43)</f>
        <v>0</v>
      </c>
      <c r="F31" s="2668">
        <f>IF('Part III-Sources of Funds'!$P$43="", 0,-'Part III-Sources of Funds'!$P$43)</f>
        <v>0</v>
      </c>
      <c r="G31" s="2668">
        <f>IF('Part III-Sources of Funds'!$P$43="", 0,-'Part III-Sources of Funds'!$P$43)</f>
        <v>0</v>
      </c>
      <c r="H31" s="2668">
        <f>IF('Part III-Sources of Funds'!$P$43="", 0,-'Part III-Sources of Funds'!$P$43)</f>
        <v>0</v>
      </c>
      <c r="I31" s="2668">
        <f>IF('Part III-Sources of Funds'!$P$43="", 0,-'Part III-Sources of Funds'!$P$43)</f>
        <v>0</v>
      </c>
      <c r="J31" s="2668">
        <f>IF('Part III-Sources of Funds'!$P$43="", 0,-'Part III-Sources of Funds'!$P$43)</f>
        <v>0</v>
      </c>
      <c r="K31" s="2668">
        <f>IF('Part III-Sources of Funds'!$P$43="", 0,-'Part III-Sources of Funds'!$P$43)</f>
        <v>0</v>
      </c>
      <c r="N31" s="3388"/>
      <c r="O31" s="3390"/>
      <c r="Q31" s="971">
        <v>11</v>
      </c>
      <c r="R31" s="1092">
        <f>-SUM(B31:K31)-B63</f>
        <v>637</v>
      </c>
      <c r="S31" s="1092">
        <f>SUM(B32:K32)+B64+R31</f>
        <v>304978.58220891992</v>
      </c>
    </row>
    <row r="32" spans="1:19" ht="13.2" customHeight="1">
      <c r="A32" s="20" t="s">
        <v>1163</v>
      </c>
      <c r="B32" s="21">
        <f t="shared" ref="B32:K32" si="9">SUM(B24:B31)</f>
        <v>33518.071999999986</v>
      </c>
      <c r="C32" s="21">
        <f t="shared" si="9"/>
        <v>33107.143439999985</v>
      </c>
      <c r="D32" s="21">
        <f t="shared" si="9"/>
        <v>31985.369408800012</v>
      </c>
      <c r="E32" s="21">
        <f t="shared" si="9"/>
        <v>30789.125389975976</v>
      </c>
      <c r="F32" s="21">
        <f t="shared" si="9"/>
        <v>29512.691548565541</v>
      </c>
      <c r="G32" s="21">
        <f t="shared" si="9"/>
        <v>28154.249539850556</v>
      </c>
      <c r="H32" s="21">
        <f t="shared" si="9"/>
        <v>26709.879215770696</v>
      </c>
      <c r="I32" s="21">
        <f t="shared" si="9"/>
        <v>25177.555225762822</v>
      </c>
      <c r="J32" s="21">
        <f t="shared" si="9"/>
        <v>23551.143508725254</v>
      </c>
      <c r="K32" s="22">
        <f t="shared" si="9"/>
        <v>21829.397672700292</v>
      </c>
      <c r="N32" s="3388"/>
      <c r="O32" s="3390"/>
      <c r="Q32" s="971">
        <v>12</v>
      </c>
      <c r="R32" s="1092">
        <f>-SUM(B31:K31) - SUM(B63:C63)</f>
        <v>637</v>
      </c>
      <c r="S32" s="1092">
        <f>SUM(B32:K32) + SUM(B64:C64)+R32</f>
        <v>323058.91609445703</v>
      </c>
    </row>
    <row r="33" spans="1:19" ht="13.2" customHeight="1">
      <c r="A33" s="20" t="str">
        <f>IF('Part III-Sources of Funds'!$E$38 = "Neither", "", "DCR Mortgage A")</f>
        <v>DCR Mortgage A</v>
      </c>
      <c r="B33" s="23" t="str">
        <f t="shared" ref="B33:K33" si="10">IF(B25=0,"",-B24/B25)</f>
        <v/>
      </c>
      <c r="C33" s="23" t="str">
        <f t="shared" si="10"/>
        <v/>
      </c>
      <c r="D33" s="23" t="str">
        <f t="shared" si="10"/>
        <v/>
      </c>
      <c r="E33" s="23" t="str">
        <f t="shared" si="10"/>
        <v/>
      </c>
      <c r="F33" s="23" t="str">
        <f t="shared" si="10"/>
        <v/>
      </c>
      <c r="G33" s="23" t="str">
        <f t="shared" si="10"/>
        <v/>
      </c>
      <c r="H33" s="23" t="str">
        <f t="shared" si="10"/>
        <v/>
      </c>
      <c r="I33" s="23" t="str">
        <f t="shared" si="10"/>
        <v/>
      </c>
      <c r="J33" s="23" t="str">
        <f t="shared" si="10"/>
        <v/>
      </c>
      <c r="K33" s="24" t="str">
        <f t="shared" si="10"/>
        <v/>
      </c>
      <c r="N33" s="3388"/>
      <c r="O33" s="3390"/>
      <c r="Q33" s="971">
        <v>13</v>
      </c>
      <c r="R33" s="1092">
        <f>-SUM(B31:K31) - SUM(B63:D63)</f>
        <v>637</v>
      </c>
      <c r="S33" s="1092">
        <f>SUM(B32:K32) + SUM(B64:D64)+R33</f>
        <v>339103.84336494573</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388"/>
      <c r="O34" s="3390"/>
      <c r="Q34" s="971">
        <v>14</v>
      </c>
      <c r="R34" s="1092">
        <f>-SUM(B31:K31) - SUM(B63:E63)</f>
        <v>637</v>
      </c>
      <c r="S34" s="1092">
        <f>SUM(B32:K32) + SUM(B64:E64)+R34</f>
        <v>353001.84448930225</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388"/>
      <c r="O35" s="3390"/>
      <c r="Q35" s="971">
        <v>15</v>
      </c>
      <c r="R35" s="1092">
        <f>-SUM(B31:K31) - SUM(B63:F63)</f>
        <v>637</v>
      </c>
      <c r="S35" s="1092">
        <f>SUM(B32:K32) + SUM(B64:F64)+R35</f>
        <v>364634.53340385755</v>
      </c>
    </row>
    <row r="36" spans="1:19" ht="13.2" customHeight="1">
      <c r="A36" s="20" t="s">
        <v>782</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388"/>
      <c r="O36" s="3390"/>
      <c r="Q36" s="61">
        <v>16</v>
      </c>
      <c r="R36" s="1092">
        <f>-SUM(B31:K31) - SUM(B63:G63)</f>
        <v>637</v>
      </c>
      <c r="S36" s="1092">
        <f>SUM(B32:K32) + SUM(B64:G64)+R36</f>
        <v>373881.52089744702</v>
      </c>
    </row>
    <row r="37" spans="1:19" ht="13.2" customHeight="1">
      <c r="A37" s="420" t="s">
        <v>3710</v>
      </c>
      <c r="B37" s="23" t="str">
        <f t="shared" ref="B37:K37" si="14">IF(AND(B25=0,B26=0,B27=0,B28=0),"",-B24/(B25+B26+B27+B28))</f>
        <v/>
      </c>
      <c r="C37" s="23" t="str">
        <f t="shared" si="14"/>
        <v/>
      </c>
      <c r="D37" s="23" t="str">
        <f t="shared" si="14"/>
        <v/>
      </c>
      <c r="E37" s="23" t="str">
        <f t="shared" si="14"/>
        <v/>
      </c>
      <c r="F37" s="23" t="str">
        <f t="shared" si="14"/>
        <v/>
      </c>
      <c r="G37" s="23" t="str">
        <f t="shared" si="14"/>
        <v/>
      </c>
      <c r="H37" s="23" t="str">
        <f t="shared" si="14"/>
        <v/>
      </c>
      <c r="I37" s="23" t="str">
        <f t="shared" si="14"/>
        <v/>
      </c>
      <c r="J37" s="23" t="str">
        <f t="shared" si="14"/>
        <v/>
      </c>
      <c r="K37" s="24" t="str">
        <f t="shared" si="14"/>
        <v/>
      </c>
      <c r="N37" s="3388"/>
      <c r="O37" s="3390"/>
      <c r="Q37" s="61">
        <v>17</v>
      </c>
      <c r="R37" s="1092">
        <f>-SUM(B31:K31) - SUM(B63:H63)</f>
        <v>637</v>
      </c>
      <c r="S37" s="1092">
        <f>SUM(B32:K32) + SUM(B64:H64)+R37</f>
        <v>380616.27348567359</v>
      </c>
    </row>
    <row r="38" spans="1:19" ht="13.2" customHeight="1">
      <c r="A38" s="20" t="s">
        <v>769</v>
      </c>
      <c r="B38" s="266">
        <f t="shared" ref="B38:K38" si="15">IF(OR(B21="Choose mgt fee",B21="Choose One!"),"",(B14+B15+B16+B17+B18) / -(B20+B21+B22))</f>
        <v>1.2232680771430056</v>
      </c>
      <c r="C38" s="266">
        <f t="shared" si="15"/>
        <v>1.2108890342774825</v>
      </c>
      <c r="D38" s="266">
        <f t="shared" si="15"/>
        <v>1.1986385963422177</v>
      </c>
      <c r="E38" s="266">
        <f t="shared" si="15"/>
        <v>1.1865307525804447</v>
      </c>
      <c r="F38" s="266">
        <f t="shared" si="15"/>
        <v>1.1745470621186112</v>
      </c>
      <c r="G38" s="266">
        <f t="shared" si="15"/>
        <v>1.162694875488407</v>
      </c>
      <c r="H38" s="266">
        <f t="shared" si="15"/>
        <v>1.1509691648447002</v>
      </c>
      <c r="I38" s="266">
        <f t="shared" si="15"/>
        <v>1.1393762106035656</v>
      </c>
      <c r="J38" s="266">
        <f t="shared" si="15"/>
        <v>1.1279006021179638</v>
      </c>
      <c r="K38" s="267">
        <f t="shared" si="15"/>
        <v>1.1165538288822972</v>
      </c>
      <c r="N38" s="3388"/>
      <c r="O38" s="3390"/>
      <c r="Q38" s="61">
        <v>18</v>
      </c>
      <c r="R38" s="1092">
        <f>-SUM(B31:K31) - SUM(B63:I63)</f>
        <v>637</v>
      </c>
      <c r="S38" s="1092">
        <f>SUM(B32:K32) + SUM(B64:I64)+R38</f>
        <v>384706.9676307732</v>
      </c>
    </row>
    <row r="39" spans="1:19" ht="13.2" customHeight="1">
      <c r="A39" s="420" t="s">
        <v>2616</v>
      </c>
      <c r="B39" s="2669" t="str">
        <f>IF('Part III-Sources of Funds'!$I$38="","",-FV('Part III-Sources of Funds'!$K$38/12,12,B25/12,'Part III-Sources of Funds'!$I$38))</f>
        <v/>
      </c>
      <c r="C39" s="2669" t="str">
        <f>IF('Part III-Sources of Funds'!$I$38="","",-FV('Part III-Sources of Funds'!$K$38/12,12,C25/12,B39))</f>
        <v/>
      </c>
      <c r="D39" s="2669" t="str">
        <f>IF('Part III-Sources of Funds'!$I$38="","",-FV('Part III-Sources of Funds'!$K$38/12,12,D25/12,C39))</f>
        <v/>
      </c>
      <c r="E39" s="2669" t="str">
        <f>IF('Part III-Sources of Funds'!$I$38="","",-FV('Part III-Sources of Funds'!$K$38/12,12,E25/12,D39))</f>
        <v/>
      </c>
      <c r="F39" s="2669" t="str">
        <f>IF('Part III-Sources of Funds'!$I$38="","",-FV('Part III-Sources of Funds'!$K$38/12,12,F25/12,E39))</f>
        <v/>
      </c>
      <c r="G39" s="2669" t="str">
        <f>IF('Part III-Sources of Funds'!$I$38="","",-FV('Part III-Sources of Funds'!$K$38/12,12,G25/12,F39))</f>
        <v/>
      </c>
      <c r="H39" s="2669" t="str">
        <f>IF('Part III-Sources of Funds'!$I$38="","",-FV('Part III-Sources of Funds'!$K$38/12,12,H25/12,G39))</f>
        <v/>
      </c>
      <c r="I39" s="2669" t="str">
        <f>IF('Part III-Sources of Funds'!$I$38="","",-FV('Part III-Sources of Funds'!$K$38/12,12,I25/12,H39))</f>
        <v/>
      </c>
      <c r="J39" s="2669" t="str">
        <f>IF('Part III-Sources of Funds'!$I$38="","",-FV('Part III-Sources of Funds'!$K$38/12,12,J25/12,I39))</f>
        <v/>
      </c>
      <c r="K39" s="2669" t="str">
        <f>IF('Part III-Sources of Funds'!$I$38="","",-FV('Part III-Sources of Funds'!$K$38/12,12,K25/12,J39))</f>
        <v/>
      </c>
      <c r="N39" s="3388"/>
      <c r="O39" s="3390"/>
      <c r="Q39" s="971">
        <v>19</v>
      </c>
      <c r="R39" s="1092">
        <f>-SUM(B31:K31) - SUM(B63:J63)</f>
        <v>637</v>
      </c>
      <c r="S39" s="1092">
        <f>SUM(B32:K32) + SUM(B64:J64)+R39</f>
        <v>386018.33915903623</v>
      </c>
    </row>
    <row r="40" spans="1:19" ht="13.2" customHeight="1">
      <c r="A40" s="420" t="s">
        <v>2617</v>
      </c>
      <c r="B40" s="2665" t="str">
        <f>IF('Part III-Sources of Funds'!$I$39="","",-FV('Part III-Sources of Funds'!$K$39/12,12,B26/12,'Part III-Sources of Funds'!$I$39))</f>
        <v/>
      </c>
      <c r="C40" s="2665" t="str">
        <f>IF('Part III-Sources of Funds'!$I$39="","",-FV('Part III-Sources of Funds'!$K$39/12,12,C26/12,B40))</f>
        <v/>
      </c>
      <c r="D40" s="2665" t="str">
        <f>IF('Part III-Sources of Funds'!$I$39="","",-FV('Part III-Sources of Funds'!$K$39/12,12,D26/12,C40))</f>
        <v/>
      </c>
      <c r="E40" s="2665" t="str">
        <f>IF('Part III-Sources of Funds'!$I$39="","",-FV('Part III-Sources of Funds'!$K$39/12,12,E26/12,D40))</f>
        <v/>
      </c>
      <c r="F40" s="2665" t="str">
        <f>IF('Part III-Sources of Funds'!$I$39="","",-FV('Part III-Sources of Funds'!$K$39/12,12,F26/12,E40))</f>
        <v/>
      </c>
      <c r="G40" s="2665" t="str">
        <f>IF('Part III-Sources of Funds'!$I$39="","",-FV('Part III-Sources of Funds'!$K$39/12,12,G26/12,F40))</f>
        <v/>
      </c>
      <c r="H40" s="2665" t="str">
        <f>IF('Part III-Sources of Funds'!$I$39="","",-FV('Part III-Sources of Funds'!$K$39/12,12,H26/12,G40))</f>
        <v/>
      </c>
      <c r="I40" s="2665" t="str">
        <f>IF('Part III-Sources of Funds'!$I$39="","",-FV('Part III-Sources of Funds'!$K$39/12,12,I26/12,H40))</f>
        <v/>
      </c>
      <c r="J40" s="2665" t="str">
        <f>IF('Part III-Sources of Funds'!$I$39="","",-FV('Part III-Sources of Funds'!$K$39/12,12,J26/12,I40))</f>
        <v/>
      </c>
      <c r="K40" s="2665" t="str">
        <f>IF('Part III-Sources of Funds'!$I$39="","",-FV('Part III-Sources of Funds'!$K$39/12,12,K26/12,J40))</f>
        <v/>
      </c>
      <c r="N40" s="3388"/>
      <c r="O40" s="3390"/>
      <c r="Q40" s="971">
        <v>20</v>
      </c>
      <c r="R40" s="1092">
        <f>-SUM(B31:K31) - SUM(B63:K63)</f>
        <v>637</v>
      </c>
      <c r="S40" s="1092">
        <f>SUM(B32:K32) + SUM(B64:K64)+R40</f>
        <v>384408.52772313397</v>
      </c>
    </row>
    <row r="41" spans="1:19" ht="13.2" customHeight="1">
      <c r="A41" s="420" t="s">
        <v>2618</v>
      </c>
      <c r="B41" s="2665" t="str">
        <f>IF('Part III-Sources of Funds'!$I$40="","",-FV('Part III-Sources of Funds'!$K$40/12,12,B27/12,'Part III-Sources of Funds'!$I$40))</f>
        <v/>
      </c>
      <c r="C41" s="2665" t="str">
        <f>IF('Part III-Sources of Funds'!$I$40="","",-FV('Part III-Sources of Funds'!$K$40/12,12,C27/12,B41))</f>
        <v/>
      </c>
      <c r="D41" s="2665" t="str">
        <f>IF('Part III-Sources of Funds'!$I$40="","",-FV('Part III-Sources of Funds'!$K$40/12,12,D27/12,C41))</f>
        <v/>
      </c>
      <c r="E41" s="2665" t="str">
        <f>IF('Part III-Sources of Funds'!$I$40="","",-FV('Part III-Sources of Funds'!$K$40/12,12,E27/12,D41))</f>
        <v/>
      </c>
      <c r="F41" s="2665" t="str">
        <f>IF('Part III-Sources of Funds'!$I$40="","",-FV('Part III-Sources of Funds'!$K$40/12,12,F27/12,E41))</f>
        <v/>
      </c>
      <c r="G41" s="2665" t="str">
        <f>IF('Part III-Sources of Funds'!$I$40="","",-FV('Part III-Sources of Funds'!$K$40/12,12,G27/12,F41))</f>
        <v/>
      </c>
      <c r="H41" s="2665" t="str">
        <f>IF('Part III-Sources of Funds'!$I$40="","",-FV('Part III-Sources of Funds'!$K$40/12,12,H27/12,G41))</f>
        <v/>
      </c>
      <c r="I41" s="2665" t="str">
        <f>IF('Part III-Sources of Funds'!$I$40="","",-FV('Part III-Sources of Funds'!$K$40/12,12,I27/12,H41))</f>
        <v/>
      </c>
      <c r="J41" s="2665" t="str">
        <f>IF('Part III-Sources of Funds'!$I$40="","",-FV('Part III-Sources of Funds'!$K$40/12,12,J27/12,I41))</f>
        <v/>
      </c>
      <c r="K41" s="2665" t="str">
        <f>IF('Part III-Sources of Funds'!$I$40="","",-FV('Part III-Sources of Funds'!$K$40/12,12,K27/12,J41))</f>
        <v/>
      </c>
      <c r="N41" s="3388"/>
      <c r="O41" s="3390"/>
    </row>
    <row r="42" spans="1:19" ht="13.2" customHeight="1">
      <c r="A42" s="20" t="s">
        <v>783</v>
      </c>
      <c r="B42" s="2665" t="str">
        <f>IF('Part III-Sources of Funds'!$I$41="","",-FV('Part III-Sources of Funds'!$K$41/12,12,B28/12,'Part III-Sources of Funds'!$I$41))</f>
        <v/>
      </c>
      <c r="C42" s="2665" t="str">
        <f>IF('Part III-Sources of Funds'!$I$41="","",-FV('Part III-Sources of Funds'!$K$41/12,12,C28/12,B42))</f>
        <v/>
      </c>
      <c r="D42" s="2665" t="str">
        <f>IF('Part III-Sources of Funds'!$I$41="","",-FV('Part III-Sources of Funds'!$K$41/12,12,D28/12,C42))</f>
        <v/>
      </c>
      <c r="E42" s="2665" t="str">
        <f>IF('Part III-Sources of Funds'!$I$41="","",-FV('Part III-Sources of Funds'!$K$41/12,12,E28/12,D42))</f>
        <v/>
      </c>
      <c r="F42" s="2665" t="str">
        <f>IF('Part III-Sources of Funds'!$I$41="","",-FV('Part III-Sources of Funds'!$K$41/12,12,F28/12,E42))</f>
        <v/>
      </c>
      <c r="G42" s="2665" t="str">
        <f>IF('Part III-Sources of Funds'!$I$41="","",-FV('Part III-Sources of Funds'!$K$41/12,12,G28/12,F42))</f>
        <v/>
      </c>
      <c r="H42" s="2665" t="str">
        <f>IF('Part III-Sources of Funds'!$I$41="","",-FV('Part III-Sources of Funds'!$K$41/12,12,H28/12,G42))</f>
        <v/>
      </c>
      <c r="I42" s="2665" t="str">
        <f>IF('Part III-Sources of Funds'!$I$41="","",-FV('Part III-Sources of Funds'!$K$41/12,12,I28/12,H42))</f>
        <v/>
      </c>
      <c r="J42" s="2665" t="str">
        <f>IF('Part III-Sources of Funds'!$I$41="","",-FV('Part III-Sources of Funds'!$K$41/12,12,J28/12,I42))</f>
        <v/>
      </c>
      <c r="K42" s="2665" t="str">
        <f>IF('Part III-Sources of Funds'!$I$41="","",-FV('Part III-Sources of Funds'!$K$41/12,12,K28/12,J42))</f>
        <v/>
      </c>
      <c r="N42" s="3388"/>
      <c r="O42" s="3390"/>
    </row>
    <row r="43" spans="1:19" ht="13.2" customHeight="1">
      <c r="A43" s="420" t="s">
        <v>4082</v>
      </c>
      <c r="B43" s="2668">
        <f>IF('Part III-Sources of Funds'!$I$43="","",-FV('Part III-Sources of Funds'!$K$43/12,12,B31/12,'Part III-Sources of Funds'!$I$43))</f>
        <v>0</v>
      </c>
      <c r="C43" s="2668">
        <f>IF('Part III-Sources of Funds'!$I$43="","",IF(-FV('Part III-Sources of Funds'!$K$43/12,12,C31/12,B43)&gt;0,-FV('Part III-Sources of Funds'!$K$43/12,12,C31/12,B43),0))</f>
        <v>0</v>
      </c>
      <c r="D43" s="2668">
        <f>IF('Part III-Sources of Funds'!$I$43="","",IF(-FV('Part III-Sources of Funds'!$K$43/12,12,D31/12,C43)&gt;0,-FV('Part III-Sources of Funds'!$K$43/12,12,D31/12,C43),0))</f>
        <v>0</v>
      </c>
      <c r="E43" s="2668">
        <f>IF('Part III-Sources of Funds'!$I$43="","",IF(-FV('Part III-Sources of Funds'!$K$43/12,12,E31/12,D43)&gt;0,-FV('Part III-Sources of Funds'!$K$43/12,12,E31/12,D43),0))</f>
        <v>0</v>
      </c>
      <c r="F43" s="2668">
        <f>IF('Part III-Sources of Funds'!$I$43="","",IF(-FV('Part III-Sources of Funds'!$K$43/12,12,F31/12,E43)&gt;0,-FV('Part III-Sources of Funds'!$K$43/12,12,F31/12,E43),0))</f>
        <v>0</v>
      </c>
      <c r="G43" s="2668">
        <f>IF('Part III-Sources of Funds'!$I$43="","",IF(-FV('Part III-Sources of Funds'!$K$43/12,12,G31/12,F43)&gt;0,-FV('Part III-Sources of Funds'!$K$43/12,12,G31/12,F43),0))</f>
        <v>0</v>
      </c>
      <c r="H43" s="2668">
        <f>IF('Part III-Sources of Funds'!$I$43="","",IF(-FV('Part III-Sources of Funds'!$K$43/12,12,H31/12,G43)&gt;0,-FV('Part III-Sources of Funds'!$K$43/12,12,H31/12,G43),0))</f>
        <v>0</v>
      </c>
      <c r="I43" s="2668">
        <f>IF('Part III-Sources of Funds'!$I$43="","",IF(-FV('Part III-Sources of Funds'!$K$43/12,12,I31/12,H43)&gt;0,-FV('Part III-Sources of Funds'!$K$43/12,12,I31/12,H43),0))</f>
        <v>0</v>
      </c>
      <c r="J43" s="2668">
        <f>IF('Part III-Sources of Funds'!$I$43="","",IF(-FV('Part III-Sources of Funds'!$K$43/12,12,J31/12,I43)&gt;0,-FV('Part III-Sources of Funds'!$K$43/12,12,J31/12,I43),0))</f>
        <v>0</v>
      </c>
      <c r="K43" s="2668">
        <f>IF('Part III-Sources of Funds'!$I$43="","",IF(-FV('Part III-Sources of Funds'!$K$43/12,12,K31/12,J43)&gt;0,-FV('Part III-Sources of Funds'!$K$43/12,12,K31/12,J43),0))</f>
        <v>0</v>
      </c>
      <c r="N43" s="3392"/>
      <c r="O43" s="3394"/>
    </row>
    <row r="44" spans="1:19" ht="4.2" customHeight="1">
      <c r="B44" s="16"/>
      <c r="C44" s="16"/>
      <c r="D44" s="16"/>
      <c r="E44" s="16"/>
      <c r="F44" s="16"/>
      <c r="G44" s="16"/>
      <c r="H44" s="16"/>
      <c r="I44" s="16"/>
      <c r="J44" s="16"/>
      <c r="K44" s="16"/>
    </row>
    <row r="45" spans="1:19" ht="14.7" customHeight="1">
      <c r="A45" s="12" t="s">
        <v>2479</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107" t="s">
        <v>2621</v>
      </c>
      <c r="O45" s="3107"/>
    </row>
    <row r="46" spans="1:19" ht="13.2" customHeight="1">
      <c r="A46" s="17" t="s">
        <v>2403</v>
      </c>
      <c r="B46" s="18">
        <f t="shared" ref="B46:K46" si="17">$B$14*(1+$B$5)^(B45-1)</f>
        <v>266374.66065725434</v>
      </c>
      <c r="C46" s="18">
        <f t="shared" si="17"/>
        <v>271702.15387039934</v>
      </c>
      <c r="D46" s="18">
        <f t="shared" si="17"/>
        <v>277136.19694780739</v>
      </c>
      <c r="E46" s="18">
        <f t="shared" si="17"/>
        <v>282678.92088676355</v>
      </c>
      <c r="F46" s="18">
        <f t="shared" si="17"/>
        <v>288332.49930449884</v>
      </c>
      <c r="G46" s="18">
        <f t="shared" si="17"/>
        <v>294099.14929058874</v>
      </c>
      <c r="H46" s="18">
        <f t="shared" si="17"/>
        <v>299981.13227640052</v>
      </c>
      <c r="I46" s="18">
        <f t="shared" si="17"/>
        <v>305980.75492192857</v>
      </c>
      <c r="J46" s="18">
        <f t="shared" si="17"/>
        <v>312100.37002036709</v>
      </c>
      <c r="K46" s="19">
        <f t="shared" si="17"/>
        <v>318342.37742077443</v>
      </c>
      <c r="N46" s="3383"/>
      <c r="O46" s="3385"/>
    </row>
    <row r="47" spans="1:19" ht="13.2" customHeight="1">
      <c r="A47" s="20" t="s">
        <v>1015</v>
      </c>
      <c r="B47" s="21">
        <f t="shared" ref="B47:K47" si="18">$B$15*(1+$B$5)^(B45-1)</f>
        <v>5327.493213145086</v>
      </c>
      <c r="C47" s="21">
        <f t="shared" si="18"/>
        <v>5434.0430774079869</v>
      </c>
      <c r="D47" s="21">
        <f t="shared" si="18"/>
        <v>5542.7239389561473</v>
      </c>
      <c r="E47" s="21">
        <f t="shared" si="18"/>
        <v>5653.5784177352698</v>
      </c>
      <c r="F47" s="21">
        <f t="shared" si="18"/>
        <v>5766.6499860899758</v>
      </c>
      <c r="G47" s="21">
        <f t="shared" si="18"/>
        <v>5881.9829858117737</v>
      </c>
      <c r="H47" s="21">
        <f t="shared" si="18"/>
        <v>5999.6226455280103</v>
      </c>
      <c r="I47" s="21">
        <f t="shared" si="18"/>
        <v>6119.6150984385713</v>
      </c>
      <c r="J47" s="21">
        <f t="shared" si="18"/>
        <v>6242.0074004073422</v>
      </c>
      <c r="K47" s="22">
        <f t="shared" si="18"/>
        <v>6366.8475484154887</v>
      </c>
      <c r="N47" s="3388"/>
      <c r="O47" s="3390"/>
    </row>
    <row r="48" spans="1:19" ht="13.2" customHeight="1">
      <c r="A48" s="20" t="s">
        <v>2404</v>
      </c>
      <c r="B48" s="21">
        <f t="shared" ref="B48:K48" si="19">-(B46+B47)*$B$8</f>
        <v>-19019.150770927961</v>
      </c>
      <c r="C48" s="21">
        <f t="shared" si="19"/>
        <v>-19399.533786346514</v>
      </c>
      <c r="D48" s="21">
        <f t="shared" si="19"/>
        <v>-19787.524462073448</v>
      </c>
      <c r="E48" s="21">
        <f t="shared" si="19"/>
        <v>-20183.274951314921</v>
      </c>
      <c r="F48" s="21">
        <f t="shared" si="19"/>
        <v>-20586.940450341219</v>
      </c>
      <c r="G48" s="21">
        <f t="shared" si="19"/>
        <v>-20998.679259348039</v>
      </c>
      <c r="H48" s="21">
        <f t="shared" si="19"/>
        <v>-21418.652844534998</v>
      </c>
      <c r="I48" s="21">
        <f t="shared" si="19"/>
        <v>-21847.025901425703</v>
      </c>
      <c r="J48" s="21">
        <f t="shared" si="19"/>
        <v>-22283.966419454213</v>
      </c>
      <c r="K48" s="22">
        <f t="shared" si="19"/>
        <v>-22729.645747843297</v>
      </c>
      <c r="N48" s="3388"/>
      <c r="O48" s="3390"/>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388"/>
      <c r="O49" s="3390"/>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388"/>
      <c r="O50" s="3390"/>
    </row>
    <row r="51" spans="1:19" ht="13.2" customHeight="1">
      <c r="A51" s="420" t="s">
        <v>4939</v>
      </c>
      <c r="B51" s="21">
        <f t="shared" ref="B51:K51" si="20">SUM(B46:B50)</f>
        <v>252683.00309947145</v>
      </c>
      <c r="C51" s="21">
        <f t="shared" si="20"/>
        <v>257736.6631614608</v>
      </c>
      <c r="D51" s="21">
        <f t="shared" si="20"/>
        <v>262891.39642469009</v>
      </c>
      <c r="E51" s="21">
        <f t="shared" si="20"/>
        <v>268149.22435318393</v>
      </c>
      <c r="F51" s="21">
        <f t="shared" si="20"/>
        <v>273512.20884024759</v>
      </c>
      <c r="G51" s="21">
        <f t="shared" si="20"/>
        <v>278982.4530170525</v>
      </c>
      <c r="H51" s="21">
        <f t="shared" si="20"/>
        <v>284562.1020773935</v>
      </c>
      <c r="I51" s="21">
        <f t="shared" si="20"/>
        <v>290253.34411894146</v>
      </c>
      <c r="J51" s="21">
        <f t="shared" si="20"/>
        <v>296058.41100132023</v>
      </c>
      <c r="K51" s="22">
        <f t="shared" si="20"/>
        <v>301979.57922134659</v>
      </c>
      <c r="N51" s="3388"/>
      <c r="O51" s="3390"/>
    </row>
    <row r="52" spans="1:19" ht="13.2" customHeight="1">
      <c r="A52" s="20" t="s">
        <v>613</v>
      </c>
      <c r="B52" s="21">
        <f t="shared" ref="B52:K52" si="21">$B$20*(1+$B$6)^(B45-1)</f>
        <v>-194361.21852988494</v>
      </c>
      <c r="C52" s="21">
        <f t="shared" si="21"/>
        <v>-200192.05508578147</v>
      </c>
      <c r="D52" s="21">
        <f t="shared" si="21"/>
        <v>-206197.81673835489</v>
      </c>
      <c r="E52" s="21">
        <f t="shared" si="21"/>
        <v>-212383.75124050552</v>
      </c>
      <c r="F52" s="21">
        <f t="shared" si="21"/>
        <v>-218755.26377772071</v>
      </c>
      <c r="G52" s="21">
        <f t="shared" si="21"/>
        <v>-225317.92169105235</v>
      </c>
      <c r="H52" s="21">
        <f t="shared" si="21"/>
        <v>-232077.45934178389</v>
      </c>
      <c r="I52" s="21">
        <f t="shared" si="21"/>
        <v>-239039.78312203739</v>
      </c>
      <c r="J52" s="21">
        <f t="shared" si="21"/>
        <v>-246210.97661569851</v>
      </c>
      <c r="K52" s="22">
        <f t="shared" si="21"/>
        <v>-253597.30591416947</v>
      </c>
      <c r="N52" s="3388"/>
      <c r="O52" s="3390"/>
    </row>
    <row r="53" spans="1:19" ht="13.2" customHeight="1">
      <c r="A53" s="20" t="s">
        <v>1114</v>
      </c>
      <c r="B53" s="21">
        <f>IF(AND('Part VII-Pro Forma'!$G$8="Yes",'Part VII-Pro Forma'!$G$9="Yes"),"Choose One!",IF('Part VII-Pro Forma'!$G$8="Yes",ROUND((-$K$8*(1+'Part VII-Pro Forma'!$B$6)^('Part VII-Pro Forma'!B45-1)),),IF('Part VII-Pro Forma'!$G$9="Yes",ROUND((-(SUM(B46:B49)*'Part VII-Pro Forma'!$K$9)),),"Choose mgt fee")))</f>
        <v>-19500</v>
      </c>
      <c r="C53" s="21">
        <f>IF(AND('Part VII-Pro Forma'!$G$8="Yes",'Part VII-Pro Forma'!$G$9="Yes"),"Choose One!",IF('Part VII-Pro Forma'!$G$8="Yes",ROUND((-$K$8*(1+'Part VII-Pro Forma'!$B$6)^('Part VII-Pro Forma'!C45-1)),),IF('Part VII-Pro Forma'!$G$9="Yes",ROUND((-(SUM(C46:C49)*'Part VII-Pro Forma'!$K$9)),),"Choose mgt fee")))</f>
        <v>-20085</v>
      </c>
      <c r="D53" s="21">
        <f>IF(AND('Part VII-Pro Forma'!$G$8="Yes",'Part VII-Pro Forma'!$G$9="Yes"),"Choose One!",IF('Part VII-Pro Forma'!$G$8="Yes",ROUND((-$K$8*(1+'Part VII-Pro Forma'!$B$6)^('Part VII-Pro Forma'!D45-1)),),IF('Part VII-Pro Forma'!$G$9="Yes",ROUND((-(SUM(D46:D49)*'Part VII-Pro Forma'!$K$9)),),"Choose mgt fee")))</f>
        <v>-20688</v>
      </c>
      <c r="E53" s="21">
        <f>IF(AND('Part VII-Pro Forma'!$G$8="Yes",'Part VII-Pro Forma'!$G$9="Yes"),"Choose One!",IF('Part VII-Pro Forma'!$G$8="Yes",ROUND((-$K$8*(1+'Part VII-Pro Forma'!$B$6)^('Part VII-Pro Forma'!E45-1)),),IF('Part VII-Pro Forma'!$G$9="Yes",ROUND((-(SUM(E46:E49)*'Part VII-Pro Forma'!$K$9)),),"Choose mgt fee")))</f>
        <v>-21308</v>
      </c>
      <c r="F53" s="21">
        <f>IF(AND('Part VII-Pro Forma'!$G$8="Yes",'Part VII-Pro Forma'!$G$9="Yes"),"Choose One!",IF('Part VII-Pro Forma'!$G$8="Yes",ROUND((-$K$8*(1+'Part VII-Pro Forma'!$B$6)^('Part VII-Pro Forma'!F45-1)),),IF('Part VII-Pro Forma'!$G$9="Yes",ROUND((-(SUM(F46:F49)*'Part VII-Pro Forma'!$K$9)),),"Choose mgt fee")))</f>
        <v>-21948</v>
      </c>
      <c r="G53" s="21">
        <f>IF(AND('Part VII-Pro Forma'!$G$8="Yes",'Part VII-Pro Forma'!$G$9="Yes"),"Choose One!",IF('Part VII-Pro Forma'!$G$8="Yes",ROUND((-$K$8*(1+'Part VII-Pro Forma'!$B$6)^('Part VII-Pro Forma'!G45-1)),),IF('Part VII-Pro Forma'!$G$9="Yes",ROUND((-(SUM(G46:G49)*'Part VII-Pro Forma'!$K$9)),),"Choose mgt fee")))</f>
        <v>-22606</v>
      </c>
      <c r="H53" s="21">
        <f>IF(AND('Part VII-Pro Forma'!$G$8="Yes",'Part VII-Pro Forma'!$G$9="Yes"),"Choose One!",IF('Part VII-Pro Forma'!$G$8="Yes",ROUND((-$K$8*(1+'Part VII-Pro Forma'!$B$6)^('Part VII-Pro Forma'!H45-1)),),IF('Part VII-Pro Forma'!$G$9="Yes",ROUND((-(SUM(H46:H49)*'Part VII-Pro Forma'!$K$9)),),"Choose mgt fee")))</f>
        <v>-23284</v>
      </c>
      <c r="I53" s="21">
        <f>IF(AND('Part VII-Pro Forma'!$G$8="Yes",'Part VII-Pro Forma'!$G$9="Yes"),"Choose One!",IF('Part VII-Pro Forma'!$G$8="Yes",ROUND((-$K$8*(1+'Part VII-Pro Forma'!$B$6)^('Part VII-Pro Forma'!I45-1)),),IF('Part VII-Pro Forma'!$G$9="Yes",ROUND((-(SUM(I46:I49)*'Part VII-Pro Forma'!$K$9)),),"Choose mgt fee")))</f>
        <v>-23983</v>
      </c>
      <c r="J53" s="21">
        <f>IF(AND('Part VII-Pro Forma'!$G$8="Yes",'Part VII-Pro Forma'!$G$9="Yes"),"Choose One!",IF('Part VII-Pro Forma'!$G$8="Yes",ROUND((-$K$8*(1+'Part VII-Pro Forma'!$B$6)^('Part VII-Pro Forma'!J45-1)),),IF('Part VII-Pro Forma'!$G$9="Yes",ROUND((-(SUM(J46:J49)*'Part VII-Pro Forma'!$K$9)),),"Choose mgt fee")))</f>
        <v>-24702</v>
      </c>
      <c r="K53" s="22">
        <f>IF(AND('Part VII-Pro Forma'!$G$8="Yes",'Part VII-Pro Forma'!$G$9="Yes"),"Choose One!",IF('Part VII-Pro Forma'!$G$8="Yes",ROUND((-$K$8*(1+'Part VII-Pro Forma'!$B$6)^('Part VII-Pro Forma'!K45-1)),),IF('Part VII-Pro Forma'!$G$9="Yes",ROUND((-(SUM(K46:K49)*'Part VII-Pro Forma'!$K$9)),),"Choose mgt fee")))</f>
        <v>-25443</v>
      </c>
      <c r="N53" s="3388"/>
      <c r="O53" s="3390"/>
    </row>
    <row r="54" spans="1:19" ht="13.2" customHeight="1">
      <c r="A54" s="20" t="s">
        <v>1201</v>
      </c>
      <c r="B54" s="21">
        <f t="shared" ref="B54:K54" si="22">$B$22*(1+$B$7)^(B45-1)</f>
        <v>-18814.829310817706</v>
      </c>
      <c r="C54" s="21">
        <f t="shared" si="22"/>
        <v>-19379.274190142238</v>
      </c>
      <c r="D54" s="21">
        <f t="shared" si="22"/>
        <v>-19960.6524158465</v>
      </c>
      <c r="E54" s="21">
        <f t="shared" si="22"/>
        <v>-20559.471988321893</v>
      </c>
      <c r="F54" s="21">
        <f t="shared" si="22"/>
        <v>-21176.256147971555</v>
      </c>
      <c r="G54" s="21">
        <f t="shared" si="22"/>
        <v>-21811.543832410702</v>
      </c>
      <c r="H54" s="21">
        <f t="shared" si="22"/>
        <v>-22465.890147383019</v>
      </c>
      <c r="I54" s="21">
        <f t="shared" si="22"/>
        <v>-23139.866851804509</v>
      </c>
      <c r="J54" s="21">
        <f t="shared" si="22"/>
        <v>-23834.062857358644</v>
      </c>
      <c r="K54" s="22">
        <f t="shared" si="22"/>
        <v>-24549.084743079406</v>
      </c>
      <c r="N54" s="3388" t="s">
        <v>5274</v>
      </c>
      <c r="O54" s="3390"/>
    </row>
    <row r="55" spans="1:19" ht="13.2" customHeight="1">
      <c r="A55" s="420" t="s">
        <v>4938</v>
      </c>
      <c r="B55" s="2663">
        <f>IF(B45&lt;=+'Part VI-Revenues &amp; Expenses'!$K$243,-'Part VI-Revenues &amp; Expenses'!$H$243,0)</f>
        <v>0</v>
      </c>
      <c r="C55" s="2663">
        <f>IF(C45&lt;=+'Part VI-Revenues &amp; Expenses'!$K$243,-'Part VI-Revenues &amp; Expenses'!$H$243,0)</f>
        <v>0</v>
      </c>
      <c r="D55" s="2663">
        <f>IF(D45&lt;=+'Part VI-Revenues &amp; Expenses'!$K$243,-'Part VI-Revenues &amp; Expenses'!$H$243,0)</f>
        <v>0</v>
      </c>
      <c r="E55" s="2663">
        <f>IF(E45&lt;=+'Part VI-Revenues &amp; Expenses'!$K$243,-'Part VI-Revenues &amp; Expenses'!$H$243,0)</f>
        <v>0</v>
      </c>
      <c r="F55" s="2663">
        <f>IF(F45&lt;=+'Part VI-Revenues &amp; Expenses'!$K$243,-'Part VI-Revenues &amp; Expenses'!$H$243,0)</f>
        <v>0</v>
      </c>
      <c r="G55" s="2663">
        <f>IF(G45&lt;=+'Part VI-Revenues &amp; Expenses'!$K$243,-'Part VI-Revenues &amp; Expenses'!$H$243,0)</f>
        <v>0</v>
      </c>
      <c r="H55" s="2663">
        <f>IF(H45&lt;=+'Part VI-Revenues &amp; Expenses'!$K$243,-'Part VI-Revenues &amp; Expenses'!$H$243,0)</f>
        <v>0</v>
      </c>
      <c r="I55" s="2663">
        <f>IF(I45&lt;=+'Part VI-Revenues &amp; Expenses'!$K$243,-'Part VI-Revenues &amp; Expenses'!$H$243,0)</f>
        <v>0</v>
      </c>
      <c r="J55" s="2663">
        <f>IF(J45&lt;=+'Part VI-Revenues &amp; Expenses'!$K$243,-'Part VI-Revenues &amp; Expenses'!$H$243,0)</f>
        <v>0</v>
      </c>
      <c r="K55" s="2663">
        <f>IF(K45&lt;=+'Part VI-Revenues &amp; Expenses'!$K$243,-'Part VI-Revenues &amp; Expenses'!$H$243,0)</f>
        <v>0</v>
      </c>
      <c r="N55" s="3388"/>
      <c r="O55" s="3390"/>
      <c r="Q55" s="971">
        <v>10</v>
      </c>
      <c r="R55" s="1092">
        <f>-SUM(B60:K60)</f>
        <v>0</v>
      </c>
      <c r="S55" s="1092">
        <f>SUM(B61:K61)+R55</f>
        <v>0</v>
      </c>
    </row>
    <row r="56" spans="1:19" ht="13.2" customHeight="1">
      <c r="A56" s="20" t="s">
        <v>1202</v>
      </c>
      <c r="B56" s="21">
        <f>SUM(B51:B55)</f>
        <v>20006.955258768805</v>
      </c>
      <c r="C56" s="21">
        <f t="shared" ref="C56" si="23">SUM(C51:C55)</f>
        <v>18080.3338855371</v>
      </c>
      <c r="D56" s="21">
        <f t="shared" ref="D56" si="24">SUM(D51:D55)</f>
        <v>16044.927270488701</v>
      </c>
      <c r="E56" s="21">
        <f t="shared" ref="E56" si="25">SUM(E51:E55)</f>
        <v>13898.001124356524</v>
      </c>
      <c r="F56" s="21">
        <f t="shared" ref="F56" si="26">SUM(F51:F55)</f>
        <v>11632.688914555325</v>
      </c>
      <c r="G56" s="21">
        <f t="shared" ref="G56" si="27">SUM(G51:G55)</f>
        <v>9246.9874935894404</v>
      </c>
      <c r="H56" s="21">
        <f t="shared" ref="H56" si="28">SUM(H51:H55)</f>
        <v>6734.7525882265909</v>
      </c>
      <c r="I56" s="21">
        <f t="shared" ref="I56" si="29">SUM(I51:I55)</f>
        <v>4090.6941450995582</v>
      </c>
      <c r="J56" s="21">
        <f t="shared" ref="J56" si="30">SUM(J51:J55)</f>
        <v>1311.3715282630728</v>
      </c>
      <c r="K56" s="2156">
        <f>SUM(K51:K55)</f>
        <v>-1609.8114359022838</v>
      </c>
      <c r="N56" s="3388"/>
      <c r="O56" s="3390"/>
    </row>
    <row r="57" spans="1:19" ht="13.2" customHeight="1">
      <c r="A57" s="20" t="str">
        <f>$A25</f>
        <v>Mortgage A</v>
      </c>
      <c r="B57" s="2664">
        <f>IF('Part III-Sources of Funds'!$P$38="", 0,-'Part III-Sources of Funds'!$P$38)</f>
        <v>0</v>
      </c>
      <c r="C57" s="2664">
        <f>IF('Part III-Sources of Funds'!$P$38="", 0,-'Part III-Sources of Funds'!$P$38)</f>
        <v>0</v>
      </c>
      <c r="D57" s="2664">
        <f>IF('Part III-Sources of Funds'!$P$38="", 0,-'Part III-Sources of Funds'!$P$38)</f>
        <v>0</v>
      </c>
      <c r="E57" s="2664">
        <f>IF('Part III-Sources of Funds'!$P$38="", 0,-'Part III-Sources of Funds'!$P$38)</f>
        <v>0</v>
      </c>
      <c r="F57" s="2664">
        <f>IF('Part III-Sources of Funds'!$P$38="", 0,-'Part III-Sources of Funds'!$P$38)</f>
        <v>0</v>
      </c>
      <c r="G57" s="2664">
        <f>IF('Part III-Sources of Funds'!$P$38="", 0,-'Part III-Sources of Funds'!$P$38)</f>
        <v>0</v>
      </c>
      <c r="H57" s="2664">
        <f>IF('Part III-Sources of Funds'!$P$38="", 0,-'Part III-Sources of Funds'!$P$38)</f>
        <v>0</v>
      </c>
      <c r="I57" s="2664">
        <f>IF('Part III-Sources of Funds'!$P$38="", 0,-'Part III-Sources of Funds'!$P$38)</f>
        <v>0</v>
      </c>
      <c r="J57" s="2664">
        <f>IF('Part III-Sources of Funds'!$P$38="", 0,-'Part III-Sources of Funds'!$P$38)</f>
        <v>0</v>
      </c>
      <c r="K57" s="2664">
        <f>IF('Part III-Sources of Funds'!$P$38="", 0,-'Part III-Sources of Funds'!$P$38)</f>
        <v>0</v>
      </c>
      <c r="N57" s="3388"/>
      <c r="O57" s="3390"/>
    </row>
    <row r="58" spans="1:19" ht="13.2" customHeight="1">
      <c r="A58" s="20" t="str">
        <f>$A26</f>
        <v>Mortgage B</v>
      </c>
      <c r="B58" s="2665">
        <f>IF('Part III-Sources of Funds'!$P$39="", 0,-'Part III-Sources of Funds'!$P$39)</f>
        <v>0</v>
      </c>
      <c r="C58" s="2665">
        <f>IF('Part III-Sources of Funds'!$P$39="", 0,-'Part III-Sources of Funds'!$P$39)</f>
        <v>0</v>
      </c>
      <c r="D58" s="2665">
        <f>IF('Part III-Sources of Funds'!$P$39="", 0,-'Part III-Sources of Funds'!$P$39)</f>
        <v>0</v>
      </c>
      <c r="E58" s="2665">
        <f>IF('Part III-Sources of Funds'!$P$39="", 0,-'Part III-Sources of Funds'!$P$39)</f>
        <v>0</v>
      </c>
      <c r="F58" s="2665">
        <f>IF('Part III-Sources of Funds'!$P$39="", 0,-'Part III-Sources of Funds'!$P$39)</f>
        <v>0</v>
      </c>
      <c r="G58" s="2665">
        <f>IF('Part III-Sources of Funds'!$P$39="", 0,-'Part III-Sources of Funds'!$P$39)</f>
        <v>0</v>
      </c>
      <c r="H58" s="2665">
        <f>IF('Part III-Sources of Funds'!$P$39="", 0,-'Part III-Sources of Funds'!$P$39)</f>
        <v>0</v>
      </c>
      <c r="I58" s="2665">
        <f>IF('Part III-Sources of Funds'!$P$39="", 0,-'Part III-Sources of Funds'!$P$39)</f>
        <v>0</v>
      </c>
      <c r="J58" s="2665">
        <f>IF('Part III-Sources of Funds'!$P$39="", 0,-'Part III-Sources of Funds'!$P$39)</f>
        <v>0</v>
      </c>
      <c r="K58" s="2665">
        <f>IF('Part III-Sources of Funds'!$P$39="", 0,-'Part III-Sources of Funds'!$P$39)</f>
        <v>0</v>
      </c>
      <c r="N58" s="3388"/>
      <c r="O58" s="3390"/>
    </row>
    <row r="59" spans="1:19" ht="13.2" customHeight="1">
      <c r="A59" s="20" t="str">
        <f>$A27</f>
        <v>Mortgage C</v>
      </c>
      <c r="B59" s="2665">
        <f>IF('Part III-Sources of Funds'!$P$40="", 0,-'Part III-Sources of Funds'!$P$40)</f>
        <v>0</v>
      </c>
      <c r="C59" s="2665">
        <f>IF('Part III-Sources of Funds'!$P$40="", 0,-'Part III-Sources of Funds'!$P$40)</f>
        <v>0</v>
      </c>
      <c r="D59" s="2665">
        <f>IF('Part III-Sources of Funds'!$P$40="", 0,-'Part III-Sources of Funds'!$P$40)</f>
        <v>0</v>
      </c>
      <c r="E59" s="2665">
        <f>IF('Part III-Sources of Funds'!$P$40="", 0,-'Part III-Sources of Funds'!$P$40)</f>
        <v>0</v>
      </c>
      <c r="F59" s="2665">
        <f>IF('Part III-Sources of Funds'!$P$40="", 0,-'Part III-Sources of Funds'!$P$40)</f>
        <v>0</v>
      </c>
      <c r="G59" s="2665">
        <f>IF('Part III-Sources of Funds'!$P$40="", 0,-'Part III-Sources of Funds'!$P$40)</f>
        <v>0</v>
      </c>
      <c r="H59" s="2665">
        <f>IF('Part III-Sources of Funds'!$P$40="", 0,-'Part III-Sources of Funds'!$P$40)</f>
        <v>0</v>
      </c>
      <c r="I59" s="2665">
        <f>IF('Part III-Sources of Funds'!$P$40="", 0,-'Part III-Sources of Funds'!$P$40)</f>
        <v>0</v>
      </c>
      <c r="J59" s="2665">
        <f>IF('Part III-Sources of Funds'!$P$40="", 0,-'Part III-Sources of Funds'!$P$40)</f>
        <v>0</v>
      </c>
      <c r="K59" s="2665">
        <f>IF('Part III-Sources of Funds'!$P$40="", 0,-'Part III-Sources of Funds'!$P$40)</f>
        <v>0</v>
      </c>
      <c r="N59" s="3388"/>
      <c r="O59" s="3390"/>
    </row>
    <row r="60" spans="1:19" ht="13.2" customHeight="1">
      <c r="A60" s="20" t="str">
        <f>$A28</f>
        <v>D/S Other Source,not DDF</v>
      </c>
      <c r="B60" s="2665">
        <f>IF('Part III-Sources of Funds'!$P$41="", 0,-'Part III-Sources of Funds'!$P$41)</f>
        <v>0</v>
      </c>
      <c r="C60" s="2665">
        <f>IF('Part III-Sources of Funds'!$P$41="", 0,-'Part III-Sources of Funds'!$P$41)</f>
        <v>0</v>
      </c>
      <c r="D60" s="2665">
        <f>IF('Part III-Sources of Funds'!$P$41="", 0,-'Part III-Sources of Funds'!$P$41)</f>
        <v>0</v>
      </c>
      <c r="E60" s="2665">
        <f>IF('Part III-Sources of Funds'!$P$41="", 0,-'Part III-Sources of Funds'!$P$41)</f>
        <v>0</v>
      </c>
      <c r="F60" s="2665">
        <f>IF('Part III-Sources of Funds'!$P$41="", 0,-'Part III-Sources of Funds'!$P$41)</f>
        <v>0</v>
      </c>
      <c r="G60" s="2665">
        <f>IF('Part III-Sources of Funds'!$P$41="", 0,-'Part III-Sources of Funds'!$P$41)</f>
        <v>0</v>
      </c>
      <c r="H60" s="2665">
        <f>IF('Part III-Sources of Funds'!$P$41="", 0,-'Part III-Sources of Funds'!$P$41)</f>
        <v>0</v>
      </c>
      <c r="I60" s="2665">
        <f>IF('Part III-Sources of Funds'!$P$41="", 0,-'Part III-Sources of Funds'!$P$41)</f>
        <v>0</v>
      </c>
      <c r="J60" s="2665">
        <f>IF('Part III-Sources of Funds'!$P$41="", 0,-'Part III-Sources of Funds'!$P$41)</f>
        <v>0</v>
      </c>
      <c r="K60" s="2665">
        <f>IF('Part III-Sources of Funds'!$P$41="", 0,-'Part III-Sources of Funds'!$P$41)</f>
        <v>0</v>
      </c>
      <c r="N60" s="3388"/>
      <c r="O60" s="3390"/>
    </row>
    <row r="61" spans="1:19" ht="13.2" customHeight="1">
      <c r="A61" s="20" t="s">
        <v>762</v>
      </c>
      <c r="B61" s="2666"/>
      <c r="C61" s="2666"/>
      <c r="D61" s="2666"/>
      <c r="E61" s="2666"/>
      <c r="F61" s="2666"/>
      <c r="G61" s="2666"/>
      <c r="H61" s="2666"/>
      <c r="I61" s="2666"/>
      <c r="J61" s="2666"/>
      <c r="K61" s="2666"/>
      <c r="N61" s="3388"/>
      <c r="O61" s="3390"/>
    </row>
    <row r="62" spans="1:19" ht="13.2" customHeight="1">
      <c r="A62" s="420" t="s">
        <v>1162</v>
      </c>
      <c r="B62" s="2665"/>
      <c r="C62" s="2665">
        <f t="shared" ref="C62:K62" si="31">+B62</f>
        <v>0</v>
      </c>
      <c r="D62" s="2665">
        <f t="shared" si="31"/>
        <v>0</v>
      </c>
      <c r="E62" s="2665">
        <f t="shared" si="31"/>
        <v>0</v>
      </c>
      <c r="F62" s="2665">
        <f t="shared" si="31"/>
        <v>0</v>
      </c>
      <c r="G62" s="2665">
        <f t="shared" si="31"/>
        <v>0</v>
      </c>
      <c r="H62" s="2665">
        <f t="shared" si="31"/>
        <v>0</v>
      </c>
      <c r="I62" s="2665">
        <f t="shared" si="31"/>
        <v>0</v>
      </c>
      <c r="J62" s="2665"/>
      <c r="K62" s="2665">
        <f t="shared" si="31"/>
        <v>0</v>
      </c>
      <c r="N62" s="3388"/>
      <c r="O62" s="3390"/>
      <c r="Q62" s="971"/>
      <c r="R62" s="1092"/>
    </row>
    <row r="63" spans="1:19" ht="13.2" customHeight="1">
      <c r="A63" s="420" t="s">
        <v>4081</v>
      </c>
      <c r="B63" s="2668">
        <f>IF('Part III-Sources of Funds'!$P$43="", 0,-'Part III-Sources of Funds'!$P$43)</f>
        <v>0</v>
      </c>
      <c r="C63" s="2668">
        <f>IF('Part III-Sources of Funds'!$P$43="", 0,-'Part III-Sources of Funds'!$P$43)</f>
        <v>0</v>
      </c>
      <c r="D63" s="2668">
        <f>IF('Part III-Sources of Funds'!$P$43="", 0,-'Part III-Sources of Funds'!$P$43)</f>
        <v>0</v>
      </c>
      <c r="E63" s="2668">
        <f>IF('Part III-Sources of Funds'!$P$43="", 0,-'Part III-Sources of Funds'!$P$43)</f>
        <v>0</v>
      </c>
      <c r="F63" s="2668">
        <f>IF('Part III-Sources of Funds'!$P$43="", 0,-'Part III-Sources of Funds'!$P$43)</f>
        <v>0</v>
      </c>
      <c r="G63" s="2668"/>
      <c r="H63" s="2668"/>
      <c r="I63" s="2668"/>
      <c r="J63" s="2668"/>
      <c r="K63" s="2668"/>
      <c r="N63" s="3388"/>
      <c r="O63" s="3390"/>
    </row>
    <row r="64" spans="1:19" ht="13.2" customHeight="1">
      <c r="A64" s="20" t="s">
        <v>1163</v>
      </c>
      <c r="B64" s="21">
        <f t="shared" ref="B64:K64" si="32">SUM(B56:B63)</f>
        <v>20006.955258768805</v>
      </c>
      <c r="C64" s="21">
        <f t="shared" si="32"/>
        <v>18080.3338855371</v>
      </c>
      <c r="D64" s="21">
        <f t="shared" si="32"/>
        <v>16044.927270488701</v>
      </c>
      <c r="E64" s="21">
        <f t="shared" si="32"/>
        <v>13898.001124356524</v>
      </c>
      <c r="F64" s="21">
        <f t="shared" si="32"/>
        <v>11632.688914555325</v>
      </c>
      <c r="G64" s="21">
        <f t="shared" si="32"/>
        <v>9246.9874935894404</v>
      </c>
      <c r="H64" s="21">
        <f t="shared" si="32"/>
        <v>6734.7525882265909</v>
      </c>
      <c r="I64" s="21">
        <f t="shared" si="32"/>
        <v>4090.6941450995582</v>
      </c>
      <c r="J64" s="21">
        <f t="shared" si="32"/>
        <v>1311.3715282630728</v>
      </c>
      <c r="K64" s="625">
        <f t="shared" si="32"/>
        <v>-1609.8114359022838</v>
      </c>
      <c r="N64" s="3388"/>
      <c r="O64" s="3390"/>
    </row>
    <row r="65" spans="1:15" ht="13.2" customHeight="1">
      <c r="A65" s="20" t="str">
        <f>$A33</f>
        <v>DCR Mortgage A</v>
      </c>
      <c r="B65" s="23" t="str">
        <f t="shared" ref="B65:K65" si="33">IF(B57=0,"",-B56/B57)</f>
        <v/>
      </c>
      <c r="C65" s="23" t="str">
        <f t="shared" si="33"/>
        <v/>
      </c>
      <c r="D65" s="23" t="str">
        <f t="shared" si="33"/>
        <v/>
      </c>
      <c r="E65" s="23" t="str">
        <f t="shared" si="33"/>
        <v/>
      </c>
      <c r="F65" s="23" t="str">
        <f t="shared" si="33"/>
        <v/>
      </c>
      <c r="G65" s="23" t="str">
        <f t="shared" si="33"/>
        <v/>
      </c>
      <c r="H65" s="23" t="str">
        <f t="shared" si="33"/>
        <v/>
      </c>
      <c r="I65" s="23" t="str">
        <f t="shared" si="33"/>
        <v/>
      </c>
      <c r="J65" s="23" t="str">
        <f t="shared" si="33"/>
        <v/>
      </c>
      <c r="K65" s="24" t="str">
        <f t="shared" si="33"/>
        <v/>
      </c>
      <c r="N65" s="3388"/>
      <c r="O65" s="3390"/>
    </row>
    <row r="66" spans="1:15" ht="13.2"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388"/>
      <c r="O66" s="3390"/>
    </row>
    <row r="67" spans="1:15" ht="13.2"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388"/>
      <c r="O67" s="3390"/>
    </row>
    <row r="68" spans="1:15" ht="13.2"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388"/>
      <c r="O68" s="3390"/>
    </row>
    <row r="69" spans="1:15" ht="13.2" customHeight="1">
      <c r="A69" s="420" t="s">
        <v>3710</v>
      </c>
      <c r="B69" s="23" t="str">
        <f t="shared" ref="B69:K69" si="37">IF(AND(B57=0,B58=0,B59=0,B60=0),"",-B56/(B57+B58+B59+B60))</f>
        <v/>
      </c>
      <c r="C69" s="23" t="str">
        <f t="shared" si="37"/>
        <v/>
      </c>
      <c r="D69" s="23" t="str">
        <f t="shared" si="37"/>
        <v/>
      </c>
      <c r="E69" s="23" t="str">
        <f t="shared" si="37"/>
        <v/>
      </c>
      <c r="F69" s="23" t="str">
        <f t="shared" si="37"/>
        <v/>
      </c>
      <c r="G69" s="23" t="str">
        <f t="shared" si="37"/>
        <v/>
      </c>
      <c r="H69" s="23" t="str">
        <f t="shared" si="37"/>
        <v/>
      </c>
      <c r="I69" s="23" t="str">
        <f t="shared" si="37"/>
        <v/>
      </c>
      <c r="J69" s="23" t="str">
        <f t="shared" si="37"/>
        <v/>
      </c>
      <c r="K69" s="24" t="str">
        <f t="shared" si="37"/>
        <v/>
      </c>
      <c r="N69" s="3388"/>
      <c r="O69" s="3390"/>
    </row>
    <row r="70" spans="1:15" ht="13.2" customHeight="1">
      <c r="A70" s="20" t="s">
        <v>769</v>
      </c>
      <c r="B70" s="266">
        <f t="shared" ref="B70:K70" si="38">IF(OR(B53="Choose mgt fee",B53="Choose One!"),"",(B46+B47+B48+B49+B50) / -(B52+B53+B54))</f>
        <v>1.0859863120610773</v>
      </c>
      <c r="C70" s="266">
        <f t="shared" si="38"/>
        <v>1.0754427556332997</v>
      </c>
      <c r="D70" s="266">
        <f t="shared" si="38"/>
        <v>1.0649996223379872</v>
      </c>
      <c r="E70" s="266">
        <f t="shared" si="38"/>
        <v>1.0546624749641744</v>
      </c>
      <c r="F70" s="266">
        <f t="shared" si="38"/>
        <v>1.0444200024417949</v>
      </c>
      <c r="G70" s="266">
        <f t="shared" si="38"/>
        <v>1.0342816895644191</v>
      </c>
      <c r="H70" s="266">
        <f t="shared" si="38"/>
        <v>1.0242407833519975</v>
      </c>
      <c r="I70" s="266">
        <f t="shared" si="38"/>
        <v>1.0142949967281667</v>
      </c>
      <c r="J70" s="266">
        <f t="shared" si="38"/>
        <v>1.0044491423242365</v>
      </c>
      <c r="K70" s="267">
        <f t="shared" si="38"/>
        <v>0.99469740549095886</v>
      </c>
      <c r="N70" s="3388"/>
      <c r="O70" s="3390"/>
    </row>
    <row r="71" spans="1:15" ht="13.2" customHeight="1">
      <c r="A71" s="420" t="s">
        <v>2616</v>
      </c>
      <c r="B71" s="2669" t="str">
        <f>IF('Part III-Sources of Funds'!$I$38="","",-FV('Part III-Sources of Funds'!$K$38/12,12,B57/12,K39))</f>
        <v/>
      </c>
      <c r="C71" s="2669" t="str">
        <f>IF('Part III-Sources of Funds'!$I$38="","",-FV('Part III-Sources of Funds'!$K$38/12,12,C57/12,B71))</f>
        <v/>
      </c>
      <c r="D71" s="2669" t="str">
        <f>IF('Part III-Sources of Funds'!$I$38="","",-FV('Part III-Sources of Funds'!$K$38/12,12,D57/12,C71))</f>
        <v/>
      </c>
      <c r="E71" s="2669" t="str">
        <f>IF('Part III-Sources of Funds'!$I$38="","",-FV('Part III-Sources of Funds'!$K$38/12,12,E57/12,D71))</f>
        <v/>
      </c>
      <c r="F71" s="2669" t="str">
        <f>IF('Part III-Sources of Funds'!$I$38="","",-FV('Part III-Sources of Funds'!$K$38/12,12,F57/12,E71))</f>
        <v/>
      </c>
      <c r="G71" s="2669" t="str">
        <f>IF('Part III-Sources of Funds'!$I$38="","",-FV('Part III-Sources of Funds'!$K$38/12,12,G57/12,F71))</f>
        <v/>
      </c>
      <c r="H71" s="2669" t="str">
        <f>IF('Part III-Sources of Funds'!$I$38="","",-FV('Part III-Sources of Funds'!$K$38/12,12,H57/12,G71))</f>
        <v/>
      </c>
      <c r="I71" s="2669" t="str">
        <f>IF('Part III-Sources of Funds'!$I$38="","",-FV('Part III-Sources of Funds'!$K$38/12,12,I57/12,H71))</f>
        <v/>
      </c>
      <c r="J71" s="2669" t="str">
        <f>IF('Part III-Sources of Funds'!$I$38="","",-FV('Part III-Sources of Funds'!$K$38/12,12,J57/12,I71))</f>
        <v/>
      </c>
      <c r="K71" s="2669" t="str">
        <f>IF('Part III-Sources of Funds'!$I$38="","",-FV('Part III-Sources of Funds'!$K$38/12,12,K57/12,J71))</f>
        <v/>
      </c>
      <c r="N71" s="3388"/>
      <c r="O71" s="3390"/>
    </row>
    <row r="72" spans="1:15" ht="13.2" customHeight="1">
      <c r="A72" s="420" t="s">
        <v>2617</v>
      </c>
      <c r="B72" s="2665" t="str">
        <f>IF('Part III-Sources of Funds'!$I$39="","",-FV('Part III-Sources of Funds'!$K$39/12,12,B58/12,K40))</f>
        <v/>
      </c>
      <c r="C72" s="2665" t="str">
        <f>IF('Part III-Sources of Funds'!$I$39="","",-FV('Part III-Sources of Funds'!$K$39/12,12,C58/12,B72))</f>
        <v/>
      </c>
      <c r="D72" s="2665" t="str">
        <f>IF('Part III-Sources of Funds'!$I$39="","",-FV('Part III-Sources of Funds'!$K$39/12,12,D58/12,C72))</f>
        <v/>
      </c>
      <c r="E72" s="2665" t="str">
        <f>IF('Part III-Sources of Funds'!$I$39="","",-FV('Part III-Sources of Funds'!$K$39/12,12,E58/12,D72))</f>
        <v/>
      </c>
      <c r="F72" s="2665" t="str">
        <f>IF('Part III-Sources of Funds'!$I$39="","",-FV('Part III-Sources of Funds'!$K$39/12,12,F58/12,E72))</f>
        <v/>
      </c>
      <c r="G72" s="2665" t="str">
        <f>IF('Part III-Sources of Funds'!$I$39="","",-FV('Part III-Sources of Funds'!$K$39/12,12,G58/12,F72))</f>
        <v/>
      </c>
      <c r="H72" s="2665" t="str">
        <f>IF('Part III-Sources of Funds'!$I$39="","",-FV('Part III-Sources of Funds'!$K$39/12,12,H58/12,G72))</f>
        <v/>
      </c>
      <c r="I72" s="2665" t="str">
        <f>IF('Part III-Sources of Funds'!$I$39="","",-FV('Part III-Sources of Funds'!$K$39/12,12,I58/12,H72))</f>
        <v/>
      </c>
      <c r="J72" s="2665" t="str">
        <f>IF('Part III-Sources of Funds'!$I$39="","",-FV('Part III-Sources of Funds'!$K$39/12,12,J58/12,I72))</f>
        <v/>
      </c>
      <c r="K72" s="2665" t="str">
        <f>IF('Part III-Sources of Funds'!$I$39="","",-FV('Part III-Sources of Funds'!$K$39/12,12,K58/12,J72))</f>
        <v/>
      </c>
      <c r="N72" s="3388"/>
      <c r="O72" s="3390"/>
    </row>
    <row r="73" spans="1:15" ht="13.2" customHeight="1">
      <c r="A73" s="420" t="s">
        <v>2618</v>
      </c>
      <c r="B73" s="2665" t="str">
        <f>IF('Part III-Sources of Funds'!$I$40="","",-FV('Part III-Sources of Funds'!$K$40/12,12,B59/12,K41))</f>
        <v/>
      </c>
      <c r="C73" s="2665" t="str">
        <f>IF('Part III-Sources of Funds'!$I$40="","",-FV('Part III-Sources of Funds'!$K$40/12,12,C59/12,B73))</f>
        <v/>
      </c>
      <c r="D73" s="2665" t="str">
        <f>IF('Part III-Sources of Funds'!$I$40="","",-FV('Part III-Sources of Funds'!$K$40/12,12,D59/12,C73))</f>
        <v/>
      </c>
      <c r="E73" s="2665" t="str">
        <f>IF('Part III-Sources of Funds'!$I$40="","",-FV('Part III-Sources of Funds'!$K$40/12,12,E59/12,D73))</f>
        <v/>
      </c>
      <c r="F73" s="2665" t="str">
        <f>IF('Part III-Sources of Funds'!$I$40="","",-FV('Part III-Sources of Funds'!$K$40/12,12,F59/12,E73))</f>
        <v/>
      </c>
      <c r="G73" s="2665" t="str">
        <f>IF('Part III-Sources of Funds'!$I$40="","",-FV('Part III-Sources of Funds'!$K$40/12,12,G59/12,F73))</f>
        <v/>
      </c>
      <c r="H73" s="2665" t="str">
        <f>IF('Part III-Sources of Funds'!$I$40="","",-FV('Part III-Sources of Funds'!$K$40/12,12,H59/12,G73))</f>
        <v/>
      </c>
      <c r="I73" s="2665" t="str">
        <f>IF('Part III-Sources of Funds'!$I$40="","",-FV('Part III-Sources of Funds'!$K$40/12,12,I59/12,H73))</f>
        <v/>
      </c>
      <c r="J73" s="2665" t="str">
        <f>IF('Part III-Sources of Funds'!$I$40="","",-FV('Part III-Sources of Funds'!$K$40/12,12,J59/12,I73))</f>
        <v/>
      </c>
      <c r="K73" s="2665" t="str">
        <f>IF('Part III-Sources of Funds'!$I$40="","",-FV('Part III-Sources of Funds'!$K$40/12,12,K59/12,J73))</f>
        <v/>
      </c>
      <c r="N73" s="3388"/>
      <c r="O73" s="3390"/>
    </row>
    <row r="74" spans="1:15" ht="13.2" customHeight="1">
      <c r="A74" s="20" t="s">
        <v>783</v>
      </c>
      <c r="B74" s="2665" t="str">
        <f>IF('Part III-Sources of Funds'!$I$41="","",-FV('Part III-Sources of Funds'!$K$41/12,12,B60/12,K42))</f>
        <v/>
      </c>
      <c r="C74" s="2665" t="str">
        <f>IF('Part III-Sources of Funds'!$I$41="","",-FV('Part III-Sources of Funds'!$K$41/12,12,C60/12,B74))</f>
        <v/>
      </c>
      <c r="D74" s="2665" t="str">
        <f>IF('Part III-Sources of Funds'!$I$41="","",-FV('Part III-Sources of Funds'!$K$41/12,12,D60/12,C74))</f>
        <v/>
      </c>
      <c r="E74" s="2665" t="str">
        <f>IF('Part III-Sources of Funds'!$I$41="","",-FV('Part III-Sources of Funds'!$K$41/12,12,E60/12,D74))</f>
        <v/>
      </c>
      <c r="F74" s="2665" t="str">
        <f>IF('Part III-Sources of Funds'!$I$41="","",-FV('Part III-Sources of Funds'!$K$41/12,12,F60/12,E74))</f>
        <v/>
      </c>
      <c r="G74" s="2665" t="str">
        <f>IF('Part III-Sources of Funds'!$I$41="","",-FV('Part III-Sources of Funds'!$K$41/12,12,G60/12,F74))</f>
        <v/>
      </c>
      <c r="H74" s="2665" t="str">
        <f>IF('Part III-Sources of Funds'!$I$41="","",-FV('Part III-Sources of Funds'!$K$41/12,12,H60/12,G74))</f>
        <v/>
      </c>
      <c r="I74" s="2665" t="str">
        <f>IF('Part III-Sources of Funds'!$I$41="","",-FV('Part III-Sources of Funds'!$K$41/12,12,I60/12,H74))</f>
        <v/>
      </c>
      <c r="J74" s="2665" t="str">
        <f>IF('Part III-Sources of Funds'!$I$41="","",-FV('Part III-Sources of Funds'!$K$41/12,12,J60/12,I74))</f>
        <v/>
      </c>
      <c r="K74" s="2665" t="str">
        <f>IF('Part III-Sources of Funds'!$I$41="","",-FV('Part III-Sources of Funds'!$K$41/12,12,K60/12,J74))</f>
        <v/>
      </c>
      <c r="N74" s="3388"/>
      <c r="O74" s="3390"/>
    </row>
    <row r="75" spans="1:15" ht="13.2" customHeight="1">
      <c r="A75" s="420" t="s">
        <v>4082</v>
      </c>
      <c r="B75" s="2668">
        <f>IF('Part III-Sources of Funds'!$I$43="","",IF(-FV('Part III-Sources of Funds'!$K$43/12,12,B63/12,K43)&gt;0,-FV('Part III-Sources of Funds'!$K$43/12,12,B63/12,K43),0))</f>
        <v>0</v>
      </c>
      <c r="C75" s="2668">
        <f>IF('Part III-Sources of Funds'!$I$43="","",IF(-FV('Part III-Sources of Funds'!$K$43/12,12,C63/12,B75)&gt;0,-FV('Part III-Sources of Funds'!$K$43/12,12,C63/12,B75),0))</f>
        <v>0</v>
      </c>
      <c r="D75" s="2668">
        <f>IF('Part III-Sources of Funds'!$I$43="","",IF(-FV('Part III-Sources of Funds'!$K$43/12,12,D63/12,C75)&gt;0,-FV('Part III-Sources of Funds'!$K$43/12,12,D63/12,C75),0))</f>
        <v>0</v>
      </c>
      <c r="E75" s="2668">
        <f>IF('Part III-Sources of Funds'!$I$43="","",IF(-FV('Part III-Sources of Funds'!$K$43/12,12,E63/12,D75)&gt;0,-FV('Part III-Sources of Funds'!$K$43/12,12,E63/12,D75),0))</f>
        <v>0</v>
      </c>
      <c r="F75" s="2668">
        <f>IF('Part III-Sources of Funds'!$I$43="","",IF(-FV('Part III-Sources of Funds'!$K$43/12,12,F63/12,E75)&gt;0,-FV('Part III-Sources of Funds'!$K$43/12,12,F63/12,E75),0))</f>
        <v>0</v>
      </c>
      <c r="G75" s="2668">
        <f>IF('Part III-Sources of Funds'!$I$43="","",IF(-FV('Part III-Sources of Funds'!$K$43/12,12,G63/12,F75)&gt;0,-FV('Part III-Sources of Funds'!$K$43/12,12,G63/12,F75),0))</f>
        <v>0</v>
      </c>
      <c r="H75" s="2668" t="str">
        <f>IF('Part III-Sources of Funds'!$I$41="","",-FV('Part III-Sources of Funds'!$K$41/12,12,H61/12,G75))</f>
        <v/>
      </c>
      <c r="I75" s="2668" t="str">
        <f>IF('Part III-Sources of Funds'!$I$41="","",-FV('Part III-Sources of Funds'!$K$41/12,12,I61/12,H75))</f>
        <v/>
      </c>
      <c r="J75" s="2668" t="str">
        <f>IF('Part III-Sources of Funds'!$I$41="","",-FV('Part III-Sources of Funds'!$K$41/12,12,J61/12,I75))</f>
        <v/>
      </c>
      <c r="K75" s="2668" t="str">
        <f>IF('Part III-Sources of Funds'!$I$41="","",-FV('Part III-Sources of Funds'!$K$41/12,12,K61/12,J75))</f>
        <v/>
      </c>
      <c r="N75" s="3392"/>
      <c r="O75" s="3394"/>
    </row>
    <row r="76" spans="1:15" ht="4.2" customHeight="1">
      <c r="B76" s="16"/>
      <c r="C76" s="16"/>
      <c r="D76" s="16"/>
      <c r="E76" s="16"/>
      <c r="F76" s="16"/>
      <c r="G76" s="16"/>
      <c r="H76" s="16"/>
      <c r="I76" s="16"/>
      <c r="J76" s="16"/>
      <c r="K76" s="16"/>
    </row>
    <row r="77" spans="1:15" ht="14.7" customHeight="1">
      <c r="A77" s="12" t="s">
        <v>2479</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107" t="s">
        <v>2622</v>
      </c>
      <c r="O77" s="3107"/>
    </row>
    <row r="78" spans="1:15" ht="13.2" customHeight="1">
      <c r="A78" s="17" t="s">
        <v>2403</v>
      </c>
      <c r="B78" s="18">
        <f t="shared" ref="B78:K78" si="40">$B$14*(1+$B$5)^(B77-1)</f>
        <v>324709.22496918996</v>
      </c>
      <c r="C78" s="18">
        <f t="shared" si="40"/>
        <v>331203.40946857375</v>
      </c>
      <c r="D78" s="18">
        <f t="shared" si="40"/>
        <v>337827.47765794524</v>
      </c>
      <c r="E78" s="18">
        <f t="shared" si="40"/>
        <v>344584.02721110405</v>
      </c>
      <c r="F78" s="18">
        <f t="shared" si="40"/>
        <v>351475.70775532618</v>
      </c>
      <c r="G78" s="18">
        <f t="shared" si="40"/>
        <v>358505.22191043268</v>
      </c>
      <c r="H78" s="18">
        <f t="shared" si="40"/>
        <v>365675.32634864142</v>
      </c>
      <c r="I78" s="18">
        <f t="shared" si="40"/>
        <v>372988.83287561417</v>
      </c>
      <c r="J78" s="18">
        <f t="shared" si="40"/>
        <v>380448.60953312652</v>
      </c>
      <c r="K78" s="19">
        <f t="shared" si="40"/>
        <v>388057.58172378899</v>
      </c>
      <c r="N78" s="3383"/>
      <c r="O78" s="3385"/>
    </row>
    <row r="79" spans="1:15" ht="13.2" customHeight="1">
      <c r="A79" s="20" t="s">
        <v>1015</v>
      </c>
      <c r="B79" s="21">
        <f t="shared" ref="B79:K79" si="41">$B$15*(1+$B$5)^(B77-1)</f>
        <v>6494.1844993837985</v>
      </c>
      <c r="C79" s="21">
        <f t="shared" si="41"/>
        <v>6624.0681893714745</v>
      </c>
      <c r="D79" s="21">
        <f t="shared" si="41"/>
        <v>6756.549553158904</v>
      </c>
      <c r="E79" s="21">
        <f t="shared" si="41"/>
        <v>6891.6805442220812</v>
      </c>
      <c r="F79" s="21">
        <f t="shared" si="41"/>
        <v>7029.5141551065226</v>
      </c>
      <c r="G79" s="21">
        <f t="shared" si="41"/>
        <v>7170.1044382086538</v>
      </c>
      <c r="H79" s="21">
        <f t="shared" si="41"/>
        <v>7313.5065269728275</v>
      </c>
      <c r="I79" s="21">
        <f t="shared" si="41"/>
        <v>7459.7766575122823</v>
      </c>
      <c r="J79" s="21">
        <f t="shared" si="41"/>
        <v>7608.97219066253</v>
      </c>
      <c r="K79" s="22">
        <f t="shared" si="41"/>
        <v>7761.1516344757792</v>
      </c>
      <c r="N79" s="3388"/>
      <c r="O79" s="3390"/>
    </row>
    <row r="80" spans="1:15" ht="13.2" customHeight="1">
      <c r="A80" s="20" t="s">
        <v>2404</v>
      </c>
      <c r="B80" s="21">
        <f t="shared" ref="B80:K80" si="42">-(B78+B79)*$B$8</f>
        <v>-23184.238662800166</v>
      </c>
      <c r="C80" s="21">
        <f t="shared" si="42"/>
        <v>-23647.923436056168</v>
      </c>
      <c r="D80" s="21">
        <f t="shared" si="42"/>
        <v>-24120.881904777296</v>
      </c>
      <c r="E80" s="21">
        <f t="shared" si="42"/>
        <v>-24603.299542872832</v>
      </c>
      <c r="F80" s="21">
        <f t="shared" si="42"/>
        <v>-25095.365533730292</v>
      </c>
      <c r="G80" s="21">
        <f t="shared" si="42"/>
        <v>-25597.272844404895</v>
      </c>
      <c r="H80" s="21">
        <f t="shared" si="42"/>
        <v>-26109.218301293</v>
      </c>
      <c r="I80" s="21">
        <f t="shared" si="42"/>
        <v>-26631.402667318856</v>
      </c>
      <c r="J80" s="21">
        <f t="shared" si="42"/>
        <v>-27164.030720665236</v>
      </c>
      <c r="K80" s="22">
        <f t="shared" si="42"/>
        <v>-27707.311335078539</v>
      </c>
      <c r="N80" s="3388"/>
      <c r="O80" s="3390"/>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388"/>
      <c r="O81" s="3390"/>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388"/>
      <c r="O82" s="3390"/>
    </row>
    <row r="83" spans="1:19" ht="13.2" customHeight="1">
      <c r="A83" s="420" t="s">
        <v>4939</v>
      </c>
      <c r="B83" s="21">
        <f t="shared" ref="B83:K83" si="43">SUM(B78:B82)</f>
        <v>308019.17080577358</v>
      </c>
      <c r="C83" s="21">
        <f t="shared" si="43"/>
        <v>314179.55422188906</v>
      </c>
      <c r="D83" s="21">
        <f t="shared" si="43"/>
        <v>320463.14530632686</v>
      </c>
      <c r="E83" s="21">
        <f t="shared" si="43"/>
        <v>326872.4082124533</v>
      </c>
      <c r="F83" s="21">
        <f t="shared" si="43"/>
        <v>333409.85637670237</v>
      </c>
      <c r="G83" s="21">
        <f t="shared" si="43"/>
        <v>340078.05350423639</v>
      </c>
      <c r="H83" s="21">
        <f t="shared" si="43"/>
        <v>346879.61457432125</v>
      </c>
      <c r="I83" s="21">
        <f t="shared" si="43"/>
        <v>353817.20686580759</v>
      </c>
      <c r="J83" s="21">
        <f t="shared" si="43"/>
        <v>360893.55100312381</v>
      </c>
      <c r="K83" s="22">
        <f t="shared" si="43"/>
        <v>368111.42202318623</v>
      </c>
      <c r="N83" s="3388"/>
      <c r="O83" s="3390"/>
    </row>
    <row r="84" spans="1:19" ht="13.2" customHeight="1">
      <c r="A84" s="20" t="s">
        <v>613</v>
      </c>
      <c r="B84" s="21">
        <f t="shared" ref="B84:K84" si="44">$B$20*(1+$B$6)^(B77-1)</f>
        <v>-261205.22509159456</v>
      </c>
      <c r="C84" s="21">
        <f t="shared" si="44"/>
        <v>-269041.38184434234</v>
      </c>
      <c r="D84" s="21">
        <f t="shared" si="44"/>
        <v>-277112.62329967268</v>
      </c>
      <c r="E84" s="21">
        <f t="shared" si="44"/>
        <v>-285426.00199866283</v>
      </c>
      <c r="F84" s="21">
        <f t="shared" si="44"/>
        <v>-293988.78205862269</v>
      </c>
      <c r="G84" s="21">
        <f t="shared" si="44"/>
        <v>-302808.44552038138</v>
      </c>
      <c r="H84" s="21">
        <f t="shared" si="44"/>
        <v>-311892.69888599287</v>
      </c>
      <c r="I84" s="21">
        <f t="shared" si="44"/>
        <v>-321249.47985257261</v>
      </c>
      <c r="J84" s="21">
        <f t="shared" si="44"/>
        <v>-330886.96424814977</v>
      </c>
      <c r="K84" s="22">
        <f t="shared" si="44"/>
        <v>-340813.57317559421</v>
      </c>
      <c r="N84" s="3388"/>
      <c r="O84" s="3390"/>
    </row>
    <row r="85" spans="1:19" ht="13.2" customHeight="1">
      <c r="A85" s="20" t="s">
        <v>1114</v>
      </c>
      <c r="B85" s="21">
        <f>IF(AND('Part VII-Pro Forma'!$G$8="Yes",'Part VII-Pro Forma'!$G$9="Yes"),"Choose One!",IF('Part VII-Pro Forma'!$G$8="Yes",ROUND((-$K$8*(1+'Part VII-Pro Forma'!$B$6)^('Part VII-Pro Forma'!B77-1)),),IF('Part VII-Pro Forma'!$G$9="Yes",ROUND((-(SUM(B78:B81)*'Part VII-Pro Forma'!$K$9)),),"Choose mgt fee")))</f>
        <v>-26207</v>
      </c>
      <c r="C85" s="21">
        <f>IF(AND('Part VII-Pro Forma'!$G$8="Yes",'Part VII-Pro Forma'!$G$9="Yes"),"Choose One!",IF('Part VII-Pro Forma'!$G$8="Yes",ROUND((-$K$8*(1+'Part VII-Pro Forma'!$B$6)^('Part VII-Pro Forma'!C77-1)),),IF('Part VII-Pro Forma'!$G$9="Yes",ROUND((-(SUM(C78:C81)*'Part VII-Pro Forma'!$K$9)),),"Choose mgt fee")))</f>
        <v>-26993</v>
      </c>
      <c r="D85" s="21">
        <f>IF(AND('Part VII-Pro Forma'!$G$8="Yes",'Part VII-Pro Forma'!$G$9="Yes"),"Choose One!",IF('Part VII-Pro Forma'!$G$8="Yes",ROUND((-$K$8*(1+'Part VII-Pro Forma'!$B$6)^('Part VII-Pro Forma'!D77-1)),),IF('Part VII-Pro Forma'!$G$9="Yes",ROUND((-(SUM(D78:D81)*'Part VII-Pro Forma'!$K$9)),),"Choose mgt fee")))</f>
        <v>-27803</v>
      </c>
      <c r="E85" s="21">
        <f>IF(AND('Part VII-Pro Forma'!$G$8="Yes",'Part VII-Pro Forma'!$G$9="Yes"),"Choose One!",IF('Part VII-Pro Forma'!$G$8="Yes",ROUND((-$K$8*(1+'Part VII-Pro Forma'!$B$6)^('Part VII-Pro Forma'!E77-1)),),IF('Part VII-Pro Forma'!$G$9="Yes",ROUND((-(SUM(E78:E81)*'Part VII-Pro Forma'!$K$9)),),"Choose mgt fee")))</f>
        <v>-28637</v>
      </c>
      <c r="F85" s="21">
        <f>IF(AND('Part VII-Pro Forma'!$G$8="Yes",'Part VII-Pro Forma'!$G$9="Yes"),"Choose One!",IF('Part VII-Pro Forma'!$G$8="Yes",ROUND((-$K$8*(1+'Part VII-Pro Forma'!$B$6)^('Part VII-Pro Forma'!F77-1)),),IF('Part VII-Pro Forma'!$G$9="Yes",ROUND((-(SUM(F78:F81)*'Part VII-Pro Forma'!$K$9)),),"Choose mgt fee")))</f>
        <v>-29496</v>
      </c>
      <c r="G85" s="21">
        <f>IF(AND('Part VII-Pro Forma'!$G$8="Yes",'Part VII-Pro Forma'!$G$9="Yes"),"Choose One!",IF('Part VII-Pro Forma'!$G$8="Yes",ROUND((-$K$8*(1+'Part VII-Pro Forma'!$B$6)^('Part VII-Pro Forma'!G77-1)),),IF('Part VII-Pro Forma'!$G$9="Yes",ROUND((-(SUM(G78:G81)*'Part VII-Pro Forma'!$K$9)),),"Choose mgt fee")))</f>
        <v>-30381</v>
      </c>
      <c r="H85" s="21">
        <f>IF(AND('Part VII-Pro Forma'!$G$8="Yes",'Part VII-Pro Forma'!$G$9="Yes"),"Choose One!",IF('Part VII-Pro Forma'!$G$8="Yes",ROUND((-$K$8*(1+'Part VII-Pro Forma'!$B$6)^('Part VII-Pro Forma'!H77-1)),),IF('Part VII-Pro Forma'!$G$9="Yes",ROUND((-(SUM(H78:H81)*'Part VII-Pro Forma'!$K$9)),),"Choose mgt fee")))</f>
        <v>-31292</v>
      </c>
      <c r="I85" s="21">
        <f>IF(AND('Part VII-Pro Forma'!$G$8="Yes",'Part VII-Pro Forma'!$G$9="Yes"),"Choose One!",IF('Part VII-Pro Forma'!$G$8="Yes",ROUND((-$K$8*(1+'Part VII-Pro Forma'!$B$6)^('Part VII-Pro Forma'!I77-1)),),IF('Part VII-Pro Forma'!$G$9="Yes",ROUND((-(SUM(I78:I81)*'Part VII-Pro Forma'!$K$9)),),"Choose mgt fee")))</f>
        <v>-32231</v>
      </c>
      <c r="J85" s="21">
        <f>IF(AND('Part VII-Pro Forma'!$G$8="Yes",'Part VII-Pro Forma'!$G$9="Yes"),"Choose One!",IF('Part VII-Pro Forma'!$G$8="Yes",ROUND((-$K$8*(1+'Part VII-Pro Forma'!$B$6)^('Part VII-Pro Forma'!J77-1)),),IF('Part VII-Pro Forma'!$G$9="Yes",ROUND((-(SUM(J78:J81)*'Part VII-Pro Forma'!$K$9)),),"Choose mgt fee")))</f>
        <v>-33198</v>
      </c>
      <c r="K85" s="22">
        <f>IF(AND('Part VII-Pro Forma'!$G$8="Yes",'Part VII-Pro Forma'!$G$9="Yes"),"Choose One!",IF('Part VII-Pro Forma'!$G$8="Yes",ROUND((-$K$8*(1+'Part VII-Pro Forma'!$B$6)^('Part VII-Pro Forma'!K77-1)),),IF('Part VII-Pro Forma'!$G$9="Yes",ROUND((-(SUM(K78:K81)*'Part VII-Pro Forma'!$K$9)),),"Choose mgt fee")))</f>
        <v>-34194</v>
      </c>
      <c r="N85" s="3388"/>
      <c r="O85" s="3390"/>
    </row>
    <row r="86" spans="1:19" ht="13.2" customHeight="1">
      <c r="A86" s="20" t="s">
        <v>1201</v>
      </c>
      <c r="B86" s="21">
        <f t="shared" ref="B86:K86" si="45">$B$22*(1+$B$7)^(B77-1)</f>
        <v>-25285.557285371786</v>
      </c>
      <c r="C86" s="21">
        <f t="shared" si="45"/>
        <v>-26044.124003932935</v>
      </c>
      <c r="D86" s="21">
        <f t="shared" si="45"/>
        <v>-26825.447724050926</v>
      </c>
      <c r="E86" s="21">
        <f t="shared" si="45"/>
        <v>-27630.211155772457</v>
      </c>
      <c r="F86" s="21">
        <f t="shared" si="45"/>
        <v>-28459.117490445624</v>
      </c>
      <c r="G86" s="21">
        <f t="shared" si="45"/>
        <v>-29312.891015158995</v>
      </c>
      <c r="H86" s="21">
        <f t="shared" si="45"/>
        <v>-30192.277745613766</v>
      </c>
      <c r="I86" s="21">
        <f t="shared" si="45"/>
        <v>-31098.046077982177</v>
      </c>
      <c r="J86" s="21">
        <f t="shared" si="45"/>
        <v>-32030.987460321641</v>
      </c>
      <c r="K86" s="22">
        <f t="shared" si="45"/>
        <v>-32991.917084131288</v>
      </c>
      <c r="N86" s="3388"/>
      <c r="O86" s="3390"/>
    </row>
    <row r="87" spans="1:19" ht="13.2" customHeight="1">
      <c r="A87" s="420" t="s">
        <v>4938</v>
      </c>
      <c r="B87" s="2663">
        <f>IF(B77&lt;=+'Part VI-Revenues &amp; Expenses'!$K$243,-'Part VI-Revenues &amp; Expenses'!$H$243,0)</f>
        <v>0</v>
      </c>
      <c r="C87" s="2663">
        <f>IF(C77&lt;=+'Part VI-Revenues &amp; Expenses'!$K$243,-'Part VI-Revenues &amp; Expenses'!$H$243,0)</f>
        <v>0</v>
      </c>
      <c r="D87" s="2663">
        <f>IF(D77&lt;=+'Part VI-Revenues &amp; Expenses'!$K$243,-'Part VI-Revenues &amp; Expenses'!$H$243,0)</f>
        <v>0</v>
      </c>
      <c r="E87" s="2663">
        <f>IF(E77&lt;=+'Part VI-Revenues &amp; Expenses'!$K$243,-'Part VI-Revenues &amp; Expenses'!$H$243,0)</f>
        <v>0</v>
      </c>
      <c r="F87" s="2663">
        <f>IF(F77&lt;=+'Part VI-Revenues &amp; Expenses'!$K$243,-'Part VI-Revenues &amp; Expenses'!$H$243,0)</f>
        <v>0</v>
      </c>
      <c r="G87" s="2663">
        <f>IF(G77&lt;=+'Part VI-Revenues &amp; Expenses'!$K$243,-'Part VI-Revenues &amp; Expenses'!$H$243,0)</f>
        <v>0</v>
      </c>
      <c r="H87" s="2663">
        <f>IF(H77&lt;=+'Part VI-Revenues &amp; Expenses'!$K$243,-'Part VI-Revenues &amp; Expenses'!$H$243,0)</f>
        <v>0</v>
      </c>
      <c r="I87" s="2663">
        <f>IF(I77&lt;=+'Part VI-Revenues &amp; Expenses'!$K$243,-'Part VI-Revenues &amp; Expenses'!$H$243,0)</f>
        <v>0</v>
      </c>
      <c r="J87" s="2663">
        <f>IF(J77&lt;=+'Part VI-Revenues &amp; Expenses'!$K$243,-'Part VI-Revenues &amp; Expenses'!$H$243,0)</f>
        <v>0</v>
      </c>
      <c r="K87" s="2663">
        <f>IF(K77&lt;=+'Part VI-Revenues &amp; Expenses'!$K$243,-'Part VI-Revenues &amp; Expenses'!$H$243,0)</f>
        <v>0</v>
      </c>
      <c r="N87" s="3388"/>
      <c r="O87" s="3390"/>
      <c r="Q87" s="971">
        <v>10</v>
      </c>
      <c r="R87" s="1092">
        <f>-SUM(B92:K92)</f>
        <v>0</v>
      </c>
      <c r="S87" s="1092">
        <f>SUM(B93:K93)+R87</f>
        <v>0</v>
      </c>
    </row>
    <row r="88" spans="1:19" ht="13.2" customHeight="1">
      <c r="A88" s="20" t="s">
        <v>1202</v>
      </c>
      <c r="B88" s="21">
        <f>SUM(B83:B87)</f>
        <v>-4678.6115711927669</v>
      </c>
      <c r="C88" s="21">
        <f t="shared" ref="C88" si="46">SUM(C83:C87)</f>
        <v>-7898.9516263862097</v>
      </c>
      <c r="D88" s="21">
        <f t="shared" ref="D88" si="47">SUM(D83:D87)</f>
        <v>-11277.925717396745</v>
      </c>
      <c r="E88" s="21">
        <f t="shared" ref="E88" si="48">SUM(E83:E87)</f>
        <v>-14820.804941981987</v>
      </c>
      <c r="F88" s="21">
        <f t="shared" ref="F88" si="49">SUM(F83:F87)</f>
        <v>-18534.043172365939</v>
      </c>
      <c r="G88" s="21">
        <f t="shared" ref="G88" si="50">SUM(G83:G87)</f>
        <v>-22424.283031303989</v>
      </c>
      <c r="H88" s="21">
        <f t="shared" ref="H88" si="51">SUM(H83:H87)</f>
        <v>-26497.36205728538</v>
      </c>
      <c r="I88" s="21">
        <f t="shared" ref="I88" si="52">SUM(I83:I87)</f>
        <v>-30761.319064747197</v>
      </c>
      <c r="J88" s="21">
        <f t="shared" ref="J88" si="53">SUM(J83:J87)</f>
        <v>-35222.400705347609</v>
      </c>
      <c r="K88" s="2156">
        <f>SUM(K83:K87)</f>
        <v>-39888.068236539271</v>
      </c>
      <c r="N88" s="3388"/>
      <c r="O88" s="3390"/>
    </row>
    <row r="89" spans="1:19" ht="13.2" customHeight="1">
      <c r="A89" s="20" t="str">
        <f>$A57</f>
        <v>Mortgage A</v>
      </c>
      <c r="B89" s="2664">
        <f>IF('Part III-Sources of Funds'!$P$38="", 0,-'Part III-Sources of Funds'!$P$38)</f>
        <v>0</v>
      </c>
      <c r="C89" s="2664">
        <f>IF('Part III-Sources of Funds'!$P$38="", 0,-'Part III-Sources of Funds'!$P$38)</f>
        <v>0</v>
      </c>
      <c r="D89" s="2664">
        <f>IF('Part III-Sources of Funds'!$P$38="", 0,-'Part III-Sources of Funds'!$P$38)</f>
        <v>0</v>
      </c>
      <c r="E89" s="2664">
        <f>IF('Part III-Sources of Funds'!$P$38="", 0,-'Part III-Sources of Funds'!$P$38)</f>
        <v>0</v>
      </c>
      <c r="F89" s="2664">
        <f>IF('Part III-Sources of Funds'!$P$38="", 0,-'Part III-Sources of Funds'!$P$38)</f>
        <v>0</v>
      </c>
      <c r="G89" s="2664">
        <f>IF('Part III-Sources of Funds'!$P$38="", 0,-'Part III-Sources of Funds'!$P$38)</f>
        <v>0</v>
      </c>
      <c r="H89" s="2664">
        <f>IF('Part III-Sources of Funds'!$P$38="", 0,-'Part III-Sources of Funds'!$P$38)</f>
        <v>0</v>
      </c>
      <c r="I89" s="2664">
        <f>IF('Part III-Sources of Funds'!$P$38="", 0,-'Part III-Sources of Funds'!$P$38)</f>
        <v>0</v>
      </c>
      <c r="J89" s="2664">
        <f>IF('Part III-Sources of Funds'!$P$38="", 0,-'Part III-Sources of Funds'!$P$38)</f>
        <v>0</v>
      </c>
      <c r="K89" s="2664">
        <f>IF('Part III-Sources of Funds'!$P$38="", 0,-'Part III-Sources of Funds'!$P$38)</f>
        <v>0</v>
      </c>
      <c r="N89" s="3388"/>
      <c r="O89" s="3390"/>
    </row>
    <row r="90" spans="1:19" ht="13.2" customHeight="1">
      <c r="A90" s="20" t="str">
        <f>$A58</f>
        <v>Mortgage B</v>
      </c>
      <c r="B90" s="2665">
        <f>IF('Part III-Sources of Funds'!$P$39="", 0,-'Part III-Sources of Funds'!$P$39)</f>
        <v>0</v>
      </c>
      <c r="C90" s="2665">
        <f>IF('Part III-Sources of Funds'!$P$39="", 0,-'Part III-Sources of Funds'!$P$39)</f>
        <v>0</v>
      </c>
      <c r="D90" s="2665">
        <f>IF('Part III-Sources of Funds'!$P$39="", 0,-'Part III-Sources of Funds'!$P$39)</f>
        <v>0</v>
      </c>
      <c r="E90" s="2665">
        <f>IF('Part III-Sources of Funds'!$P$39="", 0,-'Part III-Sources of Funds'!$P$39)</f>
        <v>0</v>
      </c>
      <c r="F90" s="2665">
        <f>IF('Part III-Sources of Funds'!$P$39="", 0,-'Part III-Sources of Funds'!$P$39)</f>
        <v>0</v>
      </c>
      <c r="G90" s="2665">
        <f>IF('Part III-Sources of Funds'!$P$39="", 0,-'Part III-Sources of Funds'!$P$39)</f>
        <v>0</v>
      </c>
      <c r="H90" s="2665">
        <f>IF('Part III-Sources of Funds'!$P$39="", 0,-'Part III-Sources of Funds'!$P$39)</f>
        <v>0</v>
      </c>
      <c r="I90" s="2665">
        <f>IF('Part III-Sources of Funds'!$P$39="", 0,-'Part III-Sources of Funds'!$P$39)</f>
        <v>0</v>
      </c>
      <c r="J90" s="2665">
        <f>IF('Part III-Sources of Funds'!$P$39="", 0,-'Part III-Sources of Funds'!$P$39)</f>
        <v>0</v>
      </c>
      <c r="K90" s="2665">
        <f>IF('Part III-Sources of Funds'!$P$39="", 0,-'Part III-Sources of Funds'!$P$39)</f>
        <v>0</v>
      </c>
      <c r="N90" s="3388"/>
      <c r="O90" s="3390"/>
    </row>
    <row r="91" spans="1:19" ht="13.2" customHeight="1">
      <c r="A91" s="20" t="str">
        <f>$A59</f>
        <v>Mortgage C</v>
      </c>
      <c r="B91" s="2665">
        <f>IF('Part III-Sources of Funds'!$P$40="", 0,-'Part III-Sources of Funds'!$P$40)</f>
        <v>0</v>
      </c>
      <c r="C91" s="2665">
        <f>IF('Part III-Sources of Funds'!$P$40="", 0,-'Part III-Sources of Funds'!$P$40)</f>
        <v>0</v>
      </c>
      <c r="D91" s="2665">
        <f>IF('Part III-Sources of Funds'!$P$40="", 0,-'Part III-Sources of Funds'!$P$40)</f>
        <v>0</v>
      </c>
      <c r="E91" s="2665">
        <f>IF('Part III-Sources of Funds'!$P$40="", 0,-'Part III-Sources of Funds'!$P$40)</f>
        <v>0</v>
      </c>
      <c r="F91" s="2665">
        <f>IF('Part III-Sources of Funds'!$P$40="", 0,-'Part III-Sources of Funds'!$P$40)</f>
        <v>0</v>
      </c>
      <c r="G91" s="2665">
        <f>IF('Part III-Sources of Funds'!$P$40="", 0,-'Part III-Sources of Funds'!$P$40)</f>
        <v>0</v>
      </c>
      <c r="H91" s="2665">
        <f>IF('Part III-Sources of Funds'!$P$40="", 0,-'Part III-Sources of Funds'!$P$40)</f>
        <v>0</v>
      </c>
      <c r="I91" s="2665">
        <f>IF('Part III-Sources of Funds'!$P$40="", 0,-'Part III-Sources of Funds'!$P$40)</f>
        <v>0</v>
      </c>
      <c r="J91" s="2665">
        <f>IF('Part III-Sources of Funds'!$P$40="", 0,-'Part III-Sources of Funds'!$P$40)</f>
        <v>0</v>
      </c>
      <c r="K91" s="2665">
        <f>IF('Part III-Sources of Funds'!$P$40="", 0,-'Part III-Sources of Funds'!$P$40)</f>
        <v>0</v>
      </c>
      <c r="N91" s="3388"/>
      <c r="O91" s="3390"/>
    </row>
    <row r="92" spans="1:19" ht="13.2" customHeight="1">
      <c r="A92" s="20" t="str">
        <f>$A60</f>
        <v>D/S Other Source,not DDF</v>
      </c>
      <c r="B92" s="2665">
        <f>IF('Part III-Sources of Funds'!$P$41="", 0,-'Part III-Sources of Funds'!$P$41)</f>
        <v>0</v>
      </c>
      <c r="C92" s="2665">
        <f>IF('Part III-Sources of Funds'!$P$41="", 0,-'Part III-Sources of Funds'!$P$41)</f>
        <v>0</v>
      </c>
      <c r="D92" s="2665">
        <f>IF('Part III-Sources of Funds'!$P$41="", 0,-'Part III-Sources of Funds'!$P$41)</f>
        <v>0</v>
      </c>
      <c r="E92" s="2665">
        <f>IF('Part III-Sources of Funds'!$P$41="", 0,-'Part III-Sources of Funds'!$P$41)</f>
        <v>0</v>
      </c>
      <c r="F92" s="2665">
        <f>IF('Part III-Sources of Funds'!$P$41="", 0,-'Part III-Sources of Funds'!$P$41)</f>
        <v>0</v>
      </c>
      <c r="G92" s="2665">
        <f>IF('Part III-Sources of Funds'!$P$41="", 0,-'Part III-Sources of Funds'!$P$41)</f>
        <v>0</v>
      </c>
      <c r="H92" s="2665">
        <f>IF('Part III-Sources of Funds'!$P$41="", 0,-'Part III-Sources of Funds'!$P$41)</f>
        <v>0</v>
      </c>
      <c r="I92" s="2665">
        <f>IF('Part III-Sources of Funds'!$P$41="", 0,-'Part III-Sources of Funds'!$P$41)</f>
        <v>0</v>
      </c>
      <c r="J92" s="2665">
        <f>IF('Part III-Sources of Funds'!$P$41="", 0,-'Part III-Sources of Funds'!$P$41)</f>
        <v>0</v>
      </c>
      <c r="K92" s="2665">
        <f>IF('Part III-Sources of Funds'!$P$41="", 0,-'Part III-Sources of Funds'!$P$41)</f>
        <v>0</v>
      </c>
      <c r="N92" s="3388"/>
      <c r="O92" s="3390"/>
    </row>
    <row r="93" spans="1:19" ht="13.2" customHeight="1">
      <c r="A93" s="20" t="s">
        <v>762</v>
      </c>
      <c r="B93" s="2666"/>
      <c r="C93" s="2666"/>
      <c r="D93" s="2666"/>
      <c r="E93" s="2666"/>
      <c r="F93" s="2666"/>
      <c r="G93" s="2666"/>
      <c r="H93" s="2666"/>
      <c r="I93" s="2666"/>
      <c r="J93" s="2666"/>
      <c r="K93" s="2666"/>
      <c r="N93" s="3388"/>
      <c r="O93" s="3390"/>
    </row>
    <row r="94" spans="1:19" ht="13.2" customHeight="1">
      <c r="A94" s="420" t="s">
        <v>1162</v>
      </c>
      <c r="B94" s="2668"/>
      <c r="C94" s="2668">
        <f t="shared" ref="C94:K94" si="54">+B94</f>
        <v>0</v>
      </c>
      <c r="D94" s="2668">
        <f t="shared" si="54"/>
        <v>0</v>
      </c>
      <c r="E94" s="2668">
        <f t="shared" si="54"/>
        <v>0</v>
      </c>
      <c r="F94" s="2668">
        <f t="shared" si="54"/>
        <v>0</v>
      </c>
      <c r="G94" s="2668">
        <f t="shared" si="54"/>
        <v>0</v>
      </c>
      <c r="H94" s="2668">
        <f t="shared" si="54"/>
        <v>0</v>
      </c>
      <c r="I94" s="2668">
        <f t="shared" si="54"/>
        <v>0</v>
      </c>
      <c r="J94" s="2668">
        <f t="shared" si="54"/>
        <v>0</v>
      </c>
      <c r="K94" s="2668">
        <f t="shared" si="54"/>
        <v>0</v>
      </c>
      <c r="N94" s="3388"/>
      <c r="O94" s="3390"/>
    </row>
    <row r="95" spans="1:19" ht="13.2" customHeight="1">
      <c r="A95" s="20" t="s">
        <v>1163</v>
      </c>
      <c r="B95" s="21">
        <f t="shared" ref="B95:K95" si="55">SUM(B88:B94)</f>
        <v>-4678.6115711927669</v>
      </c>
      <c r="C95" s="21">
        <f t="shared" si="55"/>
        <v>-7898.9516263862097</v>
      </c>
      <c r="D95" s="21">
        <f t="shared" si="55"/>
        <v>-11277.925717396745</v>
      </c>
      <c r="E95" s="21">
        <f t="shared" si="55"/>
        <v>-14820.804941981987</v>
      </c>
      <c r="F95" s="21">
        <f t="shared" si="55"/>
        <v>-18534.043172365939</v>
      </c>
      <c r="G95" s="21">
        <f t="shared" si="55"/>
        <v>-22424.283031303989</v>
      </c>
      <c r="H95" s="21">
        <f t="shared" si="55"/>
        <v>-26497.36205728538</v>
      </c>
      <c r="I95" s="21">
        <f t="shared" si="55"/>
        <v>-30761.319064747197</v>
      </c>
      <c r="J95" s="21">
        <f t="shared" si="55"/>
        <v>-35222.400705347609</v>
      </c>
      <c r="K95" s="22">
        <f t="shared" si="55"/>
        <v>-39888.068236539271</v>
      </c>
      <c r="N95" s="3388"/>
      <c r="O95" s="3390"/>
    </row>
    <row r="96" spans="1:19" ht="13.2" customHeight="1">
      <c r="A96" s="20" t="str">
        <f>$A65</f>
        <v>DCR Mortgage A</v>
      </c>
      <c r="B96" s="23" t="str">
        <f t="shared" ref="B96:K96" si="56">IF(B89=0,"",-B88/B89)</f>
        <v/>
      </c>
      <c r="C96" s="23" t="str">
        <f t="shared" si="56"/>
        <v/>
      </c>
      <c r="D96" s="23" t="str">
        <f t="shared" si="56"/>
        <v/>
      </c>
      <c r="E96" s="23" t="str">
        <f t="shared" si="56"/>
        <v/>
      </c>
      <c r="F96" s="23" t="str">
        <f t="shared" si="56"/>
        <v/>
      </c>
      <c r="G96" s="23" t="str">
        <f t="shared" si="56"/>
        <v/>
      </c>
      <c r="H96" s="23" t="str">
        <f t="shared" si="56"/>
        <v/>
      </c>
      <c r="I96" s="23" t="str">
        <f t="shared" si="56"/>
        <v/>
      </c>
      <c r="J96" s="23" t="str">
        <f t="shared" si="56"/>
        <v/>
      </c>
      <c r="K96" s="24" t="str">
        <f t="shared" si="56"/>
        <v/>
      </c>
      <c r="N96" s="3388"/>
      <c r="O96" s="3390"/>
    </row>
    <row r="97" spans="1:15" ht="13.2"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388"/>
      <c r="O97" s="3390"/>
    </row>
    <row r="98" spans="1:15" ht="13.2"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388"/>
      <c r="O98" s="3390"/>
    </row>
    <row r="99" spans="1:15" ht="13.2"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388"/>
      <c r="O99" s="3390"/>
    </row>
    <row r="100" spans="1:15" ht="13.2" customHeight="1">
      <c r="A100" s="420" t="s">
        <v>3710</v>
      </c>
      <c r="B100" s="23" t="str">
        <f t="shared" ref="B100:K100" si="60">IF(AND(B89=0,B90=0,B91=0,B92=0),"",-B88/(B89+B90+B91+B92))</f>
        <v/>
      </c>
      <c r="C100" s="23" t="str">
        <f t="shared" si="60"/>
        <v/>
      </c>
      <c r="D100" s="23" t="str">
        <f t="shared" si="60"/>
        <v/>
      </c>
      <c r="E100" s="23" t="str">
        <f t="shared" si="60"/>
        <v/>
      </c>
      <c r="F100" s="23" t="str">
        <f t="shared" si="60"/>
        <v/>
      </c>
      <c r="G100" s="23" t="str">
        <f t="shared" si="60"/>
        <v/>
      </c>
      <c r="H100" s="23" t="str">
        <f t="shared" si="60"/>
        <v/>
      </c>
      <c r="I100" s="23" t="str">
        <f t="shared" si="60"/>
        <v/>
      </c>
      <c r="J100" s="23" t="str">
        <f t="shared" si="60"/>
        <v/>
      </c>
      <c r="K100" s="24" t="str">
        <f t="shared" si="60"/>
        <v/>
      </c>
      <c r="N100" s="3388"/>
      <c r="O100" s="3390"/>
    </row>
    <row r="101" spans="1:15" ht="13.2" customHeight="1">
      <c r="A101" s="20" t="s">
        <v>769</v>
      </c>
      <c r="B101" s="266">
        <f>IF(OR(B85="Choose mgt fee",B85="Choose One!"),"",(B78+B79+B80+B81+B82) / -(B84+B85+B86))</f>
        <v>0.9850379125312998</v>
      </c>
      <c r="C101" s="266">
        <f t="shared" ref="C101:K101" si="61">IF(OR(C85="Choose mgt fee",C85="Choose One!"),"",(C78+C79+C80+C81+C82) / -(C84+C85+C86))</f>
        <v>0.9754750736762694</v>
      </c>
      <c r="D101" s="266">
        <f t="shared" si="61"/>
        <v>0.96600383038918258</v>
      </c>
      <c r="E101" s="266">
        <f t="shared" si="61"/>
        <v>0.95662540439372612</v>
      </c>
      <c r="F101" s="266">
        <f t="shared" si="61"/>
        <v>0.94733807519859592</v>
      </c>
      <c r="G101" s="266">
        <f t="shared" si="61"/>
        <v>0.93814030760294009</v>
      </c>
      <c r="H101" s="266">
        <f t="shared" si="61"/>
        <v>0.92903321919758042</v>
      </c>
      <c r="I101" s="266">
        <f t="shared" si="61"/>
        <v>0.92001290506193811</v>
      </c>
      <c r="J101" s="266">
        <f t="shared" si="61"/>
        <v>0.91108057993264013</v>
      </c>
      <c r="K101" s="267">
        <f t="shared" si="61"/>
        <v>0.90223500472721863</v>
      </c>
      <c r="N101" s="3388"/>
      <c r="O101" s="3390"/>
    </row>
    <row r="102" spans="1:15" ht="13.2" customHeight="1">
      <c r="A102" s="420" t="s">
        <v>2616</v>
      </c>
      <c r="B102" s="2669" t="str">
        <f>IF('Part III-Sources of Funds'!$I$38="","",-FV('Part III-Sources of Funds'!$K$38/12,12,B89/12,K71))</f>
        <v/>
      </c>
      <c r="C102" s="2669" t="str">
        <f>IF('Part III-Sources of Funds'!$I$38="","",-FV('Part III-Sources of Funds'!$K$38/12,12,C89/12,B102))</f>
        <v/>
      </c>
      <c r="D102" s="2669" t="str">
        <f>IF('Part III-Sources of Funds'!$I$38="","",-FV('Part III-Sources of Funds'!$K$38/12,12,D89/12,C102))</f>
        <v/>
      </c>
      <c r="E102" s="2669" t="str">
        <f>IF('Part III-Sources of Funds'!$I$38="","",-FV('Part III-Sources of Funds'!$K$38/12,12,E89/12,D102))</f>
        <v/>
      </c>
      <c r="F102" s="2669" t="str">
        <f>IF('Part III-Sources of Funds'!$I$38="","",-FV('Part III-Sources of Funds'!$K$38/12,12,F89/12,E102))</f>
        <v/>
      </c>
      <c r="G102" s="2669" t="str">
        <f>IF('Part III-Sources of Funds'!$I$38="","",-FV('Part III-Sources of Funds'!$K$38/12,12,G89/12,F102))</f>
        <v/>
      </c>
      <c r="H102" s="2669" t="str">
        <f>IF('Part III-Sources of Funds'!$I$38="","",-FV('Part III-Sources of Funds'!$K$38/12,12,H89/12,G102))</f>
        <v/>
      </c>
      <c r="I102" s="2669" t="str">
        <f>IF('Part III-Sources of Funds'!$I$38="","",-FV('Part III-Sources of Funds'!$K$38/12,12,I89/12,H102))</f>
        <v/>
      </c>
      <c r="J102" s="2669" t="str">
        <f>IF('Part III-Sources of Funds'!$I$38="","",-FV('Part III-Sources of Funds'!$K$38/12,12,J89/12,I102))</f>
        <v/>
      </c>
      <c r="K102" s="2669" t="str">
        <f>IF('Part III-Sources of Funds'!$I$38="","",-FV('Part III-Sources of Funds'!$K$38/12,12,K89/12,J102))</f>
        <v/>
      </c>
      <c r="N102" s="3388"/>
      <c r="O102" s="3390"/>
    </row>
    <row r="103" spans="1:15" ht="13.2" customHeight="1">
      <c r="A103" s="420" t="s">
        <v>2617</v>
      </c>
      <c r="B103" s="2665" t="str">
        <f>IF('Part III-Sources of Funds'!$I$39="","",-FV('Part III-Sources of Funds'!$K$39/12,12,B90/12,K72))</f>
        <v/>
      </c>
      <c r="C103" s="2665" t="str">
        <f>IF('Part III-Sources of Funds'!$I$39="","",-FV('Part III-Sources of Funds'!$K$39/12,12,C90/12,B103))</f>
        <v/>
      </c>
      <c r="D103" s="2665" t="str">
        <f>IF('Part III-Sources of Funds'!$I$39="","",-FV('Part III-Sources of Funds'!$K$39/12,12,D90/12,C103))</f>
        <v/>
      </c>
      <c r="E103" s="2665" t="str">
        <f>IF('Part III-Sources of Funds'!$I$39="","",-FV('Part III-Sources of Funds'!$K$39/12,12,E90/12,D103))</f>
        <v/>
      </c>
      <c r="F103" s="2665" t="str">
        <f>IF('Part III-Sources of Funds'!$I$39="","",-FV('Part III-Sources of Funds'!$K$39/12,12,F90/12,E103))</f>
        <v/>
      </c>
      <c r="G103" s="2665" t="str">
        <f>IF('Part III-Sources of Funds'!$I$39="","",-FV('Part III-Sources of Funds'!$K$39/12,12,G90/12,F103))</f>
        <v/>
      </c>
      <c r="H103" s="2665" t="str">
        <f>IF('Part III-Sources of Funds'!$I$39="","",-FV('Part III-Sources of Funds'!$K$39/12,12,H90/12,G103))</f>
        <v/>
      </c>
      <c r="I103" s="2665" t="str">
        <f>IF('Part III-Sources of Funds'!$I$39="","",-FV('Part III-Sources of Funds'!$K$39/12,12,I90/12,H103))</f>
        <v/>
      </c>
      <c r="J103" s="2665" t="str">
        <f>IF('Part III-Sources of Funds'!$I$39="","",-FV('Part III-Sources of Funds'!$K$39/12,12,J90/12,I103))</f>
        <v/>
      </c>
      <c r="K103" s="2665" t="str">
        <f>IF('Part III-Sources of Funds'!$I$39="","",-FV('Part III-Sources of Funds'!$K$39/12,12,K90/12,J103))</f>
        <v/>
      </c>
      <c r="N103" s="3388"/>
      <c r="O103" s="3390"/>
    </row>
    <row r="104" spans="1:15" ht="13.2" customHeight="1">
      <c r="A104" s="420" t="s">
        <v>2618</v>
      </c>
      <c r="B104" s="2665" t="str">
        <f>IF('Part III-Sources of Funds'!$I$40="","",-FV('Part III-Sources of Funds'!$K$40/12,12,B91/12,K73))</f>
        <v/>
      </c>
      <c r="C104" s="2665" t="str">
        <f>IF('Part III-Sources of Funds'!$I$40="","",-FV('Part III-Sources of Funds'!$K$40/12,12,C91/12,B104))</f>
        <v/>
      </c>
      <c r="D104" s="2665" t="str">
        <f>IF('Part III-Sources of Funds'!$I$40="","",-FV('Part III-Sources of Funds'!$K$40/12,12,D91/12,C104))</f>
        <v/>
      </c>
      <c r="E104" s="2665" t="str">
        <f>IF('Part III-Sources of Funds'!$I$40="","",-FV('Part III-Sources of Funds'!$K$40/12,12,E91/12,D104))</f>
        <v/>
      </c>
      <c r="F104" s="2665" t="str">
        <f>IF('Part III-Sources of Funds'!$I$40="","",-FV('Part III-Sources of Funds'!$K$40/12,12,F91/12,E104))</f>
        <v/>
      </c>
      <c r="G104" s="2665" t="str">
        <f>IF('Part III-Sources of Funds'!$I$40="","",-FV('Part III-Sources of Funds'!$K$40/12,12,G91/12,F104))</f>
        <v/>
      </c>
      <c r="H104" s="2665" t="str">
        <f>IF('Part III-Sources of Funds'!$I$40="","",-FV('Part III-Sources of Funds'!$K$40/12,12,H91/12,G104))</f>
        <v/>
      </c>
      <c r="I104" s="2665" t="str">
        <f>IF('Part III-Sources of Funds'!$I$40="","",-FV('Part III-Sources of Funds'!$K$40/12,12,I91/12,H104))</f>
        <v/>
      </c>
      <c r="J104" s="2665" t="str">
        <f>IF('Part III-Sources of Funds'!$I$40="","",-FV('Part III-Sources of Funds'!$K$40/12,12,J91/12,I104))</f>
        <v/>
      </c>
      <c r="K104" s="2665" t="str">
        <f>IF('Part III-Sources of Funds'!$I$40="","",-FV('Part III-Sources of Funds'!$K$40/12,12,K91/12,J104))</f>
        <v/>
      </c>
      <c r="N104" s="3388"/>
      <c r="O104" s="3390"/>
    </row>
    <row r="105" spans="1:15" ht="13.2" customHeight="1">
      <c r="A105" s="20" t="s">
        <v>783</v>
      </c>
      <c r="B105" s="2668" t="str">
        <f>IF('Part III-Sources of Funds'!$I$41="","",-FV('Part III-Sources of Funds'!$K$41/12,12,B92/12,K74))</f>
        <v/>
      </c>
      <c r="C105" s="2668" t="str">
        <f>IF('Part III-Sources of Funds'!$I$41="","",-FV('Part III-Sources of Funds'!$K$41/12,12,C92/12,B105))</f>
        <v/>
      </c>
      <c r="D105" s="2668" t="str">
        <f>IF('Part III-Sources of Funds'!$I$41="","",-FV('Part III-Sources of Funds'!$K$41/12,12,D92/12,C105))</f>
        <v/>
      </c>
      <c r="E105" s="2668" t="str">
        <f>IF('Part III-Sources of Funds'!$I$41="","",-FV('Part III-Sources of Funds'!$K$41/12,12,E92/12,D105))</f>
        <v/>
      </c>
      <c r="F105" s="2668" t="str">
        <f>IF('Part III-Sources of Funds'!$I$41="","",-FV('Part III-Sources of Funds'!$K$41/12,12,F92/12,E105))</f>
        <v/>
      </c>
      <c r="G105" s="2668" t="str">
        <f>IF('Part III-Sources of Funds'!$I$41="","",-FV('Part III-Sources of Funds'!$K$41/12,12,G92/12,F105))</f>
        <v/>
      </c>
      <c r="H105" s="2668" t="str">
        <f>IF('Part III-Sources of Funds'!$I$41="","",-FV('Part III-Sources of Funds'!$K$41/12,12,H92/12,G105))</f>
        <v/>
      </c>
      <c r="I105" s="2668" t="str">
        <f>IF('Part III-Sources of Funds'!$I$41="","",-FV('Part III-Sources of Funds'!$K$41/12,12,I92/12,H105))</f>
        <v/>
      </c>
      <c r="J105" s="2668" t="str">
        <f>IF('Part III-Sources of Funds'!$I$41="","",-FV('Part III-Sources of Funds'!$K$41/12,12,J92/12,I105))</f>
        <v/>
      </c>
      <c r="K105" s="2668" t="str">
        <f>IF('Part III-Sources of Funds'!$I$41="","",-FV('Part III-Sources of Funds'!$K$41/12,12,K92/12,J105))</f>
        <v/>
      </c>
      <c r="N105" s="3392"/>
      <c r="O105" s="3394"/>
    </row>
    <row r="106" spans="1:15" ht="4.2" customHeight="1">
      <c r="B106" s="16"/>
      <c r="C106" s="16"/>
      <c r="D106" s="16"/>
      <c r="E106" s="16"/>
      <c r="F106" s="16"/>
      <c r="G106" s="16"/>
      <c r="H106" s="16"/>
      <c r="I106" s="16"/>
      <c r="J106" s="16"/>
      <c r="K106" s="16"/>
    </row>
    <row r="107" spans="1:15" ht="14.7" customHeight="1">
      <c r="A107" s="12" t="s">
        <v>2479</v>
      </c>
      <c r="B107" s="14">
        <f>K77+1</f>
        <v>31</v>
      </c>
      <c r="C107" s="14">
        <f>B107+1</f>
        <v>32</v>
      </c>
      <c r="D107" s="14">
        <f>C107+1</f>
        <v>33</v>
      </c>
      <c r="E107" s="14">
        <f>D107+1</f>
        <v>34</v>
      </c>
      <c r="F107" s="14">
        <f>E107+1</f>
        <v>35</v>
      </c>
      <c r="G107" s="16"/>
      <c r="H107" s="16"/>
      <c r="I107" s="16"/>
      <c r="J107" s="16"/>
      <c r="K107" s="16"/>
      <c r="N107" s="3107" t="s">
        <v>3700</v>
      </c>
      <c r="O107" s="3107"/>
    </row>
    <row r="108" spans="1:15" ht="13.2" customHeight="1">
      <c r="A108" s="17" t="s">
        <v>2403</v>
      </c>
      <c r="B108" s="18">
        <f>$B$14*(1+$B$5)^(B107-1)</f>
        <v>395818.73335826478</v>
      </c>
      <c r="C108" s="18">
        <f>$B$14*(1+$B$5)^(C107-1)</f>
        <v>403735.10802543</v>
      </c>
      <c r="D108" s="18">
        <f>$B$14*(1+$B$5)^(D107-1)</f>
        <v>411809.81018593867</v>
      </c>
      <c r="E108" s="18">
        <f>$B$14*(1+$B$5)^(E107-1)</f>
        <v>420046.0063896575</v>
      </c>
      <c r="F108" s="625">
        <f>$B$14*(1+$B$5)^(F107-1)</f>
        <v>428446.9265174506</v>
      </c>
      <c r="G108" s="16"/>
      <c r="H108" s="16"/>
      <c r="I108" s="16"/>
      <c r="J108" s="16"/>
      <c r="K108" s="16"/>
      <c r="N108" s="3383"/>
      <c r="O108" s="3385"/>
    </row>
    <row r="109" spans="1:15" ht="13.2" customHeight="1">
      <c r="A109" s="20" t="s">
        <v>1015</v>
      </c>
      <c r="B109" s="21">
        <f>$B$15*(1+$B$5)^(B107-1)</f>
        <v>7916.3746671652953</v>
      </c>
      <c r="C109" s="21">
        <f>$B$15*(1+$B$5)^(C107-1)</f>
        <v>8074.7021605085993</v>
      </c>
      <c r="D109" s="21">
        <f>$B$15*(1+$B$5)^(D107-1)</f>
        <v>8236.1962037187732</v>
      </c>
      <c r="E109" s="21">
        <f>$B$15*(1+$B$5)^(E107-1)</f>
        <v>8400.9201277931497</v>
      </c>
      <c r="F109" s="22">
        <f>$B$15*(1+$B$5)^(F107-1)</f>
        <v>8568.9385303490108</v>
      </c>
      <c r="G109" s="16"/>
      <c r="H109" s="16"/>
      <c r="I109" s="16"/>
      <c r="J109" s="16"/>
      <c r="K109" s="16"/>
      <c r="N109" s="3388"/>
      <c r="O109" s="3390"/>
    </row>
    <row r="110" spans="1:15" ht="13.2" customHeight="1">
      <c r="A110" s="20" t="s">
        <v>2404</v>
      </c>
      <c r="B110" s="21">
        <f>-(B108+B109)*$B$8</f>
        <v>-28261.457561780106</v>
      </c>
      <c r="C110" s="21">
        <f>-(C108+C109)*$B$8</f>
        <v>-28826.686713015704</v>
      </c>
      <c r="D110" s="21">
        <f>-(D108+D109)*$B$8</f>
        <v>-29403.220447276024</v>
      </c>
      <c r="E110" s="21">
        <f>-(E108+E109)*$B$8</f>
        <v>-29991.284856221548</v>
      </c>
      <c r="F110" s="22">
        <f>-(F108+F109)*$B$8</f>
        <v>-30591.110553345974</v>
      </c>
      <c r="G110" s="16"/>
      <c r="H110" s="16"/>
      <c r="I110" s="16"/>
      <c r="J110" s="16"/>
      <c r="K110" s="16"/>
      <c r="N110" s="3388"/>
      <c r="O110" s="3390"/>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388"/>
      <c r="O111" s="3390"/>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388"/>
      <c r="O112" s="3390"/>
    </row>
    <row r="113" spans="1:19" ht="13.2" customHeight="1">
      <c r="A113" s="420" t="s">
        <v>4939</v>
      </c>
      <c r="B113" s="21">
        <f>SUM(B108:B112)</f>
        <v>375473.65046364994</v>
      </c>
      <c r="C113" s="21">
        <f>SUM(C108:C112)</f>
        <v>382983.12347292289</v>
      </c>
      <c r="D113" s="21">
        <f>SUM(D108:D112)</f>
        <v>390642.78594238142</v>
      </c>
      <c r="E113" s="21">
        <f>SUM(E108:E112)</f>
        <v>398455.64166122914</v>
      </c>
      <c r="F113" s="22">
        <f>SUM(F108:F112)</f>
        <v>406424.75449445361</v>
      </c>
      <c r="G113" s="16"/>
      <c r="H113" s="16"/>
      <c r="I113" s="16"/>
      <c r="J113" s="16"/>
      <c r="K113" s="16"/>
      <c r="N113" s="3388"/>
      <c r="O113" s="3390"/>
    </row>
    <row r="114" spans="1:19" ht="13.2" customHeight="1">
      <c r="A114" s="20" t="s">
        <v>613</v>
      </c>
      <c r="B114" s="21">
        <f>$B$20*(1+$B$6)^(B107-1)</f>
        <v>-351037.98037086206</v>
      </c>
      <c r="C114" s="21">
        <f>$B$20*(1+$B$6)^(C107-1)</f>
        <v>-361569.11978198797</v>
      </c>
      <c r="D114" s="21">
        <f>$B$20*(1+$B$6)^(D107-1)</f>
        <v>-372416.19337544753</v>
      </c>
      <c r="E114" s="21">
        <f>$B$20*(1+$B$6)^(E107-1)</f>
        <v>-383588.67917671101</v>
      </c>
      <c r="F114" s="22">
        <f>$B$20*(1+$B$6)^(F107-1)</f>
        <v>-395096.33955201227</v>
      </c>
      <c r="G114" s="16"/>
      <c r="H114" s="16"/>
      <c r="I114" s="16"/>
      <c r="J114" s="16"/>
      <c r="K114" s="16"/>
      <c r="N114" s="3388"/>
      <c r="O114" s="3390"/>
    </row>
    <row r="115" spans="1:19" ht="13.2" customHeight="1">
      <c r="A115" s="20" t="s">
        <v>1114</v>
      </c>
      <c r="B115" s="21">
        <f>IF(AND('Part VII-Pro Forma'!$G$8="Yes",'Part VII-Pro Forma'!$G$9="Yes"),"Choose One!",IF('Part VII-Pro Forma'!$G$8="Yes",ROUND((-$K$8*(1+'Part VII-Pro Forma'!$B$6)^('Part VII-Pro Forma'!B107-1)),),IF('Part VII-Pro Forma'!$G$9="Yes",ROUND((-(SUM(B108:B111)*'Part VII-Pro Forma'!$K$9)),),"Choose mgt fee")))</f>
        <v>-35220</v>
      </c>
      <c r="C115" s="21">
        <f>IF(AND('Part VII-Pro Forma'!$G$8="Yes",'Part VII-Pro Forma'!$G$9="Yes"),"Choose One!",IF('Part VII-Pro Forma'!$G$8="Yes",ROUND((-$K$8*(1+'Part VII-Pro Forma'!$B$6)^('Part VII-Pro Forma'!C107-1)),),IF('Part VII-Pro Forma'!$G$9="Yes",ROUND((-(SUM(C108:C111)*'Part VII-Pro Forma'!$K$9)),),"Choose mgt fee")))</f>
        <v>-36276</v>
      </c>
      <c r="D115" s="21">
        <f>IF(AND('Part VII-Pro Forma'!$G$8="Yes",'Part VII-Pro Forma'!$G$9="Yes"),"Choose One!",IF('Part VII-Pro Forma'!$G$8="Yes",ROUND((-$K$8*(1+'Part VII-Pro Forma'!$B$6)^('Part VII-Pro Forma'!D107-1)),),IF('Part VII-Pro Forma'!$G$9="Yes",ROUND((-(SUM(D108:D111)*'Part VII-Pro Forma'!$K$9)),),"Choose mgt fee")))</f>
        <v>-37364</v>
      </c>
      <c r="E115" s="21">
        <f>IF(AND('Part VII-Pro Forma'!$G$8="Yes",'Part VII-Pro Forma'!$G$9="Yes"),"Choose One!",IF('Part VII-Pro Forma'!$G$8="Yes",ROUND((-$K$8*(1+'Part VII-Pro Forma'!$B$6)^('Part VII-Pro Forma'!E107-1)),),IF('Part VII-Pro Forma'!$G$9="Yes",ROUND((-(SUM(E108:E111)*'Part VII-Pro Forma'!$K$9)),),"Choose mgt fee")))</f>
        <v>-38485</v>
      </c>
      <c r="F115" s="22">
        <f>IF(AND('Part VII-Pro Forma'!$G$8="Yes",'Part VII-Pro Forma'!$G$9="Yes"),"Choose One!",IF('Part VII-Pro Forma'!$G$8="Yes",ROUND((-$K$8*(1+'Part VII-Pro Forma'!$B$6)^('Part VII-Pro Forma'!F107-1)),),IF('Part VII-Pro Forma'!$G$9="Yes",ROUND((-(SUM(F108:F111)*'Part VII-Pro Forma'!$K$9)),),"Choose mgt fee")))</f>
        <v>-39640</v>
      </c>
      <c r="G115" s="16"/>
      <c r="H115" s="16"/>
      <c r="I115" s="16"/>
      <c r="J115" s="16"/>
      <c r="K115" s="16"/>
      <c r="N115" s="3388"/>
      <c r="O115" s="3390"/>
    </row>
    <row r="116" spans="1:19" ht="13.2" customHeight="1">
      <c r="A116" s="20" t="s">
        <v>1201</v>
      </c>
      <c r="B116" s="21">
        <f>$B$22*(1+$B$7)^(B107-1)</f>
        <v>-33981.674596655226</v>
      </c>
      <c r="C116" s="21">
        <f>$B$22*(1+$B$7)^(C107-1)</f>
        <v>-35001.124834554888</v>
      </c>
      <c r="D116" s="21">
        <f>$B$22*(1+$B$7)^(D107-1)</f>
        <v>-36051.158579591531</v>
      </c>
      <c r="E116" s="21">
        <f>$B$22*(1+$B$7)^(E107-1)</f>
        <v>-37132.693336979275</v>
      </c>
      <c r="F116" s="22">
        <f>$B$22*(1+$B$7)^(F107-1)</f>
        <v>-38246.674137088652</v>
      </c>
      <c r="G116" s="16"/>
      <c r="H116" s="16"/>
      <c r="I116" s="16"/>
      <c r="J116" s="16"/>
      <c r="K116" s="16"/>
      <c r="N116" s="3388"/>
      <c r="O116" s="3390"/>
    </row>
    <row r="117" spans="1:19" ht="13.2" customHeight="1">
      <c r="A117" s="420" t="s">
        <v>4938</v>
      </c>
      <c r="B117" s="2663">
        <f>IF(B107&lt;=+'Part VI-Revenues &amp; Expenses'!$K$243,-'Part VI-Revenues &amp; Expenses'!$H$243,0)</f>
        <v>0</v>
      </c>
      <c r="C117" s="2663">
        <f>IF(C107&lt;=+'Part VI-Revenues &amp; Expenses'!$K$243,-'Part VI-Revenues &amp; Expenses'!$H$243,0)</f>
        <v>0</v>
      </c>
      <c r="D117" s="2663">
        <f>IF(D107&lt;=+'Part VI-Revenues &amp; Expenses'!$K$243,-'Part VI-Revenues &amp; Expenses'!$H$243,0)</f>
        <v>0</v>
      </c>
      <c r="E117" s="2663">
        <f>IF(E107&lt;=+'Part VI-Revenues &amp; Expenses'!$K$243,-'Part VI-Revenues &amp; Expenses'!$H$243,0)</f>
        <v>0</v>
      </c>
      <c r="F117" s="2663">
        <f>IF(F107&lt;=+'Part VI-Revenues &amp; Expenses'!$K$243,-'Part VI-Revenues &amp; Expenses'!$H$243,0)</f>
        <v>0</v>
      </c>
      <c r="G117" s="16"/>
      <c r="H117" s="16"/>
      <c r="I117" s="16"/>
      <c r="J117" s="16"/>
      <c r="K117" s="16"/>
      <c r="N117" s="3388"/>
      <c r="O117" s="3390"/>
      <c r="Q117" s="971">
        <v>10</v>
      </c>
      <c r="R117" s="1092">
        <f>-SUM(B122:K122)</f>
        <v>0</v>
      </c>
      <c r="S117" s="1092">
        <f>SUM(B123:K123)+R117</f>
        <v>0</v>
      </c>
    </row>
    <row r="118" spans="1:19" ht="13.2" customHeight="1">
      <c r="A118" s="20" t="s">
        <v>1202</v>
      </c>
      <c r="B118" s="21">
        <f t="shared" ref="B118" si="62">SUM(B113:B117)</f>
        <v>-44766.004503867342</v>
      </c>
      <c r="C118" s="21">
        <f t="shared" ref="C118" si="63">SUM(C113:C117)</f>
        <v>-49863.121143619974</v>
      </c>
      <c r="D118" s="21">
        <f t="shared" ref="D118" si="64">SUM(D113:D117)</f>
        <v>-55188.56601265764</v>
      </c>
      <c r="E118" s="21">
        <f t="shared" ref="E118" si="65">SUM(E113:E117)</f>
        <v>-60750.730852461151</v>
      </c>
      <c r="F118" s="2156">
        <f>SUM(F113:F117)</f>
        <v>-66558.259194647311</v>
      </c>
      <c r="G118" s="16"/>
      <c r="H118" s="16"/>
      <c r="I118" s="16"/>
      <c r="J118" s="16"/>
      <c r="K118" s="16"/>
      <c r="N118" s="3388"/>
      <c r="O118" s="3390"/>
    </row>
    <row r="119" spans="1:19" ht="13.2" customHeight="1">
      <c r="A119" s="20" t="str">
        <f>$A89</f>
        <v>Mortgage A</v>
      </c>
      <c r="B119" s="2664">
        <f>IF('Part III-Sources of Funds'!$P$38="", 0,-'Part III-Sources of Funds'!$P$38)</f>
        <v>0</v>
      </c>
      <c r="C119" s="2664">
        <f>IF('Part III-Sources of Funds'!$P$38="", 0,-'Part III-Sources of Funds'!$P$38)</f>
        <v>0</v>
      </c>
      <c r="D119" s="2664">
        <f>IF('Part III-Sources of Funds'!$P$38="", 0,-'Part III-Sources of Funds'!$P$38)</f>
        <v>0</v>
      </c>
      <c r="E119" s="2664">
        <f>IF('Part III-Sources of Funds'!$P$38="", 0,-'Part III-Sources of Funds'!$P$38)</f>
        <v>0</v>
      </c>
      <c r="F119" s="2664">
        <f>IF('Part III-Sources of Funds'!$P$38="", 0,-'Part III-Sources of Funds'!$P$38)</f>
        <v>0</v>
      </c>
      <c r="G119" s="16"/>
      <c r="H119" s="16"/>
      <c r="I119" s="16"/>
      <c r="J119" s="16"/>
      <c r="K119" s="16"/>
      <c r="N119" s="3388"/>
      <c r="O119" s="3390"/>
    </row>
    <row r="120" spans="1:19" ht="13.2" customHeight="1">
      <c r="A120" s="20" t="str">
        <f>$A90</f>
        <v>Mortgage B</v>
      </c>
      <c r="B120" s="2665">
        <f>IF('Part III-Sources of Funds'!$P$39="", 0,-'Part III-Sources of Funds'!$P$39)</f>
        <v>0</v>
      </c>
      <c r="C120" s="2665">
        <f>IF('Part III-Sources of Funds'!$P$39="", 0,-'Part III-Sources of Funds'!$P$39)</f>
        <v>0</v>
      </c>
      <c r="D120" s="2665">
        <f>IF('Part III-Sources of Funds'!$P$39="", 0,-'Part III-Sources of Funds'!$P$39)</f>
        <v>0</v>
      </c>
      <c r="E120" s="2665">
        <f>IF('Part III-Sources of Funds'!$P$39="", 0,-'Part III-Sources of Funds'!$P$39)</f>
        <v>0</v>
      </c>
      <c r="F120" s="2665">
        <f>IF('Part III-Sources of Funds'!$P$39="", 0,-'Part III-Sources of Funds'!$P$39)</f>
        <v>0</v>
      </c>
      <c r="G120" s="16"/>
      <c r="H120" s="16"/>
      <c r="I120" s="16"/>
      <c r="J120" s="16"/>
      <c r="K120" s="16"/>
      <c r="N120" s="3388"/>
      <c r="O120" s="3390"/>
    </row>
    <row r="121" spans="1:19" ht="13.2" customHeight="1">
      <c r="A121" s="20" t="str">
        <f>$A91</f>
        <v>Mortgage C</v>
      </c>
      <c r="B121" s="2665">
        <f>IF('Part III-Sources of Funds'!$P$40="", 0,-'Part III-Sources of Funds'!$P$40)</f>
        <v>0</v>
      </c>
      <c r="C121" s="2665">
        <f>IF('Part III-Sources of Funds'!$P$40="", 0,-'Part III-Sources of Funds'!$P$40)</f>
        <v>0</v>
      </c>
      <c r="D121" s="2665">
        <f>IF('Part III-Sources of Funds'!$P$40="", 0,-'Part III-Sources of Funds'!$P$40)</f>
        <v>0</v>
      </c>
      <c r="E121" s="2665">
        <f>IF('Part III-Sources of Funds'!$P$40="", 0,-'Part III-Sources of Funds'!$P$40)</f>
        <v>0</v>
      </c>
      <c r="F121" s="2665">
        <f>IF('Part III-Sources of Funds'!$P$40="", 0,-'Part III-Sources of Funds'!$P$40)</f>
        <v>0</v>
      </c>
      <c r="G121" s="16"/>
      <c r="H121" s="16"/>
      <c r="I121" s="16"/>
      <c r="J121" s="16"/>
      <c r="K121" s="16"/>
      <c r="N121" s="3388"/>
      <c r="O121" s="3390"/>
    </row>
    <row r="122" spans="1:19" ht="13.2" customHeight="1">
      <c r="A122" s="20" t="str">
        <f>$A92</f>
        <v>D/S Other Source,not DDF</v>
      </c>
      <c r="B122" s="2665">
        <f>IF('Part III-Sources of Funds'!$P$41="", 0,-'Part III-Sources of Funds'!$P$41)</f>
        <v>0</v>
      </c>
      <c r="C122" s="2665">
        <f>IF('Part III-Sources of Funds'!$P$41="", 0,-'Part III-Sources of Funds'!$P$41)</f>
        <v>0</v>
      </c>
      <c r="D122" s="2665">
        <f>IF('Part III-Sources of Funds'!$P$41="", 0,-'Part III-Sources of Funds'!$P$41)</f>
        <v>0</v>
      </c>
      <c r="E122" s="2665">
        <f>IF('Part III-Sources of Funds'!$P$41="", 0,-'Part III-Sources of Funds'!$P$41)</f>
        <v>0</v>
      </c>
      <c r="F122" s="2665">
        <f>IF('Part III-Sources of Funds'!$P$41="", 0,-'Part III-Sources of Funds'!$P$41)</f>
        <v>0</v>
      </c>
      <c r="G122" s="16"/>
      <c r="H122" s="16"/>
      <c r="I122" s="16"/>
      <c r="J122" s="16"/>
      <c r="K122" s="16"/>
      <c r="N122" s="3388"/>
      <c r="O122" s="3390"/>
    </row>
    <row r="123" spans="1:19" ht="13.2" customHeight="1">
      <c r="A123" s="20" t="s">
        <v>762</v>
      </c>
      <c r="B123" s="2666"/>
      <c r="C123" s="2666"/>
      <c r="D123" s="2666"/>
      <c r="E123" s="2666"/>
      <c r="F123" s="2666"/>
      <c r="G123" s="16"/>
      <c r="H123" s="16"/>
      <c r="I123" s="16"/>
      <c r="J123" s="16"/>
      <c r="K123" s="16"/>
      <c r="N123" s="3388"/>
      <c r="O123" s="3390"/>
    </row>
    <row r="124" spans="1:19" ht="13.2" customHeight="1">
      <c r="A124" s="20" t="s">
        <v>1162</v>
      </c>
      <c r="B124" s="2668">
        <f>+K94</f>
        <v>0</v>
      </c>
      <c r="C124" s="2668">
        <f>+B124</f>
        <v>0</v>
      </c>
      <c r="D124" s="2668">
        <f>+C124</f>
        <v>0</v>
      </c>
      <c r="E124" s="2668">
        <f>+D124</f>
        <v>0</v>
      </c>
      <c r="F124" s="2668">
        <f>+E124</f>
        <v>0</v>
      </c>
      <c r="G124" s="16"/>
      <c r="H124" s="16"/>
      <c r="I124" s="16"/>
      <c r="J124" s="16"/>
      <c r="K124" s="16"/>
      <c r="N124" s="3388"/>
      <c r="O124" s="3390"/>
    </row>
    <row r="125" spans="1:19" ht="13.2" customHeight="1">
      <c r="A125" s="20" t="s">
        <v>1163</v>
      </c>
      <c r="B125" s="21">
        <f>SUM(B118:B124)</f>
        <v>-44766.004503867342</v>
      </c>
      <c r="C125" s="21">
        <f>SUM(C118:C124)</f>
        <v>-49863.121143619974</v>
      </c>
      <c r="D125" s="21">
        <f>SUM(D118:D124)</f>
        <v>-55188.56601265764</v>
      </c>
      <c r="E125" s="21">
        <f>SUM(E118:E124)</f>
        <v>-60750.730852461151</v>
      </c>
      <c r="F125" s="22">
        <f>SUM(F118:F124)</f>
        <v>-66558.259194647311</v>
      </c>
      <c r="G125" s="16"/>
      <c r="H125" s="16"/>
      <c r="I125" s="16"/>
      <c r="J125" s="16"/>
      <c r="K125" s="16"/>
      <c r="N125" s="3388"/>
      <c r="O125" s="3390"/>
    </row>
    <row r="126" spans="1:19" ht="13.2"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388"/>
      <c r="O126" s="3390"/>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388"/>
      <c r="O127" s="3390"/>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388"/>
      <c r="O128" s="3390"/>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388"/>
      <c r="O129" s="3390"/>
    </row>
    <row r="130" spans="1:18" ht="13.2" customHeight="1">
      <c r="A130" s="420" t="s">
        <v>3710</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388"/>
      <c r="O130" s="3390"/>
    </row>
    <row r="131" spans="1:18" ht="13.2" customHeight="1">
      <c r="A131" s="20" t="s">
        <v>769</v>
      </c>
      <c r="B131" s="266">
        <f>IF(OR(B115="Choose mgt fee",B115="Choose One!"),"",(B108+B109+B110+B111+B112) / -(B114+B115+B116))</f>
        <v>0.89347505887485179</v>
      </c>
      <c r="C131" s="266">
        <f>IF(OR(C115="Choose mgt fee",C115="Choose One!"),"",(C108+C109+C110+C111+C112) / -(C114+C115+C116))</f>
        <v>0.88480177022722339</v>
      </c>
      <c r="D131" s="266">
        <f>IF(OR(D115="Choose mgt fee",D115="Choose One!"),"",(D108+D109+D110+D111+D112) / -(D114+D115+D116))</f>
        <v>0.8762120120744149</v>
      </c>
      <c r="E131" s="266">
        <f>IF(OR(E115="Choose mgt fee",E115="Choose One!"),"",(E108+E109+E110+E111+E112) / -(E114+E115+E116))</f>
        <v>0.86770494816979049</v>
      </c>
      <c r="F131" s="626">
        <f>IF(OR(F115="Choose mgt fee",F115="Choose One!"),"",(F108+F109+F110+F111+F112) / -(F114+F115+F116))</f>
        <v>0.85927981075786142</v>
      </c>
      <c r="G131" s="16"/>
      <c r="H131" s="16"/>
      <c r="I131" s="16"/>
      <c r="J131" s="16"/>
      <c r="K131" s="16"/>
      <c r="N131" s="3388"/>
      <c r="O131" s="3390"/>
    </row>
    <row r="132" spans="1:18" ht="13.2" customHeight="1">
      <c r="A132" s="420" t="s">
        <v>2616</v>
      </c>
      <c r="B132" s="2669" t="str">
        <f>IF('Part III-Sources of Funds'!$I$38="","",-FV('Part III-Sources of Funds'!$K$38/12,12,B119/12,K102))</f>
        <v/>
      </c>
      <c r="C132" s="2669" t="str">
        <f>IF('Part III-Sources of Funds'!$I$38="","",-FV('Part III-Sources of Funds'!$K$38/12,12,C119/12,B132))</f>
        <v/>
      </c>
      <c r="D132" s="2669" t="str">
        <f>IF('Part III-Sources of Funds'!$I$38="","",-FV('Part III-Sources of Funds'!$K$38/12,12,D119/12,C132))</f>
        <v/>
      </c>
      <c r="E132" s="2669" t="str">
        <f>IF('Part III-Sources of Funds'!$I$38="","",-FV('Part III-Sources of Funds'!$K$38/12,12,E119/12,D132))</f>
        <v/>
      </c>
      <c r="F132" s="2669" t="str">
        <f>IF('Part III-Sources of Funds'!$I$38="","",-FV('Part III-Sources of Funds'!$K$38/12,12,F119/12,E132))</f>
        <v/>
      </c>
      <c r="G132" s="16"/>
      <c r="H132" s="16"/>
      <c r="I132" s="16"/>
      <c r="J132" s="16"/>
      <c r="K132" s="16"/>
      <c r="N132" s="3388"/>
      <c r="O132" s="3390"/>
    </row>
    <row r="133" spans="1:18" ht="13.2" customHeight="1">
      <c r="A133" s="420" t="s">
        <v>2617</v>
      </c>
      <c r="B133" s="2665" t="str">
        <f>IF('Part III-Sources of Funds'!$I$39="","",-FV('Part III-Sources of Funds'!$K$39/12,12,B120/12,K103))</f>
        <v/>
      </c>
      <c r="C133" s="2665" t="str">
        <f>IF('Part III-Sources of Funds'!$I$39="","",-FV('Part III-Sources of Funds'!$K$39/12,12,C120/12,B133))</f>
        <v/>
      </c>
      <c r="D133" s="2665" t="str">
        <f>IF('Part III-Sources of Funds'!$I$39="","",-FV('Part III-Sources of Funds'!$K$39/12,12,D120/12,C133))</f>
        <v/>
      </c>
      <c r="E133" s="2665" t="str">
        <f>IF('Part III-Sources of Funds'!$I$39="","",-FV('Part III-Sources of Funds'!$K$39/12,12,E120/12,D133))</f>
        <v/>
      </c>
      <c r="F133" s="2665" t="str">
        <f>IF('Part III-Sources of Funds'!$I$39="","",-FV('Part III-Sources of Funds'!$K$39/12,12,F120/12,E133))</f>
        <v/>
      </c>
      <c r="G133" s="16"/>
      <c r="H133" s="16"/>
      <c r="I133" s="16"/>
      <c r="J133" s="16"/>
      <c r="K133" s="16"/>
      <c r="N133" s="3388"/>
      <c r="O133" s="3390"/>
    </row>
    <row r="134" spans="1:18" ht="13.2" customHeight="1">
      <c r="A134" s="420" t="s">
        <v>2618</v>
      </c>
      <c r="B134" s="2665" t="str">
        <f>IF('Part III-Sources of Funds'!$I$40="","",-FV('Part III-Sources of Funds'!$K$40/12,12,B121/12,K104))</f>
        <v/>
      </c>
      <c r="C134" s="2665" t="str">
        <f>IF('Part III-Sources of Funds'!$I$40="","",-FV('Part III-Sources of Funds'!$K$40/12,12,C121/12,B134))</f>
        <v/>
      </c>
      <c r="D134" s="2665" t="str">
        <f>IF('Part III-Sources of Funds'!$I$40="","",-FV('Part III-Sources of Funds'!$K$40/12,12,D121/12,C134))</f>
        <v/>
      </c>
      <c r="E134" s="2665" t="str">
        <f>IF('Part III-Sources of Funds'!$I$40="","",-FV('Part III-Sources of Funds'!$K$40/12,12,E121/12,D134))</f>
        <v/>
      </c>
      <c r="F134" s="2665" t="str">
        <f>IF('Part III-Sources of Funds'!$I$40="","",-FV('Part III-Sources of Funds'!$K$40/12,12,F121/12,E134))</f>
        <v/>
      </c>
      <c r="G134" s="16"/>
      <c r="H134" s="16"/>
      <c r="I134" s="16"/>
      <c r="J134" s="16"/>
      <c r="K134" s="16"/>
      <c r="N134" s="3388"/>
      <c r="O134" s="3390"/>
    </row>
    <row r="135" spans="1:18" ht="13.2" customHeight="1">
      <c r="A135" s="25" t="s">
        <v>783</v>
      </c>
      <c r="B135" s="2668" t="str">
        <f>IF('Part III-Sources of Funds'!$I$41="","",-FV('Part III-Sources of Funds'!$K$41/12,12,B122/12,K105))</f>
        <v/>
      </c>
      <c r="C135" s="2668" t="str">
        <f>IF('Part III-Sources of Funds'!$I$41="","",-FV('Part III-Sources of Funds'!$K$41/12,12,C122/12,B135))</f>
        <v/>
      </c>
      <c r="D135" s="2668" t="str">
        <f>IF('Part III-Sources of Funds'!$I$41="","",-FV('Part III-Sources of Funds'!$K$41/12,12,D122/12,C135))</f>
        <v/>
      </c>
      <c r="E135" s="2668" t="str">
        <f>IF('Part III-Sources of Funds'!$I$41="","",-FV('Part III-Sources of Funds'!$K$41/12,12,E122/12,D135))</f>
        <v/>
      </c>
      <c r="F135" s="2668" t="str">
        <f>IF('Part III-Sources of Funds'!$I$41="","",-FV('Part III-Sources of Funds'!$K$41/12,12,F122/12,E135))</f>
        <v/>
      </c>
      <c r="G135" s="16"/>
      <c r="H135" s="16"/>
      <c r="I135" s="16"/>
      <c r="J135" s="16"/>
      <c r="K135" s="16"/>
      <c r="N135" s="3392"/>
      <c r="O135" s="3394"/>
    </row>
    <row r="136" spans="1:18" ht="4.2" customHeight="1"/>
    <row r="137" spans="1:18" ht="12" customHeight="1">
      <c r="A137" s="12" t="s">
        <v>570</v>
      </c>
      <c r="B137" s="12"/>
      <c r="G137" s="12" t="s">
        <v>1030</v>
      </c>
    </row>
    <row r="138" spans="1:18" ht="12" customHeight="1">
      <c r="B138" s="30"/>
    </row>
    <row r="139" spans="1:18" ht="409.5" customHeight="1">
      <c r="A139" s="2961" t="s">
        <v>5296</v>
      </c>
      <c r="B139" s="3471"/>
      <c r="C139" s="3471"/>
      <c r="D139" s="3471"/>
      <c r="E139" s="3471"/>
      <c r="F139" s="3472"/>
      <c r="G139" s="3473"/>
      <c r="H139" s="3474"/>
      <c r="I139" s="3474"/>
      <c r="J139" s="3474"/>
      <c r="K139" s="3475"/>
      <c r="N139" s="3046" t="s">
        <v>2692</v>
      </c>
      <c r="O139" s="3046"/>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ekJPFRn34b48qE6dGhiYrTjLH5Z9S1GO54PztJhw+BPqb+QeiCnrM3YpKCnzZYFqEIL7J7z6h0e4QubN7tN8Mg==" saltValue="xcOPMX/SHeNnqU3DQJ+alA=="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03" zoomScale="120" zoomScaleNormal="120" workbookViewId="0">
      <selection activeCell="A403" sqref="A1:XFD1048576"/>
    </sheetView>
  </sheetViews>
  <sheetFormatPr defaultColWidth="9.33203125" defaultRowHeight="13.2"/>
  <cols>
    <col min="1" max="1" width="5.33203125" style="34" customWidth="1"/>
    <col min="2" max="2" width="2.5546875" style="34" customWidth="1"/>
    <col min="3" max="3" width="2.33203125" style="34" customWidth="1"/>
    <col min="4" max="10" width="8.6640625" style="34" customWidth="1"/>
    <col min="11" max="11" width="7.5546875" style="34" customWidth="1"/>
    <col min="12" max="15" width="9.33203125" style="34" customWidth="1"/>
    <col min="16" max="16" width="8.6640625" style="34" customWidth="1"/>
    <col min="17" max="17" width="9.33203125" style="34" customWidth="1"/>
    <col min="18" max="30" width="9.33203125" style="34"/>
    <col min="31" max="32" width="9.33203125" style="127"/>
    <col min="33" max="16384" width="9.33203125" style="34"/>
  </cols>
  <sheetData>
    <row r="1" spans="1:32" ht="13.95" customHeight="1">
      <c r="A1" s="3172" t="str">
        <f>CONCATENATE("PART EIGHT - THRESHOLD CRITERIA","  -  ",'Part I-Project Information'!$O$6," ",'Part I-Project Information'!$F$34,", ",'Part I-Project Information'!F38,", ",'Part I-Project Information'!J39," County")</f>
        <v>PART EIGHT - THRESHOLD CRITERIA  -  2019-049 Woodstone Apartments II, Leesburg, Lee County</v>
      </c>
      <c r="B1" s="3173"/>
      <c r="C1" s="3173"/>
      <c r="D1" s="3173"/>
      <c r="E1" s="3173"/>
      <c r="F1" s="3173"/>
      <c r="G1" s="3173"/>
      <c r="H1" s="3173"/>
      <c r="I1" s="3173"/>
      <c r="J1" s="3173"/>
      <c r="K1" s="3173"/>
      <c r="L1" s="3173"/>
      <c r="M1" s="3173"/>
      <c r="N1" s="3173"/>
      <c r="O1" s="3173"/>
      <c r="P1" s="3173"/>
      <c r="Q1" s="3173"/>
      <c r="R1" s="3622" t="str">
        <f>'Part I-Project Information'!$B$6</f>
        <v>April 2019 Final</v>
      </c>
      <c r="S1" s="3622"/>
    </row>
    <row r="2" spans="1:32" s="26" customFormat="1" ht="3" customHeight="1">
      <c r="R2" s="3622"/>
      <c r="S2" s="3622"/>
      <c r="AE2" s="116"/>
      <c r="AF2" s="116"/>
    </row>
    <row r="3" spans="1:32" ht="13.5" customHeight="1">
      <c r="A3" s="3610"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10"/>
      <c r="C3" s="3610"/>
      <c r="D3" s="3610"/>
      <c r="E3" s="3610"/>
      <c r="F3" s="3610"/>
      <c r="G3" s="3610"/>
      <c r="H3" s="3610"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10"/>
      <c r="J3" s="3610"/>
      <c r="K3" s="3610"/>
      <c r="L3" s="3610"/>
      <c r="M3" s="3610"/>
      <c r="N3" s="3611"/>
      <c r="O3" s="3612" t="s">
        <v>934</v>
      </c>
      <c r="P3" s="3613"/>
      <c r="Q3" s="2189" t="s">
        <v>1842</v>
      </c>
      <c r="R3" s="3622"/>
      <c r="S3" s="3622"/>
    </row>
    <row r="4" spans="1:32" ht="3" customHeight="1">
      <c r="A4" s="2288"/>
      <c r="B4" s="3614"/>
      <c r="C4" s="3614"/>
      <c r="D4" s="3614"/>
      <c r="E4" s="2288"/>
      <c r="F4" s="2288"/>
      <c r="G4" s="2288"/>
      <c r="H4" s="2288"/>
      <c r="I4" s="2288"/>
      <c r="J4" s="2288"/>
      <c r="K4" s="2288"/>
      <c r="L4" s="2288"/>
      <c r="M4" s="2288"/>
      <c r="N4" s="2288"/>
      <c r="P4" s="2288"/>
      <c r="Q4" s="2288"/>
      <c r="R4" s="3622"/>
      <c r="S4" s="3622"/>
    </row>
    <row r="5" spans="1:32" ht="10.95" hidden="1" customHeight="1">
      <c r="A5" s="2288"/>
      <c r="B5" s="2288"/>
      <c r="C5" s="2288"/>
      <c r="D5" s="2288"/>
      <c r="E5" s="2288"/>
      <c r="F5" s="2288"/>
      <c r="G5" s="2288"/>
      <c r="H5" s="2288"/>
      <c r="I5" s="2288"/>
      <c r="J5" s="2288"/>
      <c r="K5" s="2288"/>
      <c r="L5" s="2288"/>
      <c r="M5" s="2288"/>
      <c r="N5" s="2288"/>
      <c r="P5" s="2288"/>
      <c r="Q5" s="2288"/>
      <c r="R5" s="3622"/>
      <c r="S5" s="3622"/>
    </row>
    <row r="6" spans="1:32" ht="17.25" customHeight="1">
      <c r="A6" s="125" t="s">
        <v>566</v>
      </c>
      <c r="J6" s="3617" t="s">
        <v>3842</v>
      </c>
      <c r="K6" s="3617"/>
      <c r="L6" s="3617"/>
      <c r="M6" s="3617"/>
      <c r="N6" s="3617"/>
      <c r="O6" s="3618"/>
      <c r="P6" s="3615"/>
      <c r="Q6" s="3616"/>
      <c r="R6" s="3622"/>
      <c r="S6" s="3622"/>
    </row>
    <row r="7" spans="1:32" ht="12.6" customHeight="1">
      <c r="A7" s="126" t="s">
        <v>3449</v>
      </c>
      <c r="C7" s="127"/>
      <c r="D7" s="127"/>
      <c r="H7" s="1291"/>
      <c r="I7" s="1291"/>
      <c r="J7" s="1291"/>
      <c r="K7" s="1291"/>
      <c r="L7" s="1291"/>
      <c r="M7" s="2288"/>
      <c r="N7" s="2288"/>
    </row>
    <row r="8" spans="1:32" ht="24.6" customHeight="1">
      <c r="A8" s="3619" t="s">
        <v>1407</v>
      </c>
      <c r="B8" s="3620"/>
      <c r="C8" s="3620"/>
      <c r="D8" s="3620"/>
      <c r="E8" s="3620"/>
      <c r="F8" s="3620"/>
      <c r="G8" s="3620"/>
      <c r="H8" s="3620"/>
      <c r="I8" s="3620"/>
      <c r="J8" s="3620"/>
      <c r="K8" s="3620"/>
      <c r="L8" s="3620"/>
      <c r="M8" s="3620"/>
      <c r="N8" s="3620"/>
      <c r="O8" s="3620"/>
      <c r="P8" s="3620"/>
      <c r="Q8" s="3621"/>
      <c r="R8" s="3401" t="s">
        <v>2030</v>
      </c>
      <c r="S8" s="2765"/>
    </row>
    <row r="9" spans="1:32" ht="24.6" customHeight="1">
      <c r="A9" s="3607" t="s">
        <v>226</v>
      </c>
      <c r="B9" s="3608"/>
      <c r="C9" s="3608"/>
      <c r="D9" s="3608"/>
      <c r="E9" s="3608"/>
      <c r="F9" s="3608"/>
      <c r="G9" s="3608"/>
      <c r="H9" s="3608"/>
      <c r="I9" s="3608"/>
      <c r="J9" s="3608"/>
      <c r="K9" s="3608"/>
      <c r="L9" s="3608"/>
      <c r="M9" s="3608"/>
      <c r="N9" s="3608"/>
      <c r="O9" s="3608"/>
      <c r="P9" s="3608"/>
      <c r="Q9" s="3609"/>
      <c r="R9" s="3401"/>
      <c r="S9" s="2765"/>
    </row>
    <row r="10" spans="1:32" ht="24.6" customHeight="1">
      <c r="A10" s="3607" t="s">
        <v>1403</v>
      </c>
      <c r="B10" s="3608"/>
      <c r="C10" s="3608"/>
      <c r="D10" s="3608"/>
      <c r="E10" s="3608"/>
      <c r="F10" s="3608"/>
      <c r="G10" s="3608"/>
      <c r="H10" s="3608"/>
      <c r="I10" s="3608"/>
      <c r="J10" s="3608"/>
      <c r="K10" s="3608"/>
      <c r="L10" s="3608"/>
      <c r="M10" s="3608"/>
      <c r="N10" s="3608"/>
      <c r="O10" s="3608"/>
      <c r="P10" s="3608"/>
      <c r="Q10" s="3609"/>
      <c r="R10" s="3401"/>
      <c r="S10" s="2765"/>
    </row>
    <row r="11" spans="1:32" ht="24.6" customHeight="1">
      <c r="A11" s="3607" t="s">
        <v>1404</v>
      </c>
      <c r="B11" s="3608"/>
      <c r="C11" s="3608"/>
      <c r="D11" s="3608"/>
      <c r="E11" s="3608"/>
      <c r="F11" s="3608"/>
      <c r="G11" s="3608"/>
      <c r="H11" s="3608"/>
      <c r="I11" s="3608"/>
      <c r="J11" s="3608"/>
      <c r="K11" s="3608"/>
      <c r="L11" s="3608"/>
      <c r="M11" s="3608"/>
      <c r="N11" s="3608"/>
      <c r="O11" s="3608"/>
      <c r="P11" s="3608"/>
      <c r="Q11" s="3609"/>
      <c r="R11" s="3401"/>
      <c r="S11" s="2765"/>
    </row>
    <row r="12" spans="1:32" ht="24" customHeight="1">
      <c r="A12" s="3607" t="s">
        <v>1405</v>
      </c>
      <c r="B12" s="3608"/>
      <c r="C12" s="3608"/>
      <c r="D12" s="3608"/>
      <c r="E12" s="3608"/>
      <c r="F12" s="3608"/>
      <c r="G12" s="3608"/>
      <c r="H12" s="3608"/>
      <c r="I12" s="3608"/>
      <c r="J12" s="3608"/>
      <c r="K12" s="3608"/>
      <c r="L12" s="3608"/>
      <c r="M12" s="3608"/>
      <c r="N12" s="3608"/>
      <c r="O12" s="3608"/>
      <c r="P12" s="3608"/>
      <c r="Q12" s="3609"/>
      <c r="R12" s="2257"/>
      <c r="S12" s="2257"/>
    </row>
    <row r="13" spans="1:32" ht="11.25" customHeight="1">
      <c r="A13" s="3607" t="s">
        <v>1406</v>
      </c>
      <c r="B13" s="3608"/>
      <c r="C13" s="3608"/>
      <c r="D13" s="3608"/>
      <c r="E13" s="3608"/>
      <c r="F13" s="3608"/>
      <c r="G13" s="3608"/>
      <c r="H13" s="3608"/>
      <c r="I13" s="3608"/>
      <c r="J13" s="3608"/>
      <c r="K13" s="3608"/>
      <c r="L13" s="3608"/>
      <c r="M13" s="3608"/>
      <c r="N13" s="3608"/>
      <c r="O13" s="3608"/>
      <c r="P13" s="3608"/>
      <c r="Q13" s="3609"/>
      <c r="R13" s="2257"/>
      <c r="S13" s="2257"/>
    </row>
    <row r="14" spans="1:32" ht="11.25" customHeight="1">
      <c r="A14" s="3607" t="s">
        <v>1408</v>
      </c>
      <c r="B14" s="3608"/>
      <c r="C14" s="3608"/>
      <c r="D14" s="3608"/>
      <c r="E14" s="3608"/>
      <c r="F14" s="3608"/>
      <c r="G14" s="3608"/>
      <c r="H14" s="3608"/>
      <c r="I14" s="3608"/>
      <c r="J14" s="3608"/>
      <c r="K14" s="3608"/>
      <c r="L14" s="3608"/>
      <c r="M14" s="3608"/>
      <c r="N14" s="3608"/>
      <c r="O14" s="3608"/>
      <c r="P14" s="3608"/>
      <c r="Q14" s="3609"/>
    </row>
    <row r="15" spans="1:32" ht="11.25" customHeight="1">
      <c r="A15" s="3607" t="s">
        <v>2017</v>
      </c>
      <c r="B15" s="3608"/>
      <c r="C15" s="3608"/>
      <c r="D15" s="3608"/>
      <c r="E15" s="3608"/>
      <c r="F15" s="3608"/>
      <c r="G15" s="3608"/>
      <c r="H15" s="3608"/>
      <c r="I15" s="3608"/>
      <c r="J15" s="3608"/>
      <c r="K15" s="3608"/>
      <c r="L15" s="3608"/>
      <c r="M15" s="3608"/>
      <c r="N15" s="3608"/>
      <c r="O15" s="3608"/>
      <c r="P15" s="3608"/>
      <c r="Q15" s="3609"/>
      <c r="R15" s="3401" t="s">
        <v>2030</v>
      </c>
      <c r="S15" s="3030"/>
    </row>
    <row r="16" spans="1:32" ht="11.25" customHeight="1">
      <c r="A16" s="3607" t="s">
        <v>2018</v>
      </c>
      <c r="B16" s="3608"/>
      <c r="C16" s="3608"/>
      <c r="D16" s="3608"/>
      <c r="E16" s="3608"/>
      <c r="F16" s="3608"/>
      <c r="G16" s="3608"/>
      <c r="H16" s="3608"/>
      <c r="I16" s="3608"/>
      <c r="J16" s="3608"/>
      <c r="K16" s="3608"/>
      <c r="L16" s="3608"/>
      <c r="M16" s="3608"/>
      <c r="N16" s="3608"/>
      <c r="O16" s="3608"/>
      <c r="P16" s="3608"/>
      <c r="Q16" s="3609"/>
      <c r="R16" s="3401"/>
      <c r="S16" s="3030"/>
    </row>
    <row r="17" spans="1:31" ht="11.25" customHeight="1">
      <c r="A17" s="3607" t="s">
        <v>2019</v>
      </c>
      <c r="B17" s="3608"/>
      <c r="C17" s="3608"/>
      <c r="D17" s="3608"/>
      <c r="E17" s="3608"/>
      <c r="F17" s="3608"/>
      <c r="G17" s="3608"/>
      <c r="H17" s="3608"/>
      <c r="I17" s="3608"/>
      <c r="J17" s="3608"/>
      <c r="K17" s="3608"/>
      <c r="L17" s="3608"/>
      <c r="M17" s="3608"/>
      <c r="N17" s="3608"/>
      <c r="O17" s="3608"/>
      <c r="P17" s="3608"/>
      <c r="Q17" s="3609"/>
      <c r="R17" s="3401"/>
      <c r="S17" s="3030"/>
    </row>
    <row r="18" spans="1:31" ht="11.25" customHeight="1">
      <c r="A18" s="3607" t="s">
        <v>2020</v>
      </c>
      <c r="B18" s="3608"/>
      <c r="C18" s="3608"/>
      <c r="D18" s="3608"/>
      <c r="E18" s="3608"/>
      <c r="F18" s="3608"/>
      <c r="G18" s="3608"/>
      <c r="H18" s="3608"/>
      <c r="I18" s="3608"/>
      <c r="J18" s="3608"/>
      <c r="K18" s="3608"/>
      <c r="L18" s="3608"/>
      <c r="M18" s="3608"/>
      <c r="N18" s="3608"/>
      <c r="O18" s="3608"/>
      <c r="P18" s="3608"/>
      <c r="Q18" s="3609"/>
      <c r="R18" s="3401"/>
      <c r="S18" s="3030"/>
    </row>
    <row r="19" spans="1:31" ht="11.25" customHeight="1">
      <c r="A19" s="3607" t="s">
        <v>2021</v>
      </c>
      <c r="B19" s="3608"/>
      <c r="C19" s="3608"/>
      <c r="D19" s="3608"/>
      <c r="E19" s="3608"/>
      <c r="F19" s="3608"/>
      <c r="G19" s="3608"/>
      <c r="H19" s="3608"/>
      <c r="I19" s="3608"/>
      <c r="J19" s="3608"/>
      <c r="K19" s="3608"/>
      <c r="L19" s="3608"/>
      <c r="M19" s="3608"/>
      <c r="N19" s="3608"/>
      <c r="O19" s="3608"/>
      <c r="P19" s="3608"/>
      <c r="Q19" s="3609"/>
      <c r="R19" s="3401"/>
      <c r="S19" s="3030"/>
    </row>
    <row r="20" spans="1:31" ht="11.25" customHeight="1">
      <c r="A20" s="3607" t="s">
        <v>2022</v>
      </c>
      <c r="B20" s="3608"/>
      <c r="C20" s="3608"/>
      <c r="D20" s="3608"/>
      <c r="E20" s="3608"/>
      <c r="F20" s="3608"/>
      <c r="G20" s="3608"/>
      <c r="H20" s="3608"/>
      <c r="I20" s="3608"/>
      <c r="J20" s="3608"/>
      <c r="K20" s="3608"/>
      <c r="L20" s="3608"/>
      <c r="M20" s="3608"/>
      <c r="N20" s="3608"/>
      <c r="O20" s="3608"/>
      <c r="P20" s="3608"/>
      <c r="Q20" s="3609"/>
      <c r="R20" s="3401"/>
      <c r="S20" s="3030"/>
    </row>
    <row r="21" spans="1:31" ht="11.25" customHeight="1">
      <c r="A21" s="3607" t="s">
        <v>2023</v>
      </c>
      <c r="B21" s="3608"/>
      <c r="C21" s="3608"/>
      <c r="D21" s="3608"/>
      <c r="E21" s="3608"/>
      <c r="F21" s="3608"/>
      <c r="G21" s="3608"/>
      <c r="H21" s="3608"/>
      <c r="I21" s="3608"/>
      <c r="J21" s="3608"/>
      <c r="K21" s="3608"/>
      <c r="L21" s="3608"/>
      <c r="M21" s="3608"/>
      <c r="N21" s="3608"/>
      <c r="O21" s="3608"/>
      <c r="P21" s="3608"/>
      <c r="Q21" s="3609"/>
    </row>
    <row r="22" spans="1:31" ht="11.25" customHeight="1">
      <c r="A22" s="3607" t="s">
        <v>2024</v>
      </c>
      <c r="B22" s="3608"/>
      <c r="C22" s="3608"/>
      <c r="D22" s="3608"/>
      <c r="E22" s="3608"/>
      <c r="F22" s="3608"/>
      <c r="G22" s="3608"/>
      <c r="H22" s="3608"/>
      <c r="I22" s="3608"/>
      <c r="J22" s="3608"/>
      <c r="K22" s="3608"/>
      <c r="L22" s="3608"/>
      <c r="M22" s="3608"/>
      <c r="N22" s="3608"/>
      <c r="O22" s="3608"/>
      <c r="P22" s="3608"/>
      <c r="Q22" s="3609"/>
      <c r="R22" s="3401" t="s">
        <v>2030</v>
      </c>
      <c r="S22" s="3030"/>
    </row>
    <row r="23" spans="1:31" ht="11.25" customHeight="1">
      <c r="A23" s="3607" t="s">
        <v>2025</v>
      </c>
      <c r="B23" s="3608"/>
      <c r="C23" s="3608"/>
      <c r="D23" s="3608"/>
      <c r="E23" s="3608"/>
      <c r="F23" s="3608"/>
      <c r="G23" s="3608"/>
      <c r="H23" s="3608"/>
      <c r="I23" s="3608"/>
      <c r="J23" s="3608"/>
      <c r="K23" s="3608"/>
      <c r="L23" s="3608"/>
      <c r="M23" s="3608"/>
      <c r="N23" s="3608"/>
      <c r="O23" s="3608"/>
      <c r="P23" s="3608"/>
      <c r="Q23" s="3609"/>
      <c r="R23" s="3401"/>
      <c r="S23" s="3030"/>
    </row>
    <row r="24" spans="1:31" ht="11.25" customHeight="1">
      <c r="A24" s="3607" t="s">
        <v>2026</v>
      </c>
      <c r="B24" s="3608"/>
      <c r="C24" s="3608"/>
      <c r="D24" s="3608"/>
      <c r="E24" s="3608"/>
      <c r="F24" s="3608"/>
      <c r="G24" s="3608"/>
      <c r="H24" s="3608"/>
      <c r="I24" s="3608"/>
      <c r="J24" s="3608"/>
      <c r="K24" s="3608"/>
      <c r="L24" s="3608"/>
      <c r="M24" s="3608"/>
      <c r="N24" s="3608"/>
      <c r="O24" s="3608"/>
      <c r="P24" s="3608"/>
      <c r="Q24" s="3609"/>
      <c r="R24" s="3401"/>
      <c r="S24" s="3030"/>
    </row>
    <row r="25" spans="1:31" ht="11.25" customHeight="1">
      <c r="A25" s="3607" t="s">
        <v>2027</v>
      </c>
      <c r="B25" s="3608"/>
      <c r="C25" s="3608"/>
      <c r="D25" s="3608"/>
      <c r="E25" s="3608"/>
      <c r="F25" s="3608"/>
      <c r="G25" s="3608"/>
      <c r="H25" s="3608"/>
      <c r="I25" s="3608"/>
      <c r="J25" s="3608"/>
      <c r="K25" s="3608"/>
      <c r="L25" s="3608"/>
      <c r="M25" s="3608"/>
      <c r="N25" s="3608"/>
      <c r="O25" s="3608"/>
      <c r="P25" s="3608"/>
      <c r="Q25" s="3609"/>
      <c r="R25" s="3401"/>
      <c r="S25" s="3030"/>
    </row>
    <row r="26" spans="1:31" ht="11.25" customHeight="1">
      <c r="A26" s="3607" t="s">
        <v>2028</v>
      </c>
      <c r="B26" s="3608"/>
      <c r="C26" s="3608"/>
      <c r="D26" s="3608"/>
      <c r="E26" s="3608"/>
      <c r="F26" s="3608"/>
      <c r="G26" s="3608"/>
      <c r="H26" s="3608"/>
      <c r="I26" s="3608"/>
      <c r="J26" s="3608"/>
      <c r="K26" s="3608"/>
      <c r="L26" s="3608"/>
      <c r="M26" s="3608"/>
      <c r="N26" s="3608"/>
      <c r="O26" s="3608"/>
      <c r="P26" s="3608"/>
      <c r="Q26" s="3609"/>
      <c r="R26" s="3401"/>
      <c r="S26" s="3030"/>
    </row>
    <row r="27" spans="1:31" ht="11.25" customHeight="1">
      <c r="A27" s="3630" t="s">
        <v>2029</v>
      </c>
      <c r="B27" s="3631"/>
      <c r="C27" s="3631"/>
      <c r="D27" s="3631"/>
      <c r="E27" s="3631"/>
      <c r="F27" s="3631"/>
      <c r="G27" s="3631"/>
      <c r="H27" s="3631"/>
      <c r="I27" s="3631"/>
      <c r="J27" s="3631"/>
      <c r="K27" s="3631"/>
      <c r="L27" s="3631"/>
      <c r="M27" s="3631"/>
      <c r="N27" s="3631"/>
      <c r="O27" s="3631"/>
      <c r="P27" s="3631"/>
      <c r="Q27" s="3632"/>
      <c r="R27" s="3401"/>
      <c r="S27" s="3030"/>
    </row>
    <row r="28" spans="1:31" ht="6" customHeight="1"/>
    <row r="29" spans="1:31" ht="13.95" customHeight="1">
      <c r="A29" s="128" t="s">
        <v>615</v>
      </c>
      <c r="B29" s="129" t="s">
        <v>2650</v>
      </c>
      <c r="C29" s="130"/>
      <c r="D29" s="86"/>
      <c r="E29" s="86"/>
      <c r="F29" s="86"/>
      <c r="G29" s="86"/>
      <c r="I29" s="2300"/>
      <c r="J29" s="2300"/>
      <c r="K29" s="2300"/>
      <c r="L29" s="2288"/>
      <c r="M29" s="2288"/>
      <c r="O29" s="131" t="s">
        <v>1866</v>
      </c>
      <c r="P29" s="3490"/>
      <c r="Q29" s="3491"/>
    </row>
    <row r="30" spans="1:31" ht="3" customHeight="1"/>
    <row r="31" spans="1:31" ht="11.25" customHeight="1">
      <c r="B31" s="66" t="s">
        <v>3751</v>
      </c>
      <c r="C31" s="66"/>
      <c r="D31" s="66"/>
      <c r="E31" s="66"/>
      <c r="F31" s="66"/>
      <c r="G31" s="2300"/>
      <c r="H31" s="2300"/>
      <c r="I31" s="2300"/>
      <c r="J31" s="2300"/>
      <c r="K31" s="2288"/>
      <c r="L31" s="2288"/>
      <c r="M31" s="2288"/>
      <c r="N31" s="2288"/>
      <c r="O31" s="2288"/>
      <c r="P31" s="896"/>
      <c r="S31" s="157"/>
      <c r="T31" s="157"/>
    </row>
    <row r="32" spans="1:31" ht="108.75" customHeight="1">
      <c r="A32" s="3531" t="s">
        <v>5211</v>
      </c>
      <c r="B32" s="3532"/>
      <c r="C32" s="3532"/>
      <c r="D32" s="3532"/>
      <c r="E32" s="3532"/>
      <c r="F32" s="3532"/>
      <c r="G32" s="3532"/>
      <c r="H32" s="3532"/>
      <c r="I32" s="3532"/>
      <c r="J32" s="3532"/>
      <c r="K32" s="3532"/>
      <c r="L32" s="3532"/>
      <c r="M32" s="3532"/>
      <c r="N32" s="3532"/>
      <c r="O32" s="3532"/>
      <c r="P32" s="3532"/>
      <c r="Q32" s="3533"/>
      <c r="R32" s="445" t="s">
        <v>1253</v>
      </c>
      <c r="S32" s="446"/>
      <c r="T32" s="157"/>
      <c r="U32" s="135"/>
      <c r="V32" s="135"/>
      <c r="W32" s="135"/>
      <c r="X32" s="135"/>
      <c r="Y32" s="135"/>
      <c r="Z32" s="135"/>
      <c r="AA32" s="135"/>
      <c r="AB32" s="135"/>
      <c r="AC32" s="135"/>
      <c r="AD32" s="135"/>
      <c r="AE32" s="465"/>
    </row>
    <row r="33" spans="1:295" ht="11.25" customHeight="1">
      <c r="B33" s="136" t="s">
        <v>1865</v>
      </c>
      <c r="C33" s="137"/>
      <c r="D33" s="2291"/>
      <c r="E33" s="2291"/>
      <c r="F33" s="2291"/>
      <c r="G33" s="2291"/>
      <c r="H33" s="2291"/>
      <c r="I33" s="2291"/>
      <c r="J33" s="2291"/>
      <c r="K33" s="2291"/>
      <c r="L33" s="2291"/>
      <c r="M33" s="2291"/>
      <c r="N33" s="2291"/>
      <c r="O33" s="2291"/>
      <c r="P33" s="2291"/>
    </row>
    <row r="34" spans="1:295" ht="36" customHeight="1">
      <c r="A34" s="3633"/>
      <c r="B34" s="3633"/>
      <c r="C34" s="3633"/>
      <c r="D34" s="3633"/>
      <c r="E34" s="3633"/>
      <c r="F34" s="3633"/>
      <c r="G34" s="3633"/>
      <c r="H34" s="3633"/>
      <c r="I34" s="3633"/>
      <c r="J34" s="3633"/>
      <c r="K34" s="3633"/>
      <c r="L34" s="3633"/>
      <c r="M34" s="3633"/>
      <c r="N34" s="3633"/>
      <c r="O34" s="3633"/>
      <c r="P34" s="3633"/>
      <c r="Q34" s="3633"/>
      <c r="R34" s="445" t="s">
        <v>1253</v>
      </c>
      <c r="S34" s="446"/>
    </row>
    <row r="35" spans="1:295" ht="3" customHeight="1">
      <c r="B35" s="2300"/>
      <c r="C35" s="2291"/>
      <c r="D35" s="2291"/>
      <c r="E35" s="2291"/>
      <c r="F35" s="2291"/>
      <c r="G35" s="2291"/>
      <c r="H35" s="2291"/>
      <c r="I35" s="2291"/>
      <c r="J35" s="2291"/>
      <c r="K35" s="2291"/>
      <c r="L35" s="2291"/>
      <c r="M35" s="2291"/>
      <c r="N35" s="2291"/>
      <c r="O35" s="2291"/>
      <c r="P35" s="2291"/>
      <c r="Q35" s="2288"/>
    </row>
    <row r="36" spans="1:295" ht="12.75" customHeight="1">
      <c r="A36" s="2285" t="s">
        <v>739</v>
      </c>
      <c r="B36" s="3" t="s">
        <v>2710</v>
      </c>
      <c r="C36" s="3"/>
      <c r="D36" s="3"/>
      <c r="E36" s="2291"/>
      <c r="G36" s="611"/>
      <c r="H36" s="611"/>
      <c r="I36" s="611"/>
      <c r="J36" s="41"/>
      <c r="L36" s="612"/>
      <c r="M36" s="612"/>
      <c r="N36" s="612"/>
      <c r="O36" s="131" t="s">
        <v>1866</v>
      </c>
      <c r="P36" s="3490"/>
      <c r="Q36" s="3491"/>
    </row>
    <row r="37" spans="1:295" ht="11.25" customHeight="1">
      <c r="A37" s="3494"/>
      <c r="B37" s="3494"/>
      <c r="C37" s="3494"/>
      <c r="D37" s="3494"/>
      <c r="E37" s="3494"/>
      <c r="F37" s="2193"/>
      <c r="G37" s="3634" t="s">
        <v>2714</v>
      </c>
      <c r="H37" s="3635"/>
      <c r="I37" s="615"/>
      <c r="J37" s="41"/>
      <c r="K37" s="3636" t="s">
        <v>3632</v>
      </c>
      <c r="L37" s="3637"/>
      <c r="M37" s="3637"/>
      <c r="N37" s="3638"/>
    </row>
    <row r="38" spans="1:295" ht="11.25" customHeight="1">
      <c r="A38" s="3494"/>
      <c r="B38" s="3494"/>
      <c r="C38" s="3494"/>
      <c r="D38" s="3494"/>
      <c r="E38" s="3494"/>
      <c r="F38" s="2193"/>
      <c r="G38" s="3639" t="s">
        <v>346</v>
      </c>
      <c r="H38" s="3640"/>
      <c r="I38" s="615"/>
      <c r="J38" s="41"/>
      <c r="K38" s="3641" t="s">
        <v>3633</v>
      </c>
      <c r="L38" s="3642"/>
      <c r="M38" s="3642"/>
      <c r="N38" s="3643"/>
      <c r="P38" s="519" t="s">
        <v>2733</v>
      </c>
      <c r="Q38" s="2670" t="s">
        <v>2988</v>
      </c>
    </row>
    <row r="39" spans="1:295" ht="4.5" customHeight="1">
      <c r="A39" s="2193"/>
      <c r="B39" s="2193"/>
      <c r="C39" s="2193"/>
      <c r="D39" s="2193"/>
      <c r="E39" s="2193"/>
      <c r="F39" s="2193"/>
      <c r="G39" s="214"/>
      <c r="H39" s="214"/>
      <c r="I39" s="214"/>
      <c r="J39" s="41"/>
      <c r="K39" s="3498"/>
      <c r="L39" s="3498"/>
      <c r="M39" s="3498"/>
      <c r="N39" s="3498"/>
    </row>
    <row r="40" spans="1:295" s="82" customFormat="1" ht="10.5" customHeight="1">
      <c r="D40" s="616" t="s">
        <v>2713</v>
      </c>
      <c r="E40" s="34"/>
      <c r="F40" s="617" t="s">
        <v>3451</v>
      </c>
      <c r="G40" s="3644" t="s">
        <v>5039</v>
      </c>
      <c r="H40" s="3644"/>
      <c r="I40" s="3644"/>
      <c r="J40" s="34"/>
      <c r="K40" s="617" t="s">
        <v>3451</v>
      </c>
      <c r="L40" s="3644" t="s">
        <v>5038</v>
      </c>
      <c r="M40" s="3644"/>
      <c r="N40" s="3644"/>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29" t="s">
        <v>3356</v>
      </c>
      <c r="B41" s="3629"/>
      <c r="C41" s="3629"/>
      <c r="D41" s="852" t="s">
        <v>567</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137262</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150988</v>
      </c>
      <c r="M41" s="39" t="str">
        <f>CONCATENATE("x ", K41," units = ")</f>
        <v xml:space="preserve">x  units = </v>
      </c>
      <c r="N41" s="2192" t="str">
        <f>IF(K41="","",K41*L41)</f>
        <v/>
      </c>
      <c r="O41" s="2291"/>
      <c r="P41" s="3651" t="s">
        <v>3888</v>
      </c>
      <c r="Q41" s="3651"/>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29"/>
      <c r="B42" s="3629"/>
      <c r="C42" s="3629"/>
      <c r="D42" s="852" t="s">
        <v>2439</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177349</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195083</v>
      </c>
      <c r="M42" s="39" t="str">
        <f>CONCATENATE("x ", K42," units = ")</f>
        <v xml:space="preserve">x  units = </v>
      </c>
      <c r="N42" s="2192" t="str">
        <f>IF(K42="","",K42*L42)</f>
        <v/>
      </c>
      <c r="O42" s="2291"/>
      <c r="P42" s="3645" t="str">
        <f>IF('Part I-Project Information'!$F$38="","",VLOOKUP('Part I-Project Information'!$J$39,'DCA Underwriting Assumptions'!$G$158:$N$317,8,FALSE))</f>
        <v>Albany</v>
      </c>
      <c r="Q42" s="3646"/>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29"/>
      <c r="B43" s="3629"/>
      <c r="C43" s="3629"/>
      <c r="D43" s="852" t="s">
        <v>2440</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212078</v>
      </c>
      <c r="H43" s="39" t="str">
        <f>CONCATENATE("x ", F43," units = ")</f>
        <v xml:space="preserve">x  units = </v>
      </c>
      <c r="I43" s="2192" t="str">
        <f t="shared" ref="I43:I45" si="0">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233285</v>
      </c>
      <c r="M43" s="39" t="str">
        <f>CONCATENATE("x ", K43," units = ")</f>
        <v xml:space="preserve">x  units = </v>
      </c>
      <c r="N43" s="2192" t="str">
        <f t="shared" ref="N43:N45" si="1">IF(K43="","",K43*L43)</f>
        <v/>
      </c>
      <c r="O43" s="2291"/>
      <c r="P43" s="3647"/>
      <c r="Q43" s="3648"/>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29"/>
      <c r="B44" s="3629"/>
      <c r="C44" s="3629"/>
      <c r="D44" s="852" t="s">
        <v>2441</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252716</v>
      </c>
      <c r="H44" s="39" t="str">
        <f>CONCATENATE("x ", F44," units = ")</f>
        <v xml:space="preserve">x  units = </v>
      </c>
      <c r="I44" s="2192" t="str">
        <f t="shared" si="0"/>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277987</v>
      </c>
      <c r="M44" s="39" t="str">
        <f>CONCATENATE("x ", K44," units = ")</f>
        <v xml:space="preserve">x  units = </v>
      </c>
      <c r="N44" s="2192" t="str">
        <f t="shared" si="1"/>
        <v/>
      </c>
      <c r="O44" s="2291"/>
      <c r="P44" s="3492" t="s">
        <v>5037</v>
      </c>
      <c r="Q44" s="3492"/>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2442</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297120</v>
      </c>
      <c r="H45" s="39" t="str">
        <f>CONCATENATE("x ", F45," units = ")</f>
        <v xml:space="preserve">x  units = </v>
      </c>
      <c r="I45" s="2192" t="str">
        <f t="shared" si="0"/>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326832</v>
      </c>
      <c r="M45" s="39" t="str">
        <f>CONCATENATE("x ", K45," units = ")</f>
        <v xml:space="preserve">x  units = </v>
      </c>
      <c r="N45" s="2192" t="str">
        <f t="shared" si="1"/>
        <v/>
      </c>
      <c r="O45" s="2291"/>
      <c r="P45" s="3674">
        <f>'Part IV-A-Uses of Funds'!$G$132</f>
        <v>5168536</v>
      </c>
      <c r="Q45" s="3675"/>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3366</v>
      </c>
      <c r="E46" s="132"/>
      <c r="F46" s="1093">
        <f>SUM(F41:F45)</f>
        <v>0</v>
      </c>
      <c r="G46" s="618"/>
      <c r="H46" s="1094"/>
      <c r="I46" s="1095">
        <f>SUM(I41:I45)</f>
        <v>0</v>
      </c>
      <c r="J46" s="1096"/>
      <c r="K46" s="1093">
        <f>SUM(K41:K45)</f>
        <v>0</v>
      </c>
      <c r="L46" s="1096"/>
      <c r="M46" s="1094"/>
      <c r="N46" s="1095">
        <f>SUM(N41:N45)</f>
        <v>0</v>
      </c>
      <c r="O46" s="2291"/>
      <c r="P46" s="3676"/>
      <c r="Q46" s="3677"/>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295"/>
      <c r="J47" s="127"/>
      <c r="K47" s="619"/>
      <c r="L47" s="127"/>
      <c r="M47" s="2291"/>
      <c r="N47" s="2295"/>
      <c r="O47" s="2291"/>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29" t="s">
        <v>3351</v>
      </c>
      <c r="B48" s="3629"/>
      <c r="C48" s="3629"/>
      <c r="D48" s="852" t="s">
        <v>567</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121714</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133885</v>
      </c>
      <c r="M48" s="39" t="str">
        <f>CONCATENATE("x ", K48," units = ")</f>
        <v xml:space="preserve">x  units = </v>
      </c>
      <c r="N48" s="2192" t="str">
        <f>IF(K48="","",K48*L48)</f>
        <v/>
      </c>
      <c r="P48" s="2190"/>
      <c r="Q48" s="2190"/>
      <c r="S48" s="3652" t="s">
        <v>4742</v>
      </c>
      <c r="T48" s="3653"/>
      <c r="U48" s="3653"/>
      <c r="V48" s="3654"/>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29"/>
      <c r="B49" s="3629"/>
      <c r="C49" s="3629"/>
      <c r="D49" s="852" t="s">
        <v>2439</v>
      </c>
      <c r="E49" s="853">
        <v>1</v>
      </c>
      <c r="F49" s="2191"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158836</v>
      </c>
      <c r="H49" s="39" t="str">
        <f>CONCATENATE("x ", F49," units = ")</f>
        <v xml:space="preserve">x  units = </v>
      </c>
      <c r="I49" s="2192" t="str">
        <f>IF(F49="","",F49*G49)</f>
        <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174719</v>
      </c>
      <c r="M49" s="39" t="str">
        <f>CONCATENATE("x ", K49," units = ")</f>
        <v xml:space="preserve">x  units = </v>
      </c>
      <c r="N49" s="2192" t="str">
        <f>IF(K49="","",K49*L49)</f>
        <v/>
      </c>
      <c r="P49" s="3194" t="s">
        <v>4085</v>
      </c>
      <c r="Q49" s="3194"/>
      <c r="S49" s="3655"/>
      <c r="T49" s="3656"/>
      <c r="U49" s="3656"/>
      <c r="V49" s="3657"/>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29"/>
      <c r="B50" s="3629"/>
      <c r="C50" s="3629"/>
      <c r="D50" s="852" t="s">
        <v>2440</v>
      </c>
      <c r="E50" s="853">
        <v>2</v>
      </c>
      <c r="F50" s="2191"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192451</v>
      </c>
      <c r="H50" s="39" t="str">
        <f>CONCATENATE("x ", F50," units = ")</f>
        <v xml:space="preserve">x  units = </v>
      </c>
      <c r="I50" s="2192" t="str">
        <f t="shared" ref="I50:I52" si="2">IF(F50="","",F50*G50)</f>
        <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211696</v>
      </c>
      <c r="M50" s="39" t="str">
        <f>CONCATENATE("x ", K50," units = ")</f>
        <v xml:space="preserve">x  units = </v>
      </c>
      <c r="N50" s="2192" t="str">
        <f t="shared" ref="N50:N52" si="3">IF(K50="","",K50*L50)</f>
        <v/>
      </c>
      <c r="O50" s="564"/>
      <c r="P50" s="3663"/>
      <c r="Q50" s="3664"/>
      <c r="R50" s="407"/>
      <c r="S50" s="3655"/>
      <c r="T50" s="3656"/>
      <c r="U50" s="3656"/>
      <c r="V50" s="3657"/>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2441</v>
      </c>
      <c r="E51" s="853">
        <v>3</v>
      </c>
      <c r="F51" s="2191"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234909</v>
      </c>
      <c r="H51" s="39" t="str">
        <f>CONCATENATE("x ", F51," units = ")</f>
        <v xml:space="preserve">x  units = </v>
      </c>
      <c r="I51" s="2192" t="str">
        <f t="shared" si="2"/>
        <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258399</v>
      </c>
      <c r="M51" s="39" t="str">
        <f>CONCATENATE("x ", K51," units = ")</f>
        <v xml:space="preserve">x  units = </v>
      </c>
      <c r="N51" s="2192" t="str">
        <f t="shared" si="3"/>
        <v/>
      </c>
      <c r="O51" s="564"/>
      <c r="P51" s="3665"/>
      <c r="Q51" s="3666"/>
      <c r="S51" s="3655"/>
      <c r="T51" s="3656"/>
      <c r="U51" s="3656"/>
      <c r="V51" s="3657"/>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2442</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278528</v>
      </c>
      <c r="H52" s="39" t="str">
        <f>CONCATENATE("x ", F52," units = ")</f>
        <v xml:space="preserve">x  units = </v>
      </c>
      <c r="I52" s="2192" t="str">
        <f t="shared" si="2"/>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306380</v>
      </c>
      <c r="M52" s="39" t="str">
        <f>CONCATENATE("x ", K52," units = ")</f>
        <v xml:space="preserve">x  units = </v>
      </c>
      <c r="N52" s="2192" t="str">
        <f t="shared" si="3"/>
        <v/>
      </c>
      <c r="O52" s="564"/>
      <c r="P52" s="3673" t="s">
        <v>3627</v>
      </c>
      <c r="Q52" s="3673"/>
      <c r="S52" s="3655"/>
      <c r="T52" s="3656"/>
      <c r="U52" s="3656"/>
      <c r="V52" s="3657"/>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3366</v>
      </c>
      <c r="E53" s="132"/>
      <c r="F53" s="1093">
        <f>SUM(F48:F52)</f>
        <v>0</v>
      </c>
      <c r="G53" s="618"/>
      <c r="H53" s="1094"/>
      <c r="I53" s="1095">
        <f>SUM(I48:I52)</f>
        <v>0</v>
      </c>
      <c r="J53" s="1096"/>
      <c r="K53" s="1093">
        <f>SUM(K48:K52)</f>
        <v>0</v>
      </c>
      <c r="L53" s="1096"/>
      <c r="M53" s="1094"/>
      <c r="N53" s="1095">
        <f>SUM(N48:N52)</f>
        <v>0</v>
      </c>
      <c r="O53" s="564"/>
      <c r="P53" s="1101" t="s">
        <v>3244</v>
      </c>
      <c r="Q53" s="1101" t="s">
        <v>256</v>
      </c>
      <c r="R53" s="407"/>
      <c r="S53" s="3655"/>
      <c r="T53" s="3656"/>
      <c r="U53" s="3656"/>
      <c r="V53" s="3657"/>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295"/>
      <c r="J54" s="34"/>
      <c r="K54" s="619"/>
      <c r="L54" s="34"/>
      <c r="M54" s="2291"/>
      <c r="N54" s="2295"/>
      <c r="O54" s="564"/>
      <c r="R54" s="407"/>
      <c r="S54" s="3655"/>
      <c r="T54" s="3656"/>
      <c r="U54" s="3656"/>
      <c r="V54" s="3657"/>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3352</v>
      </c>
      <c r="B55" s="575"/>
      <c r="C55" s="1"/>
      <c r="D55" s="852" t="s">
        <v>567</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107065</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117771</v>
      </c>
      <c r="M55" s="39" t="str">
        <f>CONCATENATE("x ", K55," units = ")</f>
        <v xml:space="preserve">x  units = </v>
      </c>
      <c r="N55" s="2192" t="str">
        <f>IF(K55="","",K55*L55)</f>
        <v/>
      </c>
      <c r="O55" s="564"/>
      <c r="P55" s="1100">
        <f>'Part IX Scoring Criteria'!O420</f>
        <v>0</v>
      </c>
      <c r="Q55" s="1100">
        <f>'Part IX Scoring Criteria'!P420</f>
        <v>0</v>
      </c>
      <c r="R55" s="407"/>
      <c r="S55" s="3655"/>
      <c r="T55" s="3656"/>
      <c r="U55" s="3656"/>
      <c r="V55" s="3657"/>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2439</v>
      </c>
      <c r="E56" s="853">
        <v>1</v>
      </c>
      <c r="F56" s="2191">
        <f>IF('Part VI-Revenues &amp; Expenses'!$K$139 =0,"",'Part VI-Revenues &amp; Expenses'!$K$139)</f>
        <v>12</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146199</v>
      </c>
      <c r="H56" s="39" t="str">
        <f>CONCATENATE("x ", F56," units = ")</f>
        <v xml:space="preserve">x 12 units = </v>
      </c>
      <c r="I56" s="2192">
        <f>IF(F56="","",F56*G56)</f>
        <v>1754388</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160818</v>
      </c>
      <c r="M56" s="39" t="str">
        <f>CONCATENATE("x ", K56," units = ")</f>
        <v xml:space="preserve">x  units = </v>
      </c>
      <c r="N56" s="2192" t="str">
        <f>IF(K56="","",K56*L56)</f>
        <v/>
      </c>
      <c r="P56" s="3673" t="s">
        <v>3628</v>
      </c>
      <c r="Q56" s="3673"/>
      <c r="S56" s="3655"/>
      <c r="T56" s="3656"/>
      <c r="U56" s="3656"/>
      <c r="V56" s="3657"/>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2440</v>
      </c>
      <c r="E57" s="853">
        <v>2</v>
      </c>
      <c r="F57" s="2191">
        <f>IF('Part VI-Revenues &amp; Expenses'!$L$139 =0,"",'Part VI-Revenues &amp; Expenses'!$L$139)</f>
        <v>24</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185055</v>
      </c>
      <c r="H57" s="39" t="str">
        <f>CONCATENATE("x ", F57," units = ")</f>
        <v xml:space="preserve">x 24 units = </v>
      </c>
      <c r="I57" s="2192">
        <f t="shared" ref="I57:I59" si="4">IF(F57="","",F57*G57)</f>
        <v>4441320</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203560</v>
      </c>
      <c r="M57" s="39" t="str">
        <f>CONCATENATE("x ", K57," units = ")</f>
        <v xml:space="preserve">x  units = </v>
      </c>
      <c r="N57" s="2192" t="str">
        <f t="shared" ref="N57:N59" si="5">IF(K57="","",K57*L57)</f>
        <v/>
      </c>
      <c r="P57" s="1101" t="s">
        <v>3244</v>
      </c>
      <c r="Q57" s="1101" t="s">
        <v>256</v>
      </c>
      <c r="S57" s="3655"/>
      <c r="T57" s="3656"/>
      <c r="U57" s="3656"/>
      <c r="V57" s="3657"/>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2441</v>
      </c>
      <c r="E58" s="853">
        <v>3</v>
      </c>
      <c r="F58" s="2191">
        <f>IF('Part VI-Revenues &amp; Expenses'!$M$139 =0,"",'Part VI-Revenues &amp; Expenses'!$M$139)</f>
        <v>4</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243836</v>
      </c>
      <c r="H58" s="39" t="str">
        <f>CONCATENATE("x ", F58," units = ")</f>
        <v xml:space="preserve">x 4 units = </v>
      </c>
      <c r="I58" s="2192">
        <f t="shared" si="4"/>
        <v>975344</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268219</v>
      </c>
      <c r="M58" s="39" t="str">
        <f>CONCATENATE("x ", K58," units = ")</f>
        <v xml:space="preserve">x  units = </v>
      </c>
      <c r="N58" s="2192" t="str">
        <f t="shared" si="5"/>
        <v/>
      </c>
      <c r="O58" s="564"/>
      <c r="P58" s="1100">
        <f>'Part IX Scoring Criteria'!O71</f>
        <v>0</v>
      </c>
      <c r="Q58" s="1100">
        <f>'Part IX Scoring Criteria'!P71</f>
        <v>0</v>
      </c>
      <c r="S58" s="3658"/>
      <c r="T58" s="3659"/>
      <c r="U58" s="3659"/>
      <c r="V58" s="3660"/>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2442</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302233</v>
      </c>
      <c r="H59" s="39" t="str">
        <f>CONCATENATE("x ", F59," units = ")</f>
        <v xml:space="preserve">x  units = </v>
      </c>
      <c r="I59" s="2192" t="str">
        <f t="shared" si="4"/>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332456</v>
      </c>
      <c r="M59" s="39" t="str">
        <f>CONCATENATE("x ", K59," units = ")</f>
        <v xml:space="preserve">x  units = </v>
      </c>
      <c r="N59" s="2192" t="str">
        <f t="shared" si="5"/>
        <v/>
      </c>
      <c r="O59" s="564"/>
      <c r="P59" s="3623" t="s">
        <v>2768</v>
      </c>
      <c r="Q59" s="3623"/>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3366</v>
      </c>
      <c r="E60" s="132"/>
      <c r="F60" s="1093">
        <f>SUM(F55:F59)</f>
        <v>40</v>
      </c>
      <c r="G60" s="618"/>
      <c r="H60" s="1094"/>
      <c r="I60" s="1095">
        <f>SUM(I55:I59)</f>
        <v>7171052</v>
      </c>
      <c r="J60" s="1096"/>
      <c r="K60" s="1093">
        <f>SUM(K55:K59)</f>
        <v>0</v>
      </c>
      <c r="L60" s="1096"/>
      <c r="M60" s="1094"/>
      <c r="N60" s="1095">
        <f>SUM(N55:N59)</f>
        <v>0</v>
      </c>
      <c r="O60" s="564"/>
      <c r="P60" s="3623"/>
      <c r="Q60" s="3623"/>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295"/>
      <c r="J61" s="34"/>
      <c r="K61" s="619"/>
      <c r="L61" s="34"/>
      <c r="M61" s="2291"/>
      <c r="N61" s="2295"/>
      <c r="O61" s="564"/>
      <c r="P61" s="3623"/>
      <c r="Q61" s="3623"/>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3353</v>
      </c>
      <c r="B62" s="7"/>
      <c r="C62" s="1"/>
      <c r="D62" s="852" t="s">
        <v>567</v>
      </c>
      <c r="E62" s="853">
        <v>0</v>
      </c>
      <c r="F62" s="2191"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107293</v>
      </c>
      <c r="H62" s="39" t="str">
        <f>CONCATENATE("x ", F62," units = ")</f>
        <v xml:space="preserve">x  units = </v>
      </c>
      <c r="I62" s="2192" t="str">
        <f>IF(F62="","",F62*G62)</f>
        <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118022</v>
      </c>
      <c r="M62" s="39" t="str">
        <f>CONCATENATE("x ", K62," units = ")</f>
        <v xml:space="preserve">x  units = </v>
      </c>
      <c r="N62" s="2192" t="str">
        <f>IF(K62="","",K62*L62)</f>
        <v/>
      </c>
      <c r="O62" s="564"/>
      <c r="P62" s="3624"/>
      <c r="Q62" s="3624"/>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2439</v>
      </c>
      <c r="E63" s="853">
        <v>1</v>
      </c>
      <c r="F63" s="2191"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150210</v>
      </c>
      <c r="H63" s="39" t="str">
        <f>CONCATENATE("x ", F63," units = ")</f>
        <v xml:space="preserve">x  units = </v>
      </c>
      <c r="I63" s="2192" t="str">
        <f>IF(F63="","",F63*G63)</f>
        <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165231</v>
      </c>
      <c r="M63" s="39" t="str">
        <f>CONCATENATE("x ", K63," units = ")</f>
        <v xml:space="preserve">x  units = </v>
      </c>
      <c r="N63" s="2192" t="str">
        <f>IF(K63="","",K63*L63)</f>
        <v/>
      </c>
      <c r="O63" s="564"/>
      <c r="P63" s="3625">
        <f>IF(P50&gt;1,P50, IF(OR('Part IX Scoring Criteria'!$O$71='Part IX Scoring Criteria'!$M$71,AND('Part IV-A-Uses of Funds'!$T$165="Yes",'Part IX Scoring Criteria'!$O$420&gt;0)),H69+M69,H69))</f>
        <v>7171052</v>
      </c>
      <c r="Q63" s="3626"/>
      <c r="R63" s="3670"/>
      <c r="S63" s="3671"/>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2440</v>
      </c>
      <c r="E64" s="853">
        <v>2</v>
      </c>
      <c r="F64" s="2191"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193128</v>
      </c>
      <c r="H64" s="39" t="str">
        <f>CONCATENATE("x ", F64," units = ")</f>
        <v xml:space="preserve">x  units = </v>
      </c>
      <c r="I64" s="2192" t="str">
        <f t="shared" ref="I64:I66" si="6">IF(F64="","",F64*G64)</f>
        <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212440</v>
      </c>
      <c r="M64" s="39" t="str">
        <f>CONCATENATE("x ", K64," units = ")</f>
        <v xml:space="preserve">x  units = </v>
      </c>
      <c r="N64" s="2192" t="str">
        <f t="shared" ref="N64:N66" si="7">IF(K64="","",K64*L64)</f>
        <v/>
      </c>
      <c r="P64" s="3627"/>
      <c r="Q64" s="3628"/>
      <c r="R64" s="3670"/>
      <c r="S64" s="3671"/>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2441</v>
      </c>
      <c r="E65" s="853">
        <v>3</v>
      </c>
      <c r="F65" s="2191"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257504</v>
      </c>
      <c r="H65" s="39" t="str">
        <f>CONCATENATE("x ", F65," units = ")</f>
        <v xml:space="preserve">x  units = </v>
      </c>
      <c r="I65" s="2192" t="str">
        <f t="shared" si="6"/>
        <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283254</v>
      </c>
      <c r="M65" s="39" t="str">
        <f>CONCATENATE("x ", K65," units = ")</f>
        <v xml:space="preserve">x  units = </v>
      </c>
      <c r="N65" s="2192" t="str">
        <f t="shared" si="7"/>
        <v/>
      </c>
      <c r="P65" s="3667" t="s">
        <v>4237</v>
      </c>
      <c r="Q65" s="3667"/>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2442</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321879</v>
      </c>
      <c r="H66" s="39" t="str">
        <f>CONCATENATE("x ", F66," units = ")</f>
        <v xml:space="preserve">x  units = </v>
      </c>
      <c r="I66" s="2192" t="str">
        <f t="shared" si="6"/>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354066</v>
      </c>
      <c r="M66" s="39" t="str">
        <f>CONCATENATE("x ", K66," units = ")</f>
        <v xml:space="preserve">x  units = </v>
      </c>
      <c r="N66" s="2192" t="str">
        <f t="shared" si="7"/>
        <v/>
      </c>
      <c r="O66" s="564"/>
      <c r="P66" s="3668"/>
      <c r="Q66" s="3668"/>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3366</v>
      </c>
      <c r="E67" s="132"/>
      <c r="F67" s="1093">
        <f>SUM(F62:F66)</f>
        <v>0</v>
      </c>
      <c r="G67" s="618"/>
      <c r="H67" s="1094"/>
      <c r="I67" s="1097">
        <f>SUM(I62:I66)</f>
        <v>0</v>
      </c>
      <c r="J67" s="1096"/>
      <c r="K67" s="1093">
        <f>SUM(K62:K66)</f>
        <v>0</v>
      </c>
      <c r="L67" s="1096"/>
      <c r="M67" s="1094"/>
      <c r="N67" s="1097">
        <f>SUM(N62:N66)</f>
        <v>0</v>
      </c>
      <c r="O67" s="564"/>
      <c r="P67" s="3668"/>
      <c r="Q67" s="3668"/>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2"/>
      <c r="O68" s="564"/>
      <c r="P68" s="3668"/>
      <c r="Q68" s="3668"/>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3367</v>
      </c>
      <c r="B69" s="1"/>
      <c r="C69" s="1"/>
      <c r="D69" s="90"/>
      <c r="E69" s="110"/>
      <c r="F69" s="609">
        <f>F46+F53+F60+F67</f>
        <v>40</v>
      </c>
      <c r="G69" s="331"/>
      <c r="H69" s="3672">
        <f>I46+I53+I60+I67</f>
        <v>7171052</v>
      </c>
      <c r="I69" s="3672"/>
      <c r="J69" s="3672"/>
      <c r="K69" s="609">
        <f>K46+K53+K60+K67</f>
        <v>0</v>
      </c>
      <c r="L69" s="610"/>
      <c r="M69" s="3672">
        <f>N46+N53+N60+N67</f>
        <v>0</v>
      </c>
      <c r="N69" s="3672"/>
      <c r="O69" s="3672"/>
      <c r="P69" s="3668"/>
      <c r="Q69" s="3668"/>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3751</v>
      </c>
      <c r="D70" s="95"/>
      <c r="E70" s="95"/>
      <c r="F70" s="95"/>
      <c r="G70" s="95"/>
      <c r="H70" s="39"/>
      <c r="I70" s="2300"/>
      <c r="J70" s="2300"/>
      <c r="K70" s="136" t="s">
        <v>1865</v>
      </c>
      <c r="L70" s="2288"/>
      <c r="M70" s="2288"/>
      <c r="N70" s="2288"/>
      <c r="O70" s="2288"/>
      <c r="P70" s="3669"/>
      <c r="Q70" s="3669"/>
    </row>
    <row r="71" spans="1:295" ht="10.5" customHeight="1">
      <c r="A71" s="3531" t="s">
        <v>5212</v>
      </c>
      <c r="B71" s="3532"/>
      <c r="C71" s="3532"/>
      <c r="D71" s="3532"/>
      <c r="E71" s="3532"/>
      <c r="F71" s="3532"/>
      <c r="G71" s="3532"/>
      <c r="H71" s="3532"/>
      <c r="I71" s="3532"/>
      <c r="J71" s="3533"/>
      <c r="K71" s="3487"/>
      <c r="L71" s="3488"/>
      <c r="M71" s="3488"/>
      <c r="N71" s="3488"/>
      <c r="O71" s="3488"/>
      <c r="P71" s="3488"/>
      <c r="Q71" s="3489"/>
      <c r="R71" s="445" t="s">
        <v>1253</v>
      </c>
      <c r="U71" s="135"/>
      <c r="V71" s="135"/>
      <c r="W71" s="135"/>
      <c r="X71" s="135"/>
      <c r="Y71" s="135"/>
      <c r="Z71" s="135"/>
      <c r="AA71" s="135"/>
      <c r="AB71" s="135"/>
      <c r="AC71" s="135"/>
      <c r="AD71" s="135"/>
      <c r="AE71" s="465"/>
    </row>
    <row r="72" spans="1:295" ht="3" customHeight="1">
      <c r="B72" s="2300"/>
      <c r="C72" s="2291"/>
      <c r="D72" s="2291"/>
      <c r="E72" s="2291"/>
      <c r="F72" s="2291"/>
      <c r="G72" s="2291"/>
      <c r="H72" s="2291"/>
      <c r="I72" s="2291"/>
      <c r="J72" s="2291"/>
      <c r="K72" s="2291"/>
      <c r="L72" s="2291"/>
      <c r="M72" s="2291"/>
      <c r="N72" s="2291"/>
      <c r="O72" s="2291"/>
      <c r="P72" s="2291"/>
      <c r="Q72" s="2288"/>
    </row>
    <row r="73" spans="1:295" ht="12.75" customHeight="1">
      <c r="A73" s="2285" t="s">
        <v>741</v>
      </c>
      <c r="B73" s="3" t="s">
        <v>1190</v>
      </c>
      <c r="C73" s="3"/>
      <c r="D73" s="3"/>
      <c r="E73" s="2291"/>
      <c r="F73" s="2291"/>
      <c r="G73" s="139" t="s">
        <v>99</v>
      </c>
      <c r="H73" s="2291"/>
      <c r="J73" s="3678" t="str">
        <f>'Part I-Project Information'!$H$82</f>
        <v>Family</v>
      </c>
      <c r="K73" s="3678"/>
      <c r="L73" s="3678"/>
      <c r="O73" s="131" t="s">
        <v>1866</v>
      </c>
      <c r="P73" s="3490"/>
      <c r="Q73" s="3491"/>
    </row>
    <row r="74" spans="1:295" ht="10.5" customHeight="1">
      <c r="B74" s="95" t="s">
        <v>3751</v>
      </c>
      <c r="D74" s="95"/>
      <c r="E74" s="95"/>
      <c r="F74" s="95"/>
      <c r="G74" s="95"/>
      <c r="H74" s="39"/>
      <c r="I74" s="2300"/>
      <c r="J74" s="2300"/>
      <c r="K74" s="136" t="s">
        <v>1865</v>
      </c>
      <c r="L74" s="2288"/>
      <c r="M74" s="2288"/>
      <c r="N74" s="2288"/>
      <c r="O74" s="2288"/>
      <c r="P74" s="2288"/>
      <c r="Q74" s="896"/>
    </row>
    <row r="75" spans="1:295" ht="10.5" customHeight="1">
      <c r="A75" s="3531" t="s">
        <v>5213</v>
      </c>
      <c r="B75" s="3532"/>
      <c r="C75" s="3532"/>
      <c r="D75" s="3532"/>
      <c r="E75" s="3532"/>
      <c r="F75" s="3532"/>
      <c r="G75" s="3532"/>
      <c r="H75" s="3532"/>
      <c r="I75" s="3532"/>
      <c r="J75" s="3533"/>
      <c r="K75" s="3487"/>
      <c r="L75" s="3488"/>
      <c r="M75" s="3488"/>
      <c r="N75" s="3488"/>
      <c r="O75" s="3488"/>
      <c r="P75" s="3488"/>
      <c r="Q75" s="3489"/>
      <c r="R75" s="445" t="s">
        <v>1253</v>
      </c>
      <c r="U75" s="135"/>
      <c r="V75" s="135"/>
      <c r="W75" s="135"/>
      <c r="X75" s="135"/>
      <c r="Y75" s="135"/>
      <c r="Z75" s="135"/>
      <c r="AA75" s="135"/>
      <c r="AB75" s="135"/>
      <c r="AC75" s="135"/>
      <c r="AD75" s="135"/>
      <c r="AE75" s="465"/>
    </row>
    <row r="76" spans="1:295" ht="3" customHeight="1">
      <c r="A76" s="2288"/>
      <c r="B76" s="2300"/>
      <c r="C76" s="2291"/>
      <c r="D76" s="2291"/>
      <c r="E76" s="2291"/>
      <c r="F76" s="2291"/>
      <c r="G76" s="2291"/>
      <c r="H76" s="2291"/>
      <c r="I76" s="2291"/>
      <c r="J76" s="2291"/>
      <c r="K76" s="2291"/>
      <c r="L76" s="2291"/>
      <c r="M76" s="2291"/>
      <c r="N76" s="2291"/>
      <c r="O76" s="2291"/>
      <c r="P76" s="2291"/>
      <c r="Q76" s="2288"/>
    </row>
    <row r="77" spans="1:295" ht="12.75" customHeight="1">
      <c r="A77" s="2285" t="s">
        <v>1791</v>
      </c>
      <c r="B77" s="2285" t="s">
        <v>2651</v>
      </c>
      <c r="C77" s="113"/>
      <c r="D77" s="2291"/>
      <c r="E77" s="2291"/>
      <c r="F77" s="2291"/>
      <c r="G77" s="2291"/>
      <c r="H77" s="2291"/>
      <c r="I77" s="2291"/>
      <c r="J77" s="2291"/>
      <c r="L77" s="2060" t="s">
        <v>4751</v>
      </c>
      <c r="M77" s="2061" t="s">
        <v>4752</v>
      </c>
      <c r="O77" s="131" t="s">
        <v>1866</v>
      </c>
      <c r="P77" s="3490"/>
      <c r="Q77" s="3491"/>
    </row>
    <row r="78" spans="1:295" ht="1.5" customHeight="1"/>
    <row r="79" spans="1:295" ht="12" customHeight="1">
      <c r="A79" s="141" t="s">
        <v>1982</v>
      </c>
      <c r="B79" s="3549" t="s">
        <v>4743</v>
      </c>
      <c r="C79" s="3549"/>
      <c r="D79" s="3549"/>
      <c r="E79" s="3549"/>
      <c r="F79" s="3549"/>
      <c r="G79" s="3549"/>
      <c r="H79" s="3549"/>
      <c r="I79" s="3549"/>
      <c r="J79" s="3549"/>
      <c r="K79" s="147"/>
      <c r="L79" s="434" t="s">
        <v>2909</v>
      </c>
      <c r="M79" s="2125">
        <v>2</v>
      </c>
      <c r="N79" s="391" t="s">
        <v>3694</v>
      </c>
      <c r="P79" s="3661" t="s">
        <v>5199</v>
      </c>
      <c r="Q79" s="3649"/>
    </row>
    <row r="80" spans="1:295" ht="12" customHeight="1">
      <c r="A80" s="141"/>
      <c r="B80" s="3549"/>
      <c r="C80" s="3549"/>
      <c r="D80" s="3549"/>
      <c r="E80" s="3549"/>
      <c r="F80" s="3549"/>
      <c r="G80" s="3549"/>
      <c r="H80" s="3549"/>
      <c r="I80" s="3549"/>
      <c r="J80" s="3549"/>
      <c r="K80" s="147"/>
      <c r="L80" s="434" t="s">
        <v>4750</v>
      </c>
      <c r="M80" s="2126">
        <v>4</v>
      </c>
      <c r="O80" s="142"/>
      <c r="P80" s="3662"/>
      <c r="Q80" s="3650"/>
    </row>
    <row r="81" spans="1:31" ht="12" customHeight="1">
      <c r="A81" s="46" t="s">
        <v>1984</v>
      </c>
      <c r="B81" s="391" t="s">
        <v>4753</v>
      </c>
      <c r="C81" s="391"/>
      <c r="D81" s="391"/>
      <c r="E81" s="391"/>
      <c r="F81" s="391"/>
      <c r="G81" s="391"/>
      <c r="H81" s="391"/>
      <c r="I81" s="391"/>
      <c r="J81" s="391"/>
      <c r="K81" s="587"/>
      <c r="L81" s="391"/>
      <c r="M81" s="147"/>
      <c r="N81" s="939"/>
      <c r="O81" s="939"/>
      <c r="P81" s="939"/>
    </row>
    <row r="82" spans="1:31" ht="12" customHeight="1">
      <c r="A82" s="2057"/>
      <c r="B82" s="2162" t="s">
        <v>1736</v>
      </c>
      <c r="C82" s="391" t="s">
        <v>4757</v>
      </c>
      <c r="D82" s="2059"/>
      <c r="E82" s="2059"/>
      <c r="F82" s="2059"/>
      <c r="G82" s="2059"/>
      <c r="H82" s="2059"/>
      <c r="I82" s="2059"/>
      <c r="J82" s="2059"/>
      <c r="K82" s="2058"/>
      <c r="L82" s="938"/>
      <c r="N82" s="391" t="s">
        <v>3694</v>
      </c>
      <c r="O82" s="939"/>
      <c r="P82" s="2671"/>
      <c r="Q82" s="534"/>
    </row>
    <row r="83" spans="1:31" ht="12" customHeight="1">
      <c r="A83" s="2057"/>
      <c r="B83" s="2162" t="s">
        <v>1737</v>
      </c>
      <c r="C83" s="391" t="s">
        <v>4754</v>
      </c>
      <c r="D83" s="2059"/>
      <c r="E83" s="2059"/>
      <c r="F83" s="2059"/>
      <c r="G83" s="2059"/>
      <c r="H83" s="2059"/>
      <c r="I83" s="2059"/>
      <c r="J83" s="2059"/>
      <c r="K83" s="2058"/>
      <c r="L83" s="938"/>
      <c r="N83" s="391" t="s">
        <v>3694</v>
      </c>
      <c r="O83" s="939"/>
      <c r="P83" s="2672"/>
      <c r="Q83" s="535"/>
    </row>
    <row r="84" spans="1:31" ht="12" customHeight="1">
      <c r="A84" s="2056"/>
      <c r="B84" s="2162" t="s">
        <v>1738</v>
      </c>
      <c r="C84" s="391" t="s">
        <v>4755</v>
      </c>
      <c r="E84" s="2059"/>
      <c r="F84" s="2059"/>
      <c r="G84" s="2059"/>
      <c r="H84" s="2059"/>
      <c r="I84" s="2059"/>
      <c r="J84" s="2059"/>
      <c r="K84" s="2058"/>
      <c r="L84" s="938"/>
      <c r="M84" s="939"/>
      <c r="N84" s="391" t="s">
        <v>3694</v>
      </c>
      <c r="O84" s="939"/>
      <c r="P84" s="2672"/>
      <c r="Q84" s="535"/>
    </row>
    <row r="85" spans="1:31" ht="10.95" customHeight="1">
      <c r="A85" s="143"/>
      <c r="B85" s="477" t="s">
        <v>2364</v>
      </c>
      <c r="C85" s="477" t="s">
        <v>4758</v>
      </c>
      <c r="D85" s="133"/>
      <c r="E85" s="133"/>
      <c r="F85" s="133"/>
      <c r="G85" s="133"/>
      <c r="H85" s="133"/>
      <c r="I85" s="41"/>
      <c r="J85" s="41"/>
      <c r="N85" s="391" t="s">
        <v>3694</v>
      </c>
      <c r="O85" s="939"/>
      <c r="P85" s="2673"/>
      <c r="Q85" s="536"/>
    </row>
    <row r="86" spans="1:31" ht="10.95" customHeight="1">
      <c r="A86" s="143"/>
      <c r="B86" s="477"/>
      <c r="C86" s="391" t="s">
        <v>4759</v>
      </c>
      <c r="D86" s="133"/>
      <c r="E86" s="133"/>
      <c r="F86" s="133"/>
      <c r="G86" s="133"/>
      <c r="H86" s="133"/>
      <c r="I86" s="41"/>
      <c r="J86" s="41"/>
      <c r="L86" s="3517"/>
      <c r="M86" s="3518"/>
      <c r="N86" s="3518"/>
      <c r="O86" s="3518"/>
      <c r="P86" s="3518"/>
      <c r="Q86" s="3519"/>
    </row>
    <row r="87" spans="1:31" ht="10.95" customHeight="1">
      <c r="A87" s="143"/>
      <c r="B87" s="477" t="s">
        <v>1548</v>
      </c>
      <c r="C87" s="3549" t="s">
        <v>4756</v>
      </c>
      <c r="D87" s="3549"/>
      <c r="E87" s="3549"/>
      <c r="F87" s="3549"/>
      <c r="G87" s="3549"/>
      <c r="H87" s="3549"/>
      <c r="I87" s="3549"/>
      <c r="J87" s="3549"/>
      <c r="K87" s="3549"/>
      <c r="L87" s="3549"/>
      <c r="M87" s="527"/>
      <c r="N87" s="391" t="s">
        <v>3694</v>
      </c>
      <c r="O87" s="939"/>
      <c r="P87" s="2674" t="s">
        <v>5199</v>
      </c>
      <c r="Q87" s="533"/>
    </row>
    <row r="88" spans="1:31" ht="10.95" customHeight="1">
      <c r="A88" s="46"/>
      <c r="C88" s="3549"/>
      <c r="D88" s="3549"/>
      <c r="E88" s="3549"/>
      <c r="F88" s="3549"/>
      <c r="G88" s="3549"/>
      <c r="H88" s="3549"/>
      <c r="I88" s="3549"/>
      <c r="J88" s="3549"/>
      <c r="K88" s="3549"/>
      <c r="L88" s="3549"/>
      <c r="M88" s="527"/>
    </row>
    <row r="89" spans="1:31" ht="10.5" customHeight="1">
      <c r="B89" s="95" t="s">
        <v>3751</v>
      </c>
      <c r="D89" s="95"/>
      <c r="E89" s="95"/>
      <c r="F89" s="95"/>
      <c r="G89" s="95"/>
      <c r="H89" s="39"/>
      <c r="I89" s="2300"/>
      <c r="J89" s="2300"/>
      <c r="K89" s="136" t="s">
        <v>1865</v>
      </c>
      <c r="L89" s="2288"/>
      <c r="M89" s="2288"/>
      <c r="N89" s="2288"/>
      <c r="O89" s="2288"/>
      <c r="P89" s="2288"/>
      <c r="Q89" s="896"/>
    </row>
    <row r="90" spans="1:31" ht="24.75" customHeight="1">
      <c r="A90" s="3531" t="s">
        <v>5214</v>
      </c>
      <c r="B90" s="3532"/>
      <c r="C90" s="3532"/>
      <c r="D90" s="3532"/>
      <c r="E90" s="3532"/>
      <c r="F90" s="3532"/>
      <c r="G90" s="3532"/>
      <c r="H90" s="3532"/>
      <c r="I90" s="3532"/>
      <c r="J90" s="3533"/>
      <c r="K90" s="3487"/>
      <c r="L90" s="3488"/>
      <c r="M90" s="3488"/>
      <c r="N90" s="3488"/>
      <c r="O90" s="3488"/>
      <c r="P90" s="3488"/>
      <c r="Q90" s="3489"/>
      <c r="R90" s="445" t="s">
        <v>1253</v>
      </c>
      <c r="U90" s="135"/>
      <c r="V90" s="135"/>
      <c r="W90" s="135"/>
      <c r="X90" s="135"/>
      <c r="Y90" s="135"/>
      <c r="Z90" s="135"/>
      <c r="AA90" s="135"/>
      <c r="AB90" s="135"/>
      <c r="AC90" s="135"/>
      <c r="AD90" s="135"/>
      <c r="AE90" s="465"/>
    </row>
    <row r="91" spans="1:31" ht="3" customHeight="1">
      <c r="A91" s="2288"/>
      <c r="B91" s="2300"/>
      <c r="C91" s="2291"/>
      <c r="D91" s="2291"/>
      <c r="E91" s="2291"/>
      <c r="F91" s="2291"/>
      <c r="G91" s="2291"/>
      <c r="H91" s="2291"/>
      <c r="I91" s="2291"/>
      <c r="J91" s="2291"/>
      <c r="K91" s="2291"/>
      <c r="L91" s="2291"/>
      <c r="M91" s="2291"/>
      <c r="N91" s="2291"/>
      <c r="O91" s="2291"/>
      <c r="P91" s="2291"/>
      <c r="Q91" s="2288"/>
    </row>
    <row r="92" spans="1:31" ht="13.95" customHeight="1">
      <c r="A92" s="2285" t="s">
        <v>1793</v>
      </c>
      <c r="B92" s="2285" t="s">
        <v>2652</v>
      </c>
      <c r="C92" s="2285"/>
      <c r="D92" s="2291"/>
      <c r="E92" s="2291"/>
      <c r="F92" s="2291"/>
      <c r="G92" s="2291"/>
      <c r="H92" s="2291"/>
      <c r="I92" s="2291"/>
      <c r="J92" s="2291"/>
      <c r="K92" s="2291"/>
      <c r="O92" s="131" t="s">
        <v>1866</v>
      </c>
      <c r="P92" s="3490"/>
      <c r="Q92" s="3491"/>
    </row>
    <row r="93" spans="1:31" ht="3" customHeight="1"/>
    <row r="94" spans="1:31" ht="10.5" customHeight="1">
      <c r="A94" s="46" t="s">
        <v>1982</v>
      </c>
      <c r="B94" s="144" t="s">
        <v>2459</v>
      </c>
      <c r="D94" s="133"/>
      <c r="E94" s="133"/>
      <c r="F94" s="133"/>
      <c r="G94" s="133"/>
      <c r="H94" s="133"/>
      <c r="I94" s="41"/>
      <c r="J94" s="41"/>
      <c r="K94" s="41"/>
      <c r="L94" s="463" t="s">
        <v>1982</v>
      </c>
      <c r="M94" s="3534" t="s">
        <v>5215</v>
      </c>
      <c r="N94" s="3535"/>
      <c r="O94" s="3535"/>
      <c r="P94" s="3686"/>
      <c r="Q94" s="534"/>
    </row>
    <row r="95" spans="1:31" ht="10.5" customHeight="1">
      <c r="A95" s="46" t="s">
        <v>1984</v>
      </c>
      <c r="B95" s="51" t="s">
        <v>2035</v>
      </c>
      <c r="D95" s="133"/>
      <c r="E95" s="133"/>
      <c r="F95" s="133"/>
      <c r="L95" s="463" t="s">
        <v>1984</v>
      </c>
      <c r="M95" s="3687" t="s">
        <v>5256</v>
      </c>
      <c r="N95" s="3688"/>
      <c r="O95" s="3688"/>
      <c r="P95" s="3689"/>
      <c r="Q95" s="535"/>
    </row>
    <row r="96" spans="1:31" ht="10.5" customHeight="1">
      <c r="A96" s="46" t="s">
        <v>748</v>
      </c>
      <c r="B96" s="51" t="s">
        <v>2877</v>
      </c>
      <c r="D96" s="133"/>
      <c r="E96" s="133"/>
      <c r="F96" s="133"/>
      <c r="L96" s="463" t="s">
        <v>748</v>
      </c>
      <c r="M96" s="3690" t="s">
        <v>5255</v>
      </c>
      <c r="N96" s="3691"/>
      <c r="O96" s="3691"/>
      <c r="P96" s="3692"/>
      <c r="Q96" s="535"/>
    </row>
    <row r="97" spans="1:31" ht="10.5" customHeight="1">
      <c r="A97" s="46" t="s">
        <v>2114</v>
      </c>
      <c r="B97" s="51" t="s">
        <v>3892</v>
      </c>
      <c r="D97" s="133"/>
      <c r="E97" s="133"/>
      <c r="F97" s="133"/>
      <c r="L97" s="463" t="s">
        <v>3893</v>
      </c>
      <c r="M97" s="2675">
        <v>0.1426</v>
      </c>
      <c r="N97" s="1102"/>
      <c r="O97" s="1103" t="s">
        <v>4124</v>
      </c>
      <c r="P97" s="2676" t="s">
        <v>3165</v>
      </c>
      <c r="Q97" s="536"/>
    </row>
    <row r="98" spans="1:31" ht="10.5" customHeight="1">
      <c r="A98" s="141" t="s">
        <v>1734</v>
      </c>
      <c r="B98" s="139" t="s">
        <v>3891</v>
      </c>
      <c r="D98" s="139"/>
      <c r="E98" s="139"/>
      <c r="F98" s="139"/>
      <c r="G98" s="139"/>
      <c r="H98" s="139"/>
      <c r="I98" s="139"/>
      <c r="J98" s="139"/>
      <c r="K98" s="139"/>
      <c r="L98" s="139"/>
      <c r="M98" s="139"/>
      <c r="N98" s="139"/>
      <c r="O98" s="139"/>
      <c r="P98" s="139"/>
      <c r="Q98" s="139"/>
    </row>
    <row r="99" spans="1:31" ht="10.5" customHeight="1">
      <c r="B99" s="46"/>
      <c r="C99" s="51"/>
      <c r="D99" s="2305" t="s">
        <v>2377</v>
      </c>
      <c r="E99" s="897" t="s">
        <v>616</v>
      </c>
      <c r="F99" s="897"/>
      <c r="H99" s="51"/>
      <c r="I99" s="2305" t="s">
        <v>2377</v>
      </c>
      <c r="J99" s="897" t="s">
        <v>616</v>
      </c>
      <c r="K99" s="897"/>
      <c r="M99" s="51"/>
      <c r="N99" s="2305" t="s">
        <v>2377</v>
      </c>
      <c r="O99" s="897" t="s">
        <v>616</v>
      </c>
      <c r="P99" s="897"/>
      <c r="Q99" s="463"/>
    </row>
    <row r="100" spans="1:31" ht="10.5" customHeight="1">
      <c r="C100" s="463" t="s">
        <v>1736</v>
      </c>
      <c r="D100" s="2677" t="s">
        <v>5259</v>
      </c>
      <c r="E100" s="3679" t="s">
        <v>5257</v>
      </c>
      <c r="F100" s="3679"/>
      <c r="G100" s="3679"/>
      <c r="H100" s="65" t="s">
        <v>1738</v>
      </c>
      <c r="I100" s="2677"/>
      <c r="J100" s="3679"/>
      <c r="K100" s="3679"/>
      <c r="L100" s="3679"/>
      <c r="M100" s="64" t="s">
        <v>1548</v>
      </c>
      <c r="N100" s="2677"/>
      <c r="O100" s="3679"/>
      <c r="P100" s="3679"/>
      <c r="Q100" s="3679"/>
    </row>
    <row r="101" spans="1:31" ht="10.5" customHeight="1">
      <c r="C101" s="65" t="s">
        <v>1737</v>
      </c>
      <c r="D101" s="2678" t="s">
        <v>5260</v>
      </c>
      <c r="E101" s="3698" t="s">
        <v>5258</v>
      </c>
      <c r="F101" s="3698"/>
      <c r="G101" s="3698"/>
      <c r="H101" s="463" t="s">
        <v>2364</v>
      </c>
      <c r="I101" s="2678"/>
      <c r="J101" s="3698"/>
      <c r="K101" s="3698"/>
      <c r="L101" s="3698"/>
      <c r="M101" s="64" t="s">
        <v>1549</v>
      </c>
      <c r="N101" s="2678"/>
      <c r="O101" s="3698"/>
      <c r="P101" s="3698"/>
      <c r="Q101" s="3698"/>
    </row>
    <row r="102" spans="1:31" ht="10.5" customHeight="1">
      <c r="A102" s="46" t="s">
        <v>1735</v>
      </c>
      <c r="B102" s="51" t="s">
        <v>0</v>
      </c>
      <c r="D102" s="133"/>
      <c r="E102" s="133"/>
      <c r="F102" s="133"/>
      <c r="G102" s="133"/>
      <c r="H102" s="133"/>
      <c r="I102" s="41"/>
      <c r="J102" s="41"/>
      <c r="K102" s="133"/>
      <c r="L102" s="2296"/>
      <c r="M102" s="2296"/>
      <c r="O102" s="463" t="s">
        <v>1735</v>
      </c>
      <c r="P102" s="2679" t="s">
        <v>2988</v>
      </c>
      <c r="Q102" s="2299"/>
    </row>
    <row r="103" spans="1:31" ht="9.75" customHeight="1">
      <c r="B103" s="140" t="s">
        <v>3751</v>
      </c>
      <c r="D103" s="140"/>
      <c r="E103" s="140"/>
      <c r="F103" s="140"/>
      <c r="G103" s="140"/>
      <c r="H103" s="39"/>
      <c r="I103" s="2300"/>
      <c r="J103" s="2300"/>
      <c r="K103" s="2300"/>
      <c r="L103" s="2288"/>
      <c r="M103" s="2288"/>
      <c r="N103" s="2288"/>
      <c r="O103" s="2288"/>
      <c r="P103" s="2288"/>
      <c r="Q103" s="896"/>
    </row>
    <row r="104" spans="1:31" ht="44.25" customHeight="1">
      <c r="A104" s="3531" t="s">
        <v>5262</v>
      </c>
      <c r="B104" s="3532"/>
      <c r="C104" s="3532"/>
      <c r="D104" s="3532"/>
      <c r="E104" s="3532"/>
      <c r="F104" s="3532"/>
      <c r="G104" s="3532"/>
      <c r="H104" s="3532"/>
      <c r="I104" s="3532"/>
      <c r="J104" s="3532"/>
      <c r="K104" s="3532"/>
      <c r="L104" s="3532"/>
      <c r="M104" s="3532"/>
      <c r="N104" s="3532"/>
      <c r="O104" s="3532"/>
      <c r="P104" s="3532"/>
      <c r="Q104" s="3533"/>
      <c r="U104" s="135"/>
      <c r="V104" s="135"/>
      <c r="W104" s="135"/>
      <c r="X104" s="135"/>
      <c r="Y104" s="135"/>
      <c r="Z104" s="135"/>
      <c r="AA104" s="135"/>
      <c r="AB104" s="135"/>
      <c r="AC104" s="135"/>
      <c r="AD104" s="135"/>
      <c r="AE104" s="465"/>
    </row>
    <row r="105" spans="1:31" ht="9.75" customHeight="1">
      <c r="B105" s="136" t="s">
        <v>1865</v>
      </c>
      <c r="C105" s="137"/>
      <c r="D105" s="2291"/>
      <c r="E105" s="2291"/>
      <c r="F105" s="2291"/>
      <c r="G105" s="2291"/>
      <c r="H105" s="2291"/>
      <c r="I105" s="2291"/>
      <c r="J105" s="2291"/>
      <c r="K105" s="2291"/>
      <c r="L105" s="2291"/>
      <c r="M105" s="2291"/>
      <c r="N105" s="2291"/>
      <c r="O105" s="2291"/>
      <c r="P105" s="2291"/>
      <c r="Q105" s="2291"/>
    </row>
    <row r="106" spans="1:31" ht="44.25" customHeight="1">
      <c r="A106" s="3487"/>
      <c r="B106" s="3488"/>
      <c r="C106" s="3488"/>
      <c r="D106" s="3488"/>
      <c r="E106" s="3488"/>
      <c r="F106" s="3488"/>
      <c r="G106" s="3488"/>
      <c r="H106" s="3488"/>
      <c r="I106" s="3488"/>
      <c r="J106" s="3488"/>
      <c r="K106" s="3488"/>
      <c r="L106" s="3488"/>
      <c r="M106" s="3488"/>
      <c r="N106" s="3488"/>
      <c r="O106" s="3488"/>
      <c r="P106" s="3488"/>
      <c r="Q106" s="3489"/>
    </row>
    <row r="107" spans="1:31" ht="13.95" customHeight="1">
      <c r="A107" s="2285" t="s">
        <v>529</v>
      </c>
      <c r="B107" s="2285" t="s">
        <v>2653</v>
      </c>
      <c r="C107" s="2285"/>
      <c r="D107" s="2291"/>
      <c r="E107" s="2291"/>
      <c r="F107" s="2291"/>
      <c r="G107" s="2291"/>
      <c r="H107" s="2291"/>
      <c r="I107" s="2291"/>
      <c r="J107" s="2291"/>
      <c r="K107" s="2291"/>
      <c r="L107" s="2291"/>
      <c r="M107" s="2291"/>
      <c r="O107" s="131" t="s">
        <v>1866</v>
      </c>
      <c r="P107" s="3490"/>
      <c r="Q107" s="3491"/>
    </row>
    <row r="108" spans="1:31" ht="3" customHeight="1"/>
    <row r="109" spans="1:31" ht="9.75" customHeight="1">
      <c r="B109" s="54" t="s">
        <v>4937</v>
      </c>
      <c r="P109" s="2674" t="s">
        <v>2988</v>
      </c>
      <c r="Q109" s="533"/>
    </row>
    <row r="110" spans="1:31" ht="10.5" customHeight="1">
      <c r="A110" s="46" t="s">
        <v>1982</v>
      </c>
      <c r="B110" s="51" t="s">
        <v>492</v>
      </c>
      <c r="C110" s="51"/>
      <c r="E110" s="51"/>
      <c r="F110" s="51"/>
      <c r="G110" s="51"/>
      <c r="H110" s="51"/>
      <c r="I110" s="51"/>
      <c r="J110" s="51"/>
      <c r="K110" s="51"/>
      <c r="L110" s="51"/>
      <c r="M110" s="51"/>
      <c r="O110" s="463" t="s">
        <v>1982</v>
      </c>
      <c r="P110" s="2680" t="s">
        <v>2991</v>
      </c>
      <c r="Q110" s="940"/>
    </row>
    <row r="111" spans="1:31" ht="10.5" customHeight="1">
      <c r="A111" s="46" t="s">
        <v>1984</v>
      </c>
      <c r="B111" s="51" t="s">
        <v>1303</v>
      </c>
      <c r="C111" s="51"/>
      <c r="E111" s="51"/>
      <c r="F111" s="51"/>
      <c r="G111" s="51"/>
      <c r="H111" s="51"/>
      <c r="I111" s="51"/>
      <c r="J111" s="51"/>
      <c r="K111" s="51"/>
      <c r="L111" s="897"/>
      <c r="M111" s="897"/>
      <c r="O111" s="463" t="s">
        <v>1984</v>
      </c>
      <c r="P111" s="2673" t="s">
        <v>2988</v>
      </c>
      <c r="Q111" s="535"/>
    </row>
    <row r="112" spans="1:31" ht="10.5" customHeight="1">
      <c r="A112" s="35"/>
      <c r="B112" s="38" t="s">
        <v>553</v>
      </c>
      <c r="E112" s="41"/>
      <c r="F112" s="41"/>
      <c r="G112" s="41"/>
      <c r="H112" s="41"/>
      <c r="I112" s="41"/>
      <c r="L112" s="65" t="s">
        <v>554</v>
      </c>
      <c r="M112" s="3517" t="s">
        <v>5216</v>
      </c>
      <c r="N112" s="3518"/>
      <c r="O112" s="3518"/>
      <c r="P112" s="3157"/>
      <c r="Q112" s="535"/>
    </row>
    <row r="113" spans="1:32" ht="10.5" customHeight="1">
      <c r="A113" s="2300"/>
      <c r="B113" s="2162" t="s">
        <v>1736</v>
      </c>
      <c r="C113" s="897" t="s">
        <v>4760</v>
      </c>
      <c r="D113" s="1027"/>
      <c r="E113" s="1027"/>
      <c r="F113" s="1027"/>
      <c r="G113" s="1027"/>
      <c r="H113" s="1027"/>
      <c r="I113" s="1027"/>
      <c r="J113" s="1027"/>
      <c r="K113" s="1027"/>
      <c r="L113" s="1027"/>
      <c r="M113" s="1027"/>
      <c r="O113" s="148" t="s">
        <v>1736</v>
      </c>
      <c r="P113" s="2671" t="s">
        <v>2988</v>
      </c>
      <c r="Q113" s="535"/>
    </row>
    <row r="114" spans="1:32" ht="10.5" customHeight="1">
      <c r="A114" s="2300"/>
      <c r="B114" s="145" t="s">
        <v>1737</v>
      </c>
      <c r="C114" s="897" t="s">
        <v>3469</v>
      </c>
      <c r="D114" s="1027"/>
      <c r="E114" s="1027"/>
      <c r="F114" s="1027"/>
      <c r="G114" s="1027"/>
      <c r="H114" s="1027"/>
      <c r="I114" s="1027"/>
      <c r="J114" s="1027"/>
      <c r="K114" s="1027"/>
      <c r="L114" s="1027"/>
      <c r="M114" s="1027"/>
      <c r="O114" s="65" t="s">
        <v>1737</v>
      </c>
      <c r="P114" s="2672" t="s">
        <v>2988</v>
      </c>
      <c r="Q114" s="535"/>
    </row>
    <row r="115" spans="1:32" ht="10.5" customHeight="1">
      <c r="A115" s="2300"/>
      <c r="B115" s="2162" t="s">
        <v>1738</v>
      </c>
      <c r="C115" s="897" t="s">
        <v>3470</v>
      </c>
      <c r="D115" s="1027"/>
      <c r="E115" s="1027"/>
      <c r="F115" s="1027"/>
      <c r="G115" s="1027"/>
      <c r="H115" s="1027"/>
      <c r="I115" s="1027"/>
      <c r="J115" s="1027"/>
      <c r="K115" s="1027"/>
      <c r="L115" s="1027"/>
      <c r="M115" s="1027"/>
      <c r="O115" s="148" t="s">
        <v>1738</v>
      </c>
      <c r="P115" s="2672" t="s">
        <v>2988</v>
      </c>
      <c r="Q115" s="535"/>
    </row>
    <row r="116" spans="1:32" ht="10.5" customHeight="1">
      <c r="A116" s="2300"/>
      <c r="B116" s="477" t="s">
        <v>2364</v>
      </c>
      <c r="C116" s="897" t="s">
        <v>2878</v>
      </c>
      <c r="D116" s="897"/>
      <c r="E116" s="897"/>
      <c r="F116" s="897"/>
      <c r="G116" s="897"/>
      <c r="H116" s="897"/>
      <c r="I116" s="897"/>
      <c r="J116" s="897"/>
      <c r="K116" s="897"/>
      <c r="L116" s="897"/>
      <c r="M116" s="1168"/>
      <c r="O116" s="160" t="s">
        <v>2364</v>
      </c>
      <c r="P116" s="2672" t="s">
        <v>2988</v>
      </c>
      <c r="Q116" s="535"/>
    </row>
    <row r="117" spans="1:32" s="132" customFormat="1" ht="24.75" customHeight="1">
      <c r="A117" s="434"/>
      <c r="B117" s="477" t="s">
        <v>1548</v>
      </c>
      <c r="C117" s="3486" t="s">
        <v>2688</v>
      </c>
      <c r="D117" s="3486"/>
      <c r="E117" s="3486"/>
      <c r="F117" s="3486"/>
      <c r="G117" s="3486"/>
      <c r="H117" s="3486"/>
      <c r="I117" s="3486"/>
      <c r="J117" s="3486"/>
      <c r="K117" s="3486"/>
      <c r="L117" s="3486"/>
      <c r="M117" s="3486"/>
      <c r="N117" s="3486"/>
      <c r="O117" s="160" t="s">
        <v>1548</v>
      </c>
      <c r="P117" s="2681"/>
      <c r="Q117" s="2294"/>
      <c r="AE117" s="466"/>
      <c r="AF117" s="466"/>
    </row>
    <row r="118" spans="1:32" ht="10.5" customHeight="1">
      <c r="A118" s="46" t="s">
        <v>748</v>
      </c>
      <c r="B118" s="51" t="s">
        <v>146</v>
      </c>
      <c r="D118" s="51"/>
      <c r="E118" s="51"/>
      <c r="F118" s="51"/>
      <c r="G118" s="51"/>
      <c r="H118" s="51"/>
      <c r="I118" s="51"/>
      <c r="J118" s="51"/>
      <c r="K118" s="51"/>
      <c r="L118" s="51"/>
      <c r="M118" s="51"/>
      <c r="O118" s="463" t="s">
        <v>748</v>
      </c>
      <c r="P118" s="2673"/>
      <c r="Q118" s="536"/>
    </row>
    <row r="119" spans="1:32" ht="10.5" customHeight="1">
      <c r="A119" s="46" t="s">
        <v>2114</v>
      </c>
      <c r="B119" s="51" t="s">
        <v>1427</v>
      </c>
      <c r="D119" s="51"/>
      <c r="E119" s="51"/>
      <c r="G119" s="51"/>
      <c r="I119" s="51"/>
      <c r="K119" s="51"/>
      <c r="L119" s="897"/>
      <c r="M119" s="897"/>
      <c r="N119" s="897"/>
      <c r="O119" s="463" t="s">
        <v>2114</v>
      </c>
      <c r="P119" s="897"/>
      <c r="Q119" s="897"/>
    </row>
    <row r="120" spans="1:32" ht="10.5" customHeight="1">
      <c r="B120" s="145" t="s">
        <v>1736</v>
      </c>
      <c r="C120" s="51" t="s">
        <v>1428</v>
      </c>
      <c r="E120" s="51"/>
      <c r="F120" s="51"/>
      <c r="G120" s="51"/>
      <c r="H120" s="51"/>
      <c r="I120" s="51"/>
      <c r="J120" s="51"/>
      <c r="K120" s="51"/>
      <c r="L120" s="897"/>
      <c r="M120" s="897"/>
      <c r="O120" s="65" t="s">
        <v>1736</v>
      </c>
      <c r="P120" s="2671" t="s">
        <v>2991</v>
      </c>
      <c r="Q120" s="534"/>
    </row>
    <row r="121" spans="1:32" ht="10.5" customHeight="1">
      <c r="B121" s="145" t="s">
        <v>1737</v>
      </c>
      <c r="C121" s="51" t="s">
        <v>1429</v>
      </c>
      <c r="E121" s="51"/>
      <c r="F121" s="51"/>
      <c r="G121" s="51"/>
      <c r="H121" s="51"/>
      <c r="I121" s="51"/>
      <c r="J121" s="51"/>
      <c r="K121" s="51"/>
      <c r="L121" s="897"/>
      <c r="M121" s="897"/>
      <c r="O121" s="65" t="s">
        <v>1737</v>
      </c>
      <c r="P121" s="2672" t="s">
        <v>2991</v>
      </c>
      <c r="Q121" s="535"/>
    </row>
    <row r="122" spans="1:32" ht="10.5" customHeight="1">
      <c r="B122" s="145" t="s">
        <v>1738</v>
      </c>
      <c r="C122" s="51" t="s">
        <v>1430</v>
      </c>
      <c r="E122" s="51"/>
      <c r="F122" s="51"/>
      <c r="G122" s="51"/>
      <c r="H122" s="51"/>
      <c r="I122" s="51"/>
      <c r="J122" s="51"/>
      <c r="K122" s="51"/>
      <c r="L122" s="897"/>
      <c r="M122" s="897"/>
      <c r="O122" s="65" t="s">
        <v>1738</v>
      </c>
      <c r="P122" s="2673" t="s">
        <v>2991</v>
      </c>
      <c r="Q122" s="536"/>
    </row>
    <row r="123" spans="1:32" ht="10.5" customHeight="1">
      <c r="B123" s="140" t="s">
        <v>3751</v>
      </c>
      <c r="D123" s="140"/>
      <c r="E123" s="140"/>
      <c r="F123" s="140"/>
      <c r="G123" s="140"/>
      <c r="H123" s="39"/>
      <c r="I123" s="2300"/>
      <c r="J123" s="2300"/>
      <c r="K123" s="2300"/>
      <c r="L123" s="2288"/>
      <c r="M123" s="2288"/>
      <c r="N123" s="2288"/>
      <c r="O123" s="2288"/>
      <c r="P123" s="2288"/>
      <c r="Q123" s="896"/>
    </row>
    <row r="124" spans="1:32" ht="22.5" customHeight="1">
      <c r="A124" s="3531" t="s">
        <v>5217</v>
      </c>
      <c r="B124" s="3532"/>
      <c r="C124" s="3532"/>
      <c r="D124" s="3532"/>
      <c r="E124" s="3532"/>
      <c r="F124" s="3532"/>
      <c r="G124" s="3532"/>
      <c r="H124" s="3532"/>
      <c r="I124" s="3532"/>
      <c r="J124" s="3532"/>
      <c r="K124" s="3532"/>
      <c r="L124" s="3532"/>
      <c r="M124" s="3532"/>
      <c r="N124" s="3532"/>
      <c r="O124" s="3532"/>
      <c r="P124" s="3532"/>
      <c r="Q124" s="3533"/>
      <c r="U124" s="135"/>
      <c r="V124" s="135"/>
      <c r="W124" s="135"/>
      <c r="X124" s="135"/>
      <c r="Y124" s="135"/>
      <c r="Z124" s="135"/>
      <c r="AA124" s="135"/>
      <c r="AB124" s="135"/>
      <c r="AC124" s="135"/>
      <c r="AD124" s="135"/>
      <c r="AE124" s="465"/>
    </row>
    <row r="125" spans="1:32" ht="11.25" customHeight="1">
      <c r="B125" s="136" t="s">
        <v>1865</v>
      </c>
      <c r="C125" s="137"/>
      <c r="D125" s="2291"/>
      <c r="E125" s="2291"/>
      <c r="F125" s="2291"/>
      <c r="G125" s="2291"/>
      <c r="H125" s="2291"/>
      <c r="I125" s="2291"/>
      <c r="J125" s="2291"/>
      <c r="K125" s="2291"/>
      <c r="L125" s="2291"/>
      <c r="M125" s="2291"/>
      <c r="N125" s="2291"/>
      <c r="O125" s="2291"/>
      <c r="P125" s="2291"/>
      <c r="Q125" s="2291"/>
    </row>
    <row r="126" spans="1:32" ht="22.5" customHeight="1">
      <c r="A126" s="3487"/>
      <c r="B126" s="3488"/>
      <c r="C126" s="3488"/>
      <c r="D126" s="3488"/>
      <c r="E126" s="3488"/>
      <c r="F126" s="3488"/>
      <c r="G126" s="3488"/>
      <c r="H126" s="3488"/>
      <c r="I126" s="3488"/>
      <c r="J126" s="3488"/>
      <c r="K126" s="3488"/>
      <c r="L126" s="3488"/>
      <c r="M126" s="3488"/>
      <c r="N126" s="3488"/>
      <c r="O126" s="3488"/>
      <c r="P126" s="3488"/>
      <c r="Q126" s="3489"/>
    </row>
    <row r="127" spans="1:32" ht="13.95" customHeight="1">
      <c r="A127" s="2285" t="s">
        <v>771</v>
      </c>
      <c r="B127" s="2285" t="s">
        <v>2654</v>
      </c>
      <c r="C127" s="39"/>
      <c r="D127" s="2291"/>
      <c r="E127" s="2291"/>
      <c r="F127" s="2291"/>
      <c r="G127" s="2291"/>
      <c r="H127" s="2291"/>
      <c r="I127" s="2291"/>
      <c r="J127" s="2291"/>
      <c r="K127" s="2291"/>
      <c r="L127" s="2291"/>
      <c r="M127" s="2291"/>
      <c r="O127" s="131" t="s">
        <v>1866</v>
      </c>
      <c r="P127" s="3490"/>
      <c r="Q127" s="3491"/>
    </row>
    <row r="128" spans="1:32" ht="6.6" customHeight="1"/>
    <row r="129" spans="1:17" ht="12" customHeight="1">
      <c r="A129" s="46" t="s">
        <v>1982</v>
      </c>
      <c r="B129" s="51" t="s">
        <v>3634</v>
      </c>
      <c r="D129" s="133"/>
      <c r="E129" s="133"/>
      <c r="F129" s="133"/>
      <c r="G129" s="133"/>
      <c r="H129" s="133"/>
      <c r="I129" s="41"/>
      <c r="J129" s="41"/>
      <c r="K129" s="463" t="s">
        <v>1982</v>
      </c>
      <c r="L129" s="3694" t="s">
        <v>5202</v>
      </c>
      <c r="M129" s="3694"/>
      <c r="N129" s="3694"/>
      <c r="O129" s="3694"/>
      <c r="P129" s="3694"/>
      <c r="Q129" s="533"/>
    </row>
    <row r="130" spans="1:17" ht="12" customHeight="1">
      <c r="A130" s="46" t="s">
        <v>1984</v>
      </c>
      <c r="B130" s="51" t="s">
        <v>1537</v>
      </c>
      <c r="D130" s="133"/>
      <c r="E130" s="133"/>
      <c r="F130" s="133"/>
      <c r="G130" s="133"/>
      <c r="H130" s="133"/>
      <c r="I130" s="41"/>
      <c r="J130" s="41"/>
      <c r="K130" s="133"/>
      <c r="L130" s="2296"/>
      <c r="O130" s="463" t="s">
        <v>1984</v>
      </c>
      <c r="P130" s="2680" t="s">
        <v>2991</v>
      </c>
      <c r="Q130" s="940"/>
    </row>
    <row r="131" spans="1:17" ht="12" customHeight="1">
      <c r="A131" s="46" t="s">
        <v>748</v>
      </c>
      <c r="B131" s="51" t="s">
        <v>151</v>
      </c>
      <c r="D131" s="133"/>
      <c r="E131" s="133"/>
      <c r="F131" s="133"/>
      <c r="G131" s="133"/>
      <c r="H131" s="133"/>
      <c r="I131" s="41"/>
      <c r="J131" s="41"/>
      <c r="K131" s="2296"/>
      <c r="L131" s="2296"/>
      <c r="O131" s="463" t="s">
        <v>748</v>
      </c>
      <c r="P131" s="2673" t="s">
        <v>2988</v>
      </c>
      <c r="Q131" s="903"/>
    </row>
    <row r="132" spans="1:17" ht="12" customHeight="1">
      <c r="A132" s="46"/>
      <c r="B132" s="897" t="s">
        <v>1736</v>
      </c>
      <c r="C132" s="51" t="s">
        <v>2687</v>
      </c>
      <c r="E132" s="133"/>
      <c r="F132" s="133"/>
      <c r="G132" s="133"/>
      <c r="H132" s="133"/>
      <c r="I132" s="41"/>
      <c r="J132" s="41"/>
      <c r="K132" s="65" t="s">
        <v>1736</v>
      </c>
      <c r="L132" s="3694" t="s">
        <v>5202</v>
      </c>
      <c r="M132" s="3694"/>
      <c r="N132" s="3694"/>
      <c r="O132" s="3694"/>
      <c r="P132" s="3694"/>
      <c r="Q132" s="533"/>
    </row>
    <row r="133" spans="1:17" ht="12" customHeight="1">
      <c r="A133" s="138"/>
      <c r="B133" s="145" t="s">
        <v>1737</v>
      </c>
      <c r="C133" s="35" t="s">
        <v>3471</v>
      </c>
      <c r="E133" s="41"/>
      <c r="F133" s="41"/>
      <c r="G133" s="41"/>
      <c r="H133" s="51"/>
      <c r="I133" s="41"/>
      <c r="J133" s="41"/>
      <c r="K133" s="133"/>
      <c r="L133" s="2296"/>
      <c r="M133" s="2296"/>
      <c r="O133" s="463" t="s">
        <v>1737</v>
      </c>
      <c r="P133" s="2679">
        <v>64.258499999999998</v>
      </c>
      <c r="Q133" s="2299"/>
    </row>
    <row r="134" spans="1:17" ht="12" customHeight="1">
      <c r="A134" s="138"/>
      <c r="B134" s="39" t="s">
        <v>1738</v>
      </c>
      <c r="C134" s="35" t="s">
        <v>4744</v>
      </c>
      <c r="D134" s="147"/>
      <c r="E134" s="41"/>
      <c r="F134" s="41"/>
      <c r="G134" s="41"/>
      <c r="H134" s="51"/>
      <c r="I134" s="41"/>
      <c r="J134" s="41"/>
      <c r="K134" s="133"/>
      <c r="L134" s="2296"/>
      <c r="M134" s="2296"/>
      <c r="O134" s="463" t="s">
        <v>1738</v>
      </c>
      <c r="P134" s="2679" t="s">
        <v>3165</v>
      </c>
      <c r="Q134" s="2299"/>
    </row>
    <row r="135" spans="1:17" ht="12" customHeight="1">
      <c r="A135" s="46" t="s">
        <v>2114</v>
      </c>
      <c r="B135" s="51" t="s">
        <v>1259</v>
      </c>
      <c r="D135" s="133"/>
      <c r="E135" s="133"/>
      <c r="F135" s="133"/>
      <c r="G135" s="133"/>
      <c r="H135" s="133"/>
      <c r="I135" s="41"/>
      <c r="J135" s="41"/>
      <c r="K135" s="133"/>
      <c r="L135" s="2296"/>
      <c r="M135" s="2296"/>
      <c r="N135" s="2296"/>
      <c r="O135" s="463" t="s">
        <v>2114</v>
      </c>
    </row>
    <row r="136" spans="1:17" ht="12" customHeight="1">
      <c r="A136" s="46"/>
      <c r="B136" s="145" t="s">
        <v>1736</v>
      </c>
      <c r="C136" s="51" t="s">
        <v>149</v>
      </c>
      <c r="E136" s="133"/>
      <c r="F136" s="133"/>
      <c r="G136" s="133"/>
      <c r="H136" s="133"/>
      <c r="I136" s="41"/>
      <c r="J136" s="41"/>
      <c r="K136" s="133"/>
      <c r="L136" s="2296"/>
      <c r="M136" s="2296"/>
      <c r="O136" s="65" t="s">
        <v>1736</v>
      </c>
      <c r="P136" s="2671" t="s">
        <v>2991</v>
      </c>
      <c r="Q136" s="534"/>
    </row>
    <row r="137" spans="1:17" ht="12" customHeight="1">
      <c r="A137" s="46"/>
      <c r="B137" s="145" t="s">
        <v>1737</v>
      </c>
      <c r="C137" s="51" t="s">
        <v>1260</v>
      </c>
      <c r="E137" s="133"/>
      <c r="F137" s="133"/>
      <c r="G137" s="133"/>
      <c r="H137" s="41"/>
      <c r="I137" s="41"/>
      <c r="J137" s="41"/>
      <c r="K137" s="133"/>
      <c r="L137" s="2296"/>
      <c r="M137" s="2296"/>
      <c r="O137" s="65" t="s">
        <v>1737</v>
      </c>
      <c r="P137" s="2672" t="s">
        <v>2991</v>
      </c>
      <c r="Q137" s="535"/>
    </row>
    <row r="138" spans="1:17" ht="12" customHeight="1">
      <c r="A138" s="46"/>
      <c r="B138" s="145"/>
      <c r="C138" s="51" t="s">
        <v>2631</v>
      </c>
      <c r="E138" s="463" t="s">
        <v>2434</v>
      </c>
      <c r="F138" s="51" t="s">
        <v>2632</v>
      </c>
      <c r="G138" s="41"/>
      <c r="H138" s="51"/>
      <c r="I138" s="41"/>
      <c r="J138" s="41"/>
      <c r="K138" s="133"/>
      <c r="L138" s="2296"/>
      <c r="M138" s="2296"/>
      <c r="O138" s="463" t="s">
        <v>2434</v>
      </c>
      <c r="P138" s="2682"/>
      <c r="Q138" s="858"/>
    </row>
    <row r="139" spans="1:17" ht="12" customHeight="1">
      <c r="A139" s="46"/>
      <c r="B139" s="145"/>
      <c r="E139" s="463" t="s">
        <v>2435</v>
      </c>
      <c r="F139" s="51" t="s">
        <v>2633</v>
      </c>
      <c r="G139" s="41"/>
      <c r="H139" s="51"/>
      <c r="I139" s="41"/>
      <c r="J139" s="41"/>
      <c r="K139" s="133"/>
      <c r="L139" s="2296"/>
      <c r="M139" s="2296"/>
      <c r="O139" s="463" t="s">
        <v>2435</v>
      </c>
      <c r="P139" s="2672"/>
      <c r="Q139" s="535"/>
    </row>
    <row r="140" spans="1:17" ht="12" customHeight="1">
      <c r="A140" s="46"/>
      <c r="B140" s="145"/>
      <c r="E140" s="463" t="s">
        <v>2436</v>
      </c>
      <c r="F140" s="51" t="s">
        <v>2634</v>
      </c>
      <c r="G140" s="41"/>
      <c r="H140" s="51"/>
      <c r="I140" s="41"/>
      <c r="J140" s="41"/>
      <c r="K140" s="133"/>
      <c r="L140" s="2296"/>
      <c r="M140" s="2296"/>
      <c r="O140" s="463" t="s">
        <v>2436</v>
      </c>
      <c r="P140" s="2672"/>
      <c r="Q140" s="535"/>
    </row>
    <row r="141" spans="1:17" ht="12" customHeight="1">
      <c r="A141" s="46"/>
      <c r="B141" s="145" t="s">
        <v>1738</v>
      </c>
      <c r="C141" s="51" t="s">
        <v>1261</v>
      </c>
      <c r="E141" s="133"/>
      <c r="F141" s="133"/>
      <c r="G141" s="133"/>
      <c r="H141" s="51"/>
      <c r="I141" s="41"/>
      <c r="J141" s="41"/>
      <c r="K141" s="133"/>
      <c r="L141" s="2296"/>
      <c r="M141" s="2296"/>
      <c r="O141" s="65" t="s">
        <v>1738</v>
      </c>
      <c r="P141" s="2672" t="s">
        <v>2991</v>
      </c>
      <c r="Q141" s="535"/>
    </row>
    <row r="142" spans="1:17" ht="12" customHeight="1">
      <c r="A142" s="46"/>
      <c r="B142" s="65"/>
      <c r="C142" s="51" t="s">
        <v>2631</v>
      </c>
      <c r="E142" s="463" t="s">
        <v>2434</v>
      </c>
      <c r="F142" s="51" t="s">
        <v>2635</v>
      </c>
      <c r="G142" s="41"/>
      <c r="H142" s="51"/>
      <c r="I142" s="41"/>
      <c r="J142" s="41"/>
      <c r="K142" s="133"/>
      <c r="L142" s="2296"/>
      <c r="O142" s="463" t="s">
        <v>2434</v>
      </c>
      <c r="P142" s="2682"/>
      <c r="Q142" s="858"/>
    </row>
    <row r="143" spans="1:17" ht="12" customHeight="1">
      <c r="A143" s="46"/>
      <c r="B143" s="65"/>
      <c r="E143" s="463" t="s">
        <v>2435</v>
      </c>
      <c r="F143" s="51" t="s">
        <v>2636</v>
      </c>
      <c r="G143" s="41"/>
      <c r="H143" s="51"/>
      <c r="I143" s="41"/>
      <c r="J143" s="41"/>
      <c r="O143" s="463" t="s">
        <v>2435</v>
      </c>
      <c r="P143" s="2672"/>
      <c r="Q143" s="535"/>
    </row>
    <row r="144" spans="1:17" ht="12" customHeight="1">
      <c r="A144" s="46"/>
      <c r="B144" s="65"/>
      <c r="E144" s="463" t="s">
        <v>2436</v>
      </c>
      <c r="F144" s="51" t="s">
        <v>2634</v>
      </c>
      <c r="G144" s="41"/>
      <c r="H144" s="51"/>
      <c r="I144" s="41"/>
      <c r="J144" s="41"/>
      <c r="O144" s="463" t="s">
        <v>2436</v>
      </c>
      <c r="P144" s="2673"/>
      <c r="Q144" s="536"/>
    </row>
    <row r="145" spans="1:32" ht="12" customHeight="1">
      <c r="A145" s="46" t="s">
        <v>1734</v>
      </c>
      <c r="B145" s="145" t="s">
        <v>2413</v>
      </c>
      <c r="D145" s="133"/>
      <c r="E145" s="133"/>
      <c r="F145" s="133"/>
      <c r="G145" s="133"/>
      <c r="H145" s="133"/>
      <c r="I145" s="41"/>
      <c r="J145" s="41"/>
      <c r="K145" s="133"/>
      <c r="L145" s="2296"/>
      <c r="M145" s="2296"/>
      <c r="N145" s="2296"/>
      <c r="O145" s="2296"/>
      <c r="P145" s="2296"/>
      <c r="Q145" s="2296"/>
    </row>
    <row r="146" spans="1:32" ht="12" customHeight="1">
      <c r="B146" s="145" t="s">
        <v>1736</v>
      </c>
      <c r="C146" s="51" t="s">
        <v>2494</v>
      </c>
      <c r="E146" s="133"/>
      <c r="F146" s="2671" t="s">
        <v>2991</v>
      </c>
      <c r="G146" s="534"/>
      <c r="H146" s="463" t="s">
        <v>4980</v>
      </c>
      <c r="I146" s="54" t="s">
        <v>2639</v>
      </c>
      <c r="L146" s="2671" t="s">
        <v>2991</v>
      </c>
      <c r="M146" s="534"/>
      <c r="N146" s="463" t="s">
        <v>4984</v>
      </c>
      <c r="O146" s="51" t="s">
        <v>1551</v>
      </c>
      <c r="P146" s="2671" t="s">
        <v>2991</v>
      </c>
      <c r="Q146" s="534"/>
    </row>
    <row r="147" spans="1:32" ht="12" customHeight="1">
      <c r="A147" s="35"/>
      <c r="B147" s="145" t="s">
        <v>1737</v>
      </c>
      <c r="C147" s="51" t="s">
        <v>2801</v>
      </c>
      <c r="E147" s="133"/>
      <c r="F147" s="2672" t="s">
        <v>2991</v>
      </c>
      <c r="G147" s="535"/>
      <c r="H147" s="463" t="s">
        <v>4981</v>
      </c>
      <c r="I147" s="54" t="s">
        <v>2640</v>
      </c>
      <c r="L147" s="2672" t="s">
        <v>2991</v>
      </c>
      <c r="M147" s="535"/>
      <c r="N147" s="463" t="s">
        <v>4985</v>
      </c>
      <c r="O147" s="51" t="s">
        <v>1550</v>
      </c>
      <c r="P147" s="2672" t="s">
        <v>2991</v>
      </c>
      <c r="Q147" s="535"/>
    </row>
    <row r="148" spans="1:32" ht="12" customHeight="1">
      <c r="A148" s="35"/>
      <c r="B148" s="145" t="s">
        <v>1738</v>
      </c>
      <c r="C148" s="51" t="s">
        <v>2638</v>
      </c>
      <c r="E148" s="133"/>
      <c r="F148" s="2672" t="s">
        <v>2991</v>
      </c>
      <c r="G148" s="535"/>
      <c r="H148" s="463" t="s">
        <v>4982</v>
      </c>
      <c r="I148" s="54" t="s">
        <v>3843</v>
      </c>
      <c r="L148" s="2672" t="s">
        <v>2991</v>
      </c>
      <c r="M148" s="535"/>
      <c r="N148" s="463" t="s">
        <v>4986</v>
      </c>
      <c r="O148" s="51" t="s">
        <v>1552</v>
      </c>
      <c r="P148" s="2673" t="s">
        <v>2991</v>
      </c>
      <c r="Q148" s="536"/>
    </row>
    <row r="149" spans="1:32" ht="12" customHeight="1">
      <c r="A149" s="35"/>
      <c r="B149" s="145" t="s">
        <v>2364</v>
      </c>
      <c r="C149" s="51" t="s">
        <v>2804</v>
      </c>
      <c r="E149" s="133"/>
      <c r="F149" s="2673" t="s">
        <v>2991</v>
      </c>
      <c r="G149" s="536"/>
      <c r="H149" s="463" t="s">
        <v>4983</v>
      </c>
      <c r="I149" s="51" t="s">
        <v>2800</v>
      </c>
      <c r="L149" s="2673" t="s">
        <v>2991</v>
      </c>
      <c r="M149" s="536"/>
      <c r="O149" s="65"/>
    </row>
    <row r="150" spans="1:32" ht="12" customHeight="1">
      <c r="A150" s="35"/>
      <c r="B150" s="39" t="s">
        <v>2892</v>
      </c>
      <c r="C150" s="51" t="s">
        <v>2802</v>
      </c>
      <c r="E150" s="133"/>
      <c r="F150" s="133"/>
      <c r="G150" s="133"/>
      <c r="H150" s="133"/>
      <c r="I150" s="133"/>
      <c r="J150" s="133"/>
      <c r="K150" s="133"/>
      <c r="L150" s="133"/>
      <c r="M150" s="51"/>
      <c r="O150" s="65"/>
      <c r="P150" s="65"/>
    </row>
    <row r="151" spans="1:32" ht="12" customHeight="1">
      <c r="A151" s="35"/>
      <c r="C151" s="3693" t="s">
        <v>2822</v>
      </c>
      <c r="D151" s="3693"/>
      <c r="E151" s="3693"/>
      <c r="F151" s="3693"/>
      <c r="G151" s="3693"/>
      <c r="H151" s="3693"/>
      <c r="I151" s="3693"/>
      <c r="J151" s="3693"/>
      <c r="K151" s="3693"/>
      <c r="L151" s="3693"/>
      <c r="M151" s="3693"/>
      <c r="N151" s="3693"/>
      <c r="O151" s="3693"/>
      <c r="P151" s="3693"/>
      <c r="Q151" s="3693"/>
    </row>
    <row r="152" spans="1:32" ht="12" customHeight="1">
      <c r="A152" s="46" t="s">
        <v>1735</v>
      </c>
      <c r="B152" s="51" t="s">
        <v>3568</v>
      </c>
      <c r="D152" s="133"/>
      <c r="E152" s="133"/>
      <c r="F152" s="133"/>
      <c r="G152" s="133"/>
      <c r="H152" s="133"/>
      <c r="I152" s="41"/>
      <c r="J152" s="41"/>
      <c r="K152" s="133"/>
      <c r="L152" s="133"/>
      <c r="M152" s="2296"/>
    </row>
    <row r="153" spans="1:32" ht="12" customHeight="1">
      <c r="A153" s="41"/>
      <c r="B153" s="145" t="s">
        <v>1736</v>
      </c>
      <c r="C153" s="51" t="s">
        <v>2805</v>
      </c>
      <c r="E153" s="133"/>
      <c r="F153" s="133"/>
      <c r="G153" s="133"/>
      <c r="H153" s="133"/>
      <c r="O153" s="65" t="s">
        <v>1736</v>
      </c>
      <c r="P153" s="2671"/>
      <c r="Q153" s="534"/>
    </row>
    <row r="154" spans="1:32" ht="12" customHeight="1">
      <c r="A154" s="2300"/>
      <c r="B154" s="145" t="s">
        <v>1737</v>
      </c>
      <c r="C154" s="51" t="s">
        <v>489</v>
      </c>
      <c r="E154" s="51"/>
      <c r="F154" s="51"/>
      <c r="G154" s="51"/>
      <c r="H154" s="51"/>
      <c r="I154" s="41"/>
      <c r="J154" s="41"/>
      <c r="K154" s="51"/>
      <c r="L154" s="51"/>
      <c r="M154" s="51"/>
      <c r="O154" s="65" t="s">
        <v>1737</v>
      </c>
      <c r="P154" s="2672"/>
      <c r="Q154" s="535"/>
    </row>
    <row r="155" spans="1:32" ht="12" customHeight="1">
      <c r="A155" s="2300"/>
      <c r="B155" s="145" t="s">
        <v>1738</v>
      </c>
      <c r="C155" s="51" t="s">
        <v>680</v>
      </c>
      <c r="E155" s="51"/>
      <c r="F155" s="51"/>
      <c r="G155" s="51"/>
      <c r="H155" s="51"/>
      <c r="I155" s="41"/>
      <c r="J155" s="41"/>
      <c r="K155" s="51"/>
      <c r="L155" s="51"/>
      <c r="M155" s="51"/>
      <c r="O155" s="65" t="s">
        <v>1738</v>
      </c>
      <c r="P155" s="2672"/>
      <c r="Q155" s="535"/>
    </row>
    <row r="156" spans="1:32" ht="12" customHeight="1">
      <c r="A156" s="2300"/>
      <c r="B156" s="39" t="s">
        <v>2364</v>
      </c>
      <c r="C156" s="51" t="s">
        <v>4962</v>
      </c>
      <c r="E156" s="51"/>
      <c r="F156" s="51"/>
      <c r="G156" s="51"/>
      <c r="H156" s="51"/>
      <c r="I156" s="41"/>
      <c r="J156" s="41"/>
      <c r="K156" s="51"/>
      <c r="L156" s="51"/>
      <c r="M156" s="51"/>
      <c r="O156" s="65" t="s">
        <v>1738</v>
      </c>
      <c r="P156" s="2673"/>
      <c r="Q156" s="536"/>
    </row>
    <row r="157" spans="1:32" ht="12" customHeight="1">
      <c r="A157" s="410" t="s">
        <v>3461</v>
      </c>
      <c r="C157" s="51"/>
      <c r="D157" s="133"/>
      <c r="E157" s="133"/>
      <c r="F157" s="133"/>
      <c r="G157" s="133"/>
      <c r="H157" s="133"/>
      <c r="I157" s="41"/>
      <c r="J157" s="41"/>
      <c r="K157" s="133"/>
      <c r="L157" s="133"/>
      <c r="M157" s="2296"/>
      <c r="N157" s="2296"/>
      <c r="O157" s="2296"/>
      <c r="P157" s="2296"/>
      <c r="Q157" s="2296"/>
      <c r="R157" s="2296"/>
    </row>
    <row r="158" spans="1:32" s="1" customFormat="1" ht="23.7" customHeight="1">
      <c r="A158" s="46" t="s">
        <v>1946</v>
      </c>
      <c r="B158" s="3486" t="s">
        <v>148</v>
      </c>
      <c r="C158" s="3486"/>
      <c r="D158" s="3486"/>
      <c r="E158" s="3486"/>
      <c r="F158" s="3486"/>
      <c r="G158" s="3486"/>
      <c r="H158" s="3486"/>
      <c r="I158" s="3486"/>
      <c r="J158" s="3486"/>
      <c r="K158" s="3486"/>
      <c r="L158" s="3486"/>
      <c r="M158" s="463" t="s">
        <v>1946</v>
      </c>
      <c r="N158" s="3699" t="s">
        <v>1770</v>
      </c>
      <c r="O158" s="3700"/>
      <c r="P158" s="3701" t="s">
        <v>1770</v>
      </c>
      <c r="Q158" s="3702"/>
      <c r="AE158" s="4"/>
      <c r="AF158" s="4"/>
    </row>
    <row r="159" spans="1:32" ht="11.25" customHeight="1">
      <c r="B159" s="140" t="s">
        <v>3751</v>
      </c>
      <c r="D159" s="140"/>
      <c r="E159" s="140"/>
      <c r="F159" s="140"/>
      <c r="G159" s="140"/>
      <c r="H159" s="39"/>
      <c r="I159" s="2300"/>
      <c r="J159" s="2300"/>
      <c r="K159" s="2300"/>
      <c r="L159" s="2288"/>
      <c r="M159" s="2288"/>
      <c r="N159" s="2288"/>
      <c r="O159" s="2288"/>
      <c r="P159" s="2288"/>
      <c r="Q159" s="896"/>
    </row>
    <row r="160" spans="1:32" ht="36.75" customHeight="1">
      <c r="A160" s="3531" t="s">
        <v>5279</v>
      </c>
      <c r="B160" s="3532"/>
      <c r="C160" s="3532"/>
      <c r="D160" s="3532"/>
      <c r="E160" s="3532"/>
      <c r="F160" s="3532"/>
      <c r="G160" s="3532"/>
      <c r="H160" s="3532"/>
      <c r="I160" s="3532"/>
      <c r="J160" s="3532"/>
      <c r="K160" s="3532"/>
      <c r="L160" s="3532"/>
      <c r="M160" s="3532"/>
      <c r="N160" s="3532"/>
      <c r="O160" s="3532"/>
      <c r="P160" s="3532"/>
      <c r="Q160" s="3533"/>
      <c r="R160" s="446" t="s">
        <v>1253</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1865</v>
      </c>
      <c r="C162" s="137"/>
      <c r="D162" s="2291"/>
      <c r="E162" s="2291"/>
      <c r="F162" s="2291"/>
      <c r="G162" s="2291"/>
      <c r="H162" s="2291"/>
      <c r="I162" s="2291"/>
      <c r="J162" s="2291"/>
      <c r="K162" s="2291"/>
      <c r="L162" s="2291"/>
      <c r="M162" s="2291"/>
      <c r="N162" s="2291"/>
      <c r="O162" s="2291"/>
      <c r="P162" s="2291"/>
      <c r="Q162" s="2291"/>
    </row>
    <row r="163" spans="1:32" ht="11.7" customHeight="1">
      <c r="A163" s="3487"/>
      <c r="B163" s="3488"/>
      <c r="C163" s="3488"/>
      <c r="D163" s="3488"/>
      <c r="E163" s="3488"/>
      <c r="F163" s="3488"/>
      <c r="G163" s="3488"/>
      <c r="H163" s="3488"/>
      <c r="I163" s="3488"/>
      <c r="J163" s="3488"/>
      <c r="K163" s="3488"/>
      <c r="L163" s="3488"/>
      <c r="M163" s="3488"/>
      <c r="N163" s="3488"/>
      <c r="O163" s="3488"/>
      <c r="P163" s="3488"/>
      <c r="Q163" s="3489"/>
    </row>
    <row r="164" spans="1:32" ht="3" customHeight="1">
      <c r="A164" s="2288"/>
      <c r="B164" s="2300"/>
      <c r="C164" s="2291"/>
      <c r="D164" s="2291"/>
      <c r="E164" s="2291"/>
      <c r="F164" s="2291"/>
      <c r="G164" s="2291"/>
      <c r="H164" s="2291"/>
      <c r="I164" s="2291"/>
      <c r="J164" s="2291"/>
      <c r="K164" s="2291"/>
      <c r="L164" s="2291"/>
      <c r="M164" s="2291"/>
      <c r="N164" s="2291"/>
      <c r="O164" s="2291"/>
      <c r="P164" s="2291"/>
      <c r="Q164" s="2288"/>
    </row>
    <row r="165" spans="1:32" ht="13.95" customHeight="1">
      <c r="A165" s="2285" t="s">
        <v>292</v>
      </c>
      <c r="B165" s="2285" t="s">
        <v>2655</v>
      </c>
      <c r="C165" s="2285"/>
      <c r="D165" s="2291"/>
      <c r="E165" s="2291"/>
      <c r="F165" s="2291"/>
      <c r="G165" s="2291"/>
      <c r="H165" s="2291"/>
      <c r="I165" s="2291"/>
      <c r="J165" s="2291"/>
      <c r="K165" s="2291"/>
      <c r="O165" s="131" t="s">
        <v>1866</v>
      </c>
      <c r="P165" s="3490"/>
      <c r="Q165" s="3491"/>
    </row>
    <row r="166" spans="1:32" ht="12" customHeight="1">
      <c r="A166" s="46" t="s">
        <v>1982</v>
      </c>
      <c r="B166" s="51" t="s">
        <v>4745</v>
      </c>
      <c r="D166" s="51"/>
      <c r="E166" s="51"/>
      <c r="F166" s="51"/>
      <c r="G166" s="51"/>
      <c r="H166" s="51" t="s">
        <v>2706</v>
      </c>
      <c r="K166" s="3680">
        <v>43830</v>
      </c>
      <c r="L166" s="3681"/>
      <c r="N166" s="51"/>
      <c r="O166" s="463" t="s">
        <v>1982</v>
      </c>
      <c r="P166" s="2670" t="s">
        <v>2988</v>
      </c>
      <c r="Q166" s="532"/>
    </row>
    <row r="167" spans="1:32" ht="12" customHeight="1">
      <c r="A167" s="46" t="s">
        <v>1984</v>
      </c>
      <c r="B167" s="139" t="s">
        <v>150</v>
      </c>
      <c r="D167" s="139"/>
      <c r="E167" s="139"/>
      <c r="F167" s="139" t="str">
        <f>IF(N167="Ground lease/Option","Ground lease/Option:","")</f>
        <v/>
      </c>
      <c r="H167" s="54" t="str">
        <f>IF(N167="Ground lease/Option","Annual Pymt:","")</f>
        <v/>
      </c>
      <c r="I167" s="2180" t="str">
        <f>IF(N167="Ground lease/Option",'Part VI-Revenues &amp; Expenses'!$H$243,"")</f>
        <v/>
      </c>
      <c r="K167" s="443" t="str">
        <f>IF(N167="Ground lease/Option","Term:","")</f>
        <v/>
      </c>
      <c r="L167" s="2179" t="str">
        <f>IF(N167="Ground lease/Option",'Part VI-Revenues &amp; Expenses'!$K$243,"")</f>
        <v/>
      </c>
      <c r="M167" s="463" t="s">
        <v>1984</v>
      </c>
      <c r="N167" s="3682" t="s">
        <v>5200</v>
      </c>
      <c r="O167" s="3683"/>
      <c r="P167" s="3684" t="s">
        <v>1770</v>
      </c>
      <c r="Q167" s="3685"/>
    </row>
    <row r="168" spans="1:32" ht="12" customHeight="1">
      <c r="A168" s="46" t="s">
        <v>748</v>
      </c>
      <c r="B168" s="139" t="s">
        <v>681</v>
      </c>
      <c r="D168" s="139"/>
      <c r="E168" s="139"/>
      <c r="F168" s="139"/>
      <c r="G168" s="139"/>
      <c r="H168" s="139"/>
      <c r="J168" s="463" t="s">
        <v>748</v>
      </c>
      <c r="K168" s="3517" t="s">
        <v>5135</v>
      </c>
      <c r="L168" s="3518"/>
      <c r="M168" s="3518"/>
      <c r="N168" s="3518"/>
      <c r="O168" s="3518"/>
      <c r="P168" s="3519"/>
      <c r="Q168" s="532"/>
    </row>
    <row r="169" spans="1:32" ht="12" customHeight="1">
      <c r="B169" s="140" t="s">
        <v>3751</v>
      </c>
      <c r="D169" s="140"/>
      <c r="E169" s="140"/>
      <c r="F169" s="140"/>
      <c r="G169" s="140"/>
      <c r="H169" s="39"/>
      <c r="I169" s="2300"/>
      <c r="J169" s="2300"/>
      <c r="K169" s="2300"/>
      <c r="L169" s="2288"/>
      <c r="M169" s="2288"/>
      <c r="N169" s="2288"/>
      <c r="O169" s="2288"/>
      <c r="P169" s="2288"/>
      <c r="Q169" s="896"/>
    </row>
    <row r="170" spans="1:32" ht="11.7" customHeight="1">
      <c r="A170" s="3531" t="s">
        <v>5266</v>
      </c>
      <c r="B170" s="3532"/>
      <c r="C170" s="3532"/>
      <c r="D170" s="3532"/>
      <c r="E170" s="3532"/>
      <c r="F170" s="3532"/>
      <c r="G170" s="3532"/>
      <c r="H170" s="3532"/>
      <c r="I170" s="3532"/>
      <c r="J170" s="3532"/>
      <c r="K170" s="3532"/>
      <c r="L170" s="3532"/>
      <c r="M170" s="3532"/>
      <c r="N170" s="3532"/>
      <c r="O170" s="3532"/>
      <c r="P170" s="3532"/>
      <c r="Q170" s="3533"/>
      <c r="U170" s="135"/>
      <c r="V170" s="135"/>
      <c r="W170" s="135"/>
      <c r="X170" s="135"/>
      <c r="Y170" s="135"/>
      <c r="Z170" s="135"/>
      <c r="AA170" s="135"/>
      <c r="AB170" s="135"/>
      <c r="AC170" s="135"/>
      <c r="AD170" s="135"/>
      <c r="AE170" s="465"/>
    </row>
    <row r="171" spans="1:32" ht="12" customHeight="1">
      <c r="B171" s="136" t="s">
        <v>1865</v>
      </c>
      <c r="C171" s="137"/>
      <c r="D171" s="2291"/>
      <c r="E171" s="2291"/>
      <c r="F171" s="2291"/>
      <c r="G171" s="2291"/>
      <c r="H171" s="2291"/>
      <c r="I171" s="2291"/>
      <c r="J171" s="2291"/>
      <c r="K171" s="2291"/>
      <c r="L171" s="2291"/>
      <c r="M171" s="2291"/>
      <c r="N171" s="2291"/>
      <c r="O171" s="2291"/>
      <c r="P171" s="2291"/>
      <c r="Q171" s="2291"/>
    </row>
    <row r="172" spans="1:32" ht="11.7" customHeight="1">
      <c r="A172" s="3487"/>
      <c r="B172" s="3488"/>
      <c r="C172" s="3488"/>
      <c r="D172" s="3488"/>
      <c r="E172" s="3488"/>
      <c r="F172" s="3488"/>
      <c r="G172" s="3488"/>
      <c r="H172" s="3488"/>
      <c r="I172" s="3488"/>
      <c r="J172" s="3488"/>
      <c r="K172" s="3488"/>
      <c r="L172" s="3488"/>
      <c r="M172" s="3488"/>
      <c r="N172" s="3488"/>
      <c r="O172" s="3488"/>
      <c r="P172" s="3488"/>
      <c r="Q172" s="3489"/>
    </row>
    <row r="173" spans="1:32" ht="3" customHeight="1">
      <c r="A173" s="2288"/>
      <c r="B173" s="2300"/>
      <c r="C173" s="2291"/>
      <c r="D173" s="2291"/>
      <c r="E173" s="2291"/>
      <c r="F173" s="2291"/>
      <c r="G173" s="2291"/>
      <c r="H173" s="2291"/>
      <c r="I173" s="2291"/>
      <c r="J173" s="2291"/>
      <c r="K173" s="2291"/>
      <c r="L173" s="2291"/>
      <c r="M173" s="2291"/>
      <c r="Q173" s="2288"/>
    </row>
    <row r="174" spans="1:32" ht="13.95" customHeight="1">
      <c r="A174" s="2285" t="s">
        <v>426</v>
      </c>
      <c r="B174" s="2285" t="s">
        <v>2656</v>
      </c>
      <c r="C174" s="2285"/>
      <c r="D174" s="2291"/>
      <c r="E174" s="2291"/>
      <c r="F174" s="2291"/>
      <c r="G174" s="2291"/>
      <c r="H174" s="2291"/>
      <c r="I174" s="2291"/>
      <c r="J174" s="2291"/>
      <c r="K174" s="2291"/>
      <c r="L174" s="2291"/>
      <c r="M174" s="2291"/>
      <c r="O174" s="131" t="s">
        <v>1866</v>
      </c>
      <c r="P174" s="3490"/>
      <c r="Q174" s="3491"/>
    </row>
    <row r="175" spans="1:32" ht="21.75" customHeight="1">
      <c r="A175" s="141" t="s">
        <v>1982</v>
      </c>
      <c r="B175" s="3486" t="s">
        <v>3740</v>
      </c>
      <c r="C175" s="3486"/>
      <c r="D175" s="3486"/>
      <c r="E175" s="3486"/>
      <c r="F175" s="3486"/>
      <c r="G175" s="3486"/>
      <c r="H175" s="3486"/>
      <c r="I175" s="3486"/>
      <c r="J175" s="3486"/>
      <c r="K175" s="3486"/>
      <c r="L175" s="3486"/>
      <c r="M175" s="3486"/>
      <c r="N175" s="3486"/>
      <c r="O175" s="160" t="s">
        <v>1982</v>
      </c>
      <c r="P175" s="2683" t="s">
        <v>2988</v>
      </c>
      <c r="Q175" s="1149"/>
    </row>
    <row r="176" spans="1:32" ht="22.2" customHeight="1">
      <c r="A176" s="141" t="s">
        <v>1984</v>
      </c>
      <c r="B176" s="3486" t="s">
        <v>4761</v>
      </c>
      <c r="C176" s="3486"/>
      <c r="D176" s="3486"/>
      <c r="E176" s="3486"/>
      <c r="F176" s="3486"/>
      <c r="G176" s="3486"/>
      <c r="H176" s="3486"/>
      <c r="I176" s="3486"/>
      <c r="J176" s="3486"/>
      <c r="K176" s="3486"/>
      <c r="L176" s="3486"/>
      <c r="M176" s="3486"/>
      <c r="N176" s="3486"/>
      <c r="O176" s="160" t="s">
        <v>1984</v>
      </c>
      <c r="P176" s="2681" t="s">
        <v>5201</v>
      </c>
      <c r="Q176" s="2294"/>
    </row>
    <row r="177" spans="1:32" ht="22.2" customHeight="1">
      <c r="A177" s="141" t="s">
        <v>748</v>
      </c>
      <c r="B177" s="3486" t="s">
        <v>3741</v>
      </c>
      <c r="C177" s="3486"/>
      <c r="D177" s="3486"/>
      <c r="E177" s="3486"/>
      <c r="F177" s="3486"/>
      <c r="G177" s="3486"/>
      <c r="H177" s="3486"/>
      <c r="I177" s="3486"/>
      <c r="J177" s="3486"/>
      <c r="K177" s="3486"/>
      <c r="L177" s="3486"/>
      <c r="M177" s="3486"/>
      <c r="N177" s="3486"/>
      <c r="O177" s="160" t="s">
        <v>748</v>
      </c>
      <c r="P177" s="2681" t="s">
        <v>5201</v>
      </c>
      <c r="Q177" s="2294"/>
    </row>
    <row r="178" spans="1:32" ht="21.75" customHeight="1">
      <c r="A178" s="141" t="s">
        <v>2114</v>
      </c>
      <c r="B178" s="3486" t="s">
        <v>4907</v>
      </c>
      <c r="C178" s="3486"/>
      <c r="D178" s="3486"/>
      <c r="E178" s="3486"/>
      <c r="F178" s="3486"/>
      <c r="G178" s="3486"/>
      <c r="H178" s="3486"/>
      <c r="I178" s="3486"/>
      <c r="J178" s="3486"/>
      <c r="K178" s="3486"/>
      <c r="L178" s="3486"/>
      <c r="M178" s="3486"/>
      <c r="N178" s="3486"/>
      <c r="O178" s="160" t="s">
        <v>2114</v>
      </c>
      <c r="P178" s="2684" t="s">
        <v>5201</v>
      </c>
      <c r="Q178" s="2303"/>
    </row>
    <row r="179" spans="1:32" ht="12" customHeight="1">
      <c r="B179" s="140" t="s">
        <v>3751</v>
      </c>
      <c r="D179" s="140"/>
      <c r="E179" s="140"/>
      <c r="F179" s="140"/>
      <c r="G179" s="140"/>
      <c r="H179" s="39"/>
      <c r="I179" s="2300"/>
      <c r="J179" s="2300"/>
      <c r="K179" s="2300"/>
      <c r="L179" s="2288"/>
      <c r="M179" s="2288"/>
      <c r="N179" s="2288"/>
      <c r="O179" s="2288"/>
      <c r="P179" s="2288"/>
      <c r="Q179" s="896"/>
    </row>
    <row r="180" spans="1:32" ht="11.7" customHeight="1">
      <c r="A180" s="3531" t="s">
        <v>5219</v>
      </c>
      <c r="B180" s="3532"/>
      <c r="C180" s="3532"/>
      <c r="D180" s="3532"/>
      <c r="E180" s="3532"/>
      <c r="F180" s="3532"/>
      <c r="G180" s="3532"/>
      <c r="H180" s="3532"/>
      <c r="I180" s="3532"/>
      <c r="J180" s="3532"/>
      <c r="K180" s="3532"/>
      <c r="L180" s="3532"/>
      <c r="M180" s="3532"/>
      <c r="N180" s="3532"/>
      <c r="O180" s="3532"/>
      <c r="P180" s="3532"/>
      <c r="Q180" s="3533"/>
      <c r="U180" s="135"/>
      <c r="V180" s="135"/>
      <c r="W180" s="135"/>
      <c r="X180" s="135"/>
      <c r="Y180" s="135"/>
      <c r="Z180" s="135"/>
      <c r="AA180" s="135"/>
      <c r="AB180" s="135"/>
      <c r="AC180" s="135"/>
      <c r="AD180" s="135"/>
      <c r="AE180" s="465"/>
    </row>
    <row r="181" spans="1:32" ht="12" customHeight="1">
      <c r="B181" s="136" t="s">
        <v>1865</v>
      </c>
      <c r="C181" s="137"/>
      <c r="D181" s="2291"/>
      <c r="E181" s="2291"/>
      <c r="F181" s="2291"/>
      <c r="G181" s="2291"/>
      <c r="H181" s="2291"/>
      <c r="I181" s="2291"/>
      <c r="J181" s="2291"/>
      <c r="K181" s="2291"/>
      <c r="L181" s="2291"/>
      <c r="M181" s="2291"/>
      <c r="N181" s="2291"/>
      <c r="O181" s="2291"/>
      <c r="P181" s="2291"/>
      <c r="Q181" s="2291"/>
    </row>
    <row r="182" spans="1:32" ht="11.7" customHeight="1">
      <c r="A182" s="3487"/>
      <c r="B182" s="3488"/>
      <c r="C182" s="3488"/>
      <c r="D182" s="3488"/>
      <c r="E182" s="3488"/>
      <c r="F182" s="3488"/>
      <c r="G182" s="3488"/>
      <c r="H182" s="3488"/>
      <c r="I182" s="3488"/>
      <c r="J182" s="3488"/>
      <c r="K182" s="3488"/>
      <c r="L182" s="3488"/>
      <c r="M182" s="3488"/>
      <c r="N182" s="3488"/>
      <c r="O182" s="3488"/>
      <c r="P182" s="3488"/>
      <c r="Q182" s="3489"/>
    </row>
    <row r="183" spans="1:32" ht="3" customHeight="1">
      <c r="B183" s="2300"/>
      <c r="C183" s="2291"/>
      <c r="D183" s="2291"/>
      <c r="E183" s="2291"/>
      <c r="F183" s="2291"/>
      <c r="G183" s="2291"/>
      <c r="H183" s="2291"/>
      <c r="I183" s="2291"/>
      <c r="J183" s="2291"/>
      <c r="K183" s="2291"/>
      <c r="L183" s="2291"/>
      <c r="M183" s="2291"/>
      <c r="N183" s="2291"/>
      <c r="O183" s="2291"/>
      <c r="P183" s="2291"/>
      <c r="Q183" s="2288"/>
    </row>
    <row r="184" spans="1:32" ht="13.95" customHeight="1">
      <c r="A184" s="2271" t="s">
        <v>362</v>
      </c>
      <c r="B184" s="3403" t="s">
        <v>2657</v>
      </c>
      <c r="C184" s="3403"/>
      <c r="D184" s="3403"/>
      <c r="O184" s="131" t="s">
        <v>1866</v>
      </c>
      <c r="P184" s="3490"/>
      <c r="Q184" s="3491"/>
    </row>
    <row r="185" spans="1:32" ht="12" customHeight="1">
      <c r="A185" s="141" t="s">
        <v>1982</v>
      </c>
      <c r="B185" s="879" t="s">
        <v>468</v>
      </c>
      <c r="D185" s="879"/>
      <c r="E185" s="879"/>
      <c r="F185" s="879"/>
      <c r="G185" s="879"/>
      <c r="H185" s="879"/>
      <c r="I185" s="879"/>
      <c r="J185" s="879"/>
      <c r="K185" s="879"/>
      <c r="L185" s="879"/>
      <c r="M185" s="879"/>
      <c r="O185" s="160" t="s">
        <v>1982</v>
      </c>
      <c r="P185" s="2671" t="s">
        <v>2988</v>
      </c>
      <c r="Q185" s="534"/>
    </row>
    <row r="186" spans="1:32" ht="12" customHeight="1">
      <c r="A186" s="141" t="s">
        <v>1984</v>
      </c>
      <c r="B186" s="879" t="s">
        <v>2642</v>
      </c>
      <c r="D186" s="879"/>
      <c r="E186" s="879"/>
      <c r="F186" s="879"/>
      <c r="G186" s="879"/>
      <c r="H186" s="879"/>
      <c r="I186" s="879"/>
      <c r="J186" s="879"/>
      <c r="K186" s="879"/>
      <c r="L186" s="879"/>
      <c r="M186" s="879"/>
      <c r="O186" s="160" t="s">
        <v>1984</v>
      </c>
      <c r="P186" s="2672" t="s">
        <v>2988</v>
      </c>
      <c r="Q186" s="535"/>
    </row>
    <row r="187" spans="1:32" ht="12" customHeight="1">
      <c r="A187" s="141" t="s">
        <v>748</v>
      </c>
      <c r="B187" s="879" t="s">
        <v>2643</v>
      </c>
      <c r="D187" s="879"/>
      <c r="E187" s="879"/>
      <c r="F187" s="879"/>
      <c r="G187" s="879"/>
      <c r="H187" s="879"/>
      <c r="I187" s="879"/>
      <c r="J187" s="139" t="s">
        <v>4924</v>
      </c>
      <c r="L187" s="879"/>
      <c r="M187" s="879"/>
      <c r="O187" s="160" t="s">
        <v>748</v>
      </c>
      <c r="P187" s="2672" t="s">
        <v>2988</v>
      </c>
      <c r="Q187" s="535"/>
    </row>
    <row r="188" spans="1:32" ht="12" customHeight="1">
      <c r="B188" s="39" t="s">
        <v>1736</v>
      </c>
      <c r="C188" s="897" t="s">
        <v>2644</v>
      </c>
      <c r="G188" s="879"/>
      <c r="H188" s="879"/>
      <c r="J188" s="879"/>
      <c r="K188" s="879"/>
      <c r="L188" s="879"/>
      <c r="M188" s="879"/>
      <c r="O188" s="443" t="s">
        <v>1736</v>
      </c>
      <c r="P188" s="2672" t="s">
        <v>2988</v>
      </c>
      <c r="Q188" s="535"/>
    </row>
    <row r="189" spans="1:32" ht="12" customHeight="1">
      <c r="A189" s="139"/>
      <c r="B189" s="39" t="s">
        <v>1737</v>
      </c>
      <c r="C189" s="897" t="s">
        <v>2645</v>
      </c>
      <c r="G189" s="879"/>
      <c r="H189" s="879"/>
      <c r="I189" s="879"/>
      <c r="J189" s="879"/>
      <c r="K189" s="879"/>
      <c r="L189" s="879"/>
      <c r="M189" s="879"/>
      <c r="O189" s="443" t="s">
        <v>1737</v>
      </c>
      <c r="P189" s="2672" t="s">
        <v>2988</v>
      </c>
      <c r="Q189" s="535"/>
    </row>
    <row r="190" spans="1:32" s="132" customFormat="1" ht="21.75" customHeight="1">
      <c r="A190" s="141"/>
      <c r="B190" s="477" t="s">
        <v>1738</v>
      </c>
      <c r="C190" s="3486" t="s">
        <v>3742</v>
      </c>
      <c r="D190" s="3486"/>
      <c r="E190" s="3486"/>
      <c r="F190" s="3486"/>
      <c r="G190" s="3486"/>
      <c r="H190" s="3486"/>
      <c r="I190" s="3486"/>
      <c r="J190" s="3486"/>
      <c r="K190" s="3486"/>
      <c r="L190" s="3486"/>
      <c r="M190" s="3486"/>
      <c r="N190" s="3486"/>
      <c r="O190" s="160" t="s">
        <v>1738</v>
      </c>
      <c r="P190" s="2681" t="s">
        <v>2988</v>
      </c>
      <c r="Q190" s="2294"/>
      <c r="AE190" s="466"/>
      <c r="AF190" s="466"/>
    </row>
    <row r="191" spans="1:32" ht="12" customHeight="1">
      <c r="A191" s="141"/>
      <c r="B191" s="39" t="s">
        <v>2364</v>
      </c>
      <c r="C191" s="897" t="s">
        <v>2646</v>
      </c>
      <c r="G191" s="879"/>
      <c r="H191" s="879"/>
      <c r="I191" s="879"/>
      <c r="J191" s="879"/>
      <c r="K191" s="879"/>
      <c r="L191" s="879"/>
      <c r="M191" s="879"/>
      <c r="O191" s="443" t="s">
        <v>2364</v>
      </c>
      <c r="P191" s="2672" t="s">
        <v>2988</v>
      </c>
      <c r="Q191" s="535"/>
    </row>
    <row r="192" spans="1:32" s="132" customFormat="1" ht="21.75" customHeight="1">
      <c r="A192" s="141"/>
      <c r="B192" s="477" t="s">
        <v>1548</v>
      </c>
      <c r="C192" s="3486" t="s">
        <v>2647</v>
      </c>
      <c r="D192" s="3486"/>
      <c r="E192" s="3486"/>
      <c r="F192" s="3486"/>
      <c r="G192" s="3486"/>
      <c r="H192" s="3486"/>
      <c r="I192" s="3486"/>
      <c r="J192" s="3486"/>
      <c r="K192" s="3486"/>
      <c r="L192" s="3486"/>
      <c r="M192" s="3486"/>
      <c r="N192" s="3486"/>
      <c r="O192" s="160" t="s">
        <v>1548</v>
      </c>
      <c r="P192" s="2681" t="s">
        <v>5201</v>
      </c>
      <c r="Q192" s="2294"/>
      <c r="AE192" s="466"/>
      <c r="AF192" s="466"/>
    </row>
    <row r="193" spans="1:32" s="132" customFormat="1" ht="21.75" customHeight="1">
      <c r="A193" s="141"/>
      <c r="B193" s="477" t="s">
        <v>1549</v>
      </c>
      <c r="C193" s="3486" t="s">
        <v>3894</v>
      </c>
      <c r="D193" s="3486"/>
      <c r="E193" s="3486"/>
      <c r="F193" s="3486"/>
      <c r="G193" s="3486"/>
      <c r="H193" s="3486"/>
      <c r="I193" s="3486"/>
      <c r="J193" s="3486"/>
      <c r="K193" s="3486"/>
      <c r="L193" s="3486"/>
      <c r="M193" s="3486"/>
      <c r="N193" s="3486"/>
      <c r="O193" s="160" t="s">
        <v>1549</v>
      </c>
      <c r="P193" s="2681" t="s">
        <v>5201</v>
      </c>
      <c r="Q193" s="2294"/>
      <c r="AE193" s="466"/>
      <c r="AF193" s="466"/>
    </row>
    <row r="194" spans="1:32" ht="21.75" customHeight="1">
      <c r="A194" s="141" t="s">
        <v>2114</v>
      </c>
      <c r="B194" s="3486" t="s">
        <v>2648</v>
      </c>
      <c r="C194" s="3486"/>
      <c r="D194" s="3486"/>
      <c r="E194" s="3486"/>
      <c r="F194" s="3486"/>
      <c r="G194" s="3486"/>
      <c r="H194" s="3486"/>
      <c r="I194" s="3486"/>
      <c r="J194" s="3486"/>
      <c r="K194" s="3486"/>
      <c r="L194" s="3486"/>
      <c r="M194" s="3486"/>
      <c r="N194" s="3486"/>
      <c r="O194" s="160" t="s">
        <v>2114</v>
      </c>
      <c r="P194" s="2681" t="s">
        <v>2988</v>
      </c>
      <c r="Q194" s="2294"/>
    </row>
    <row r="195" spans="1:32" ht="12" customHeight="1">
      <c r="A195" s="141" t="s">
        <v>1734</v>
      </c>
      <c r="B195" s="879" t="s">
        <v>2378</v>
      </c>
      <c r="D195" s="879"/>
      <c r="E195" s="879"/>
      <c r="F195" s="879"/>
      <c r="G195" s="879"/>
      <c r="H195" s="879"/>
      <c r="I195" s="879"/>
      <c r="J195" s="879"/>
      <c r="K195" s="879"/>
      <c r="L195" s="879"/>
      <c r="M195" s="879"/>
      <c r="O195" s="160" t="s">
        <v>1734</v>
      </c>
      <c r="P195" s="2673" t="s">
        <v>2988</v>
      </c>
      <c r="Q195" s="536"/>
    </row>
    <row r="196" spans="1:32" ht="12" customHeight="1">
      <c r="B196" s="140" t="s">
        <v>3751</v>
      </c>
      <c r="D196" s="140"/>
      <c r="E196" s="140"/>
      <c r="F196" s="140"/>
      <c r="G196" s="140"/>
      <c r="H196" s="39"/>
      <c r="I196" s="2300"/>
      <c r="J196" s="2300"/>
      <c r="K196" s="2300"/>
      <c r="L196" s="2288"/>
      <c r="M196" s="2288"/>
      <c r="N196" s="2288"/>
      <c r="O196" s="2288"/>
      <c r="P196" s="2288"/>
      <c r="Q196" s="896"/>
    </row>
    <row r="197" spans="1:32" ht="11.7" customHeight="1">
      <c r="A197" s="3531" t="s">
        <v>5218</v>
      </c>
      <c r="B197" s="3532"/>
      <c r="C197" s="3532"/>
      <c r="D197" s="3532"/>
      <c r="E197" s="3532"/>
      <c r="F197" s="3532"/>
      <c r="G197" s="3532"/>
      <c r="H197" s="3532"/>
      <c r="I197" s="3532"/>
      <c r="J197" s="3532"/>
      <c r="K197" s="3532"/>
      <c r="L197" s="3532"/>
      <c r="M197" s="3532"/>
      <c r="N197" s="3532"/>
      <c r="O197" s="3532"/>
      <c r="P197" s="3532"/>
      <c r="Q197" s="3533"/>
      <c r="U197" s="135"/>
      <c r="V197" s="135"/>
      <c r="W197" s="135"/>
      <c r="X197" s="135"/>
      <c r="Y197" s="135"/>
      <c r="Z197" s="135"/>
      <c r="AA197" s="135"/>
      <c r="AB197" s="135"/>
      <c r="AC197" s="135"/>
      <c r="AD197" s="135"/>
      <c r="AE197" s="465"/>
    </row>
    <row r="198" spans="1:32" ht="12" customHeight="1">
      <c r="B198" s="136" t="s">
        <v>1865</v>
      </c>
      <c r="C198" s="137"/>
      <c r="D198" s="2291"/>
      <c r="E198" s="2291"/>
      <c r="F198" s="2291"/>
      <c r="G198" s="2291"/>
      <c r="H198" s="2291"/>
      <c r="I198" s="2291"/>
      <c r="J198" s="2291"/>
      <c r="K198" s="2291"/>
      <c r="L198" s="2291"/>
      <c r="M198" s="2291"/>
      <c r="N198" s="2291"/>
      <c r="O198" s="2291"/>
      <c r="P198" s="2291"/>
      <c r="Q198" s="2291"/>
    </row>
    <row r="199" spans="1:32" ht="11.7" customHeight="1">
      <c r="A199" s="3487"/>
      <c r="B199" s="3488"/>
      <c r="C199" s="3488"/>
      <c r="D199" s="3488"/>
      <c r="E199" s="3488"/>
      <c r="F199" s="3488"/>
      <c r="G199" s="3488"/>
      <c r="H199" s="3488"/>
      <c r="I199" s="3488"/>
      <c r="J199" s="3488"/>
      <c r="K199" s="3488"/>
      <c r="L199" s="3488"/>
      <c r="M199" s="3488"/>
      <c r="N199" s="3488"/>
      <c r="O199" s="3488"/>
      <c r="P199" s="3488"/>
      <c r="Q199" s="3489"/>
    </row>
    <row r="200" spans="1:32" ht="3" customHeight="1">
      <c r="A200" s="2288"/>
      <c r="B200" s="2300"/>
      <c r="C200" s="2291"/>
      <c r="D200" s="2291"/>
      <c r="E200" s="2291"/>
      <c r="F200" s="2291"/>
      <c r="G200" s="2291"/>
      <c r="H200" s="2291"/>
      <c r="I200" s="2291"/>
      <c r="J200" s="2291"/>
      <c r="K200" s="2291"/>
      <c r="L200" s="2291"/>
      <c r="M200" s="2291"/>
      <c r="N200" s="2291"/>
      <c r="O200" s="2291"/>
      <c r="P200" s="2291"/>
      <c r="Q200" s="2288"/>
    </row>
    <row r="201" spans="1:32" ht="13.95" customHeight="1">
      <c r="A201" s="2285" t="s">
        <v>363</v>
      </c>
      <c r="B201" s="2285" t="s">
        <v>2658</v>
      </c>
      <c r="C201" s="2285"/>
      <c r="D201" s="2291"/>
      <c r="E201" s="146"/>
      <c r="F201" s="146"/>
      <c r="G201" s="2291"/>
      <c r="J201" s="898"/>
      <c r="K201" s="898"/>
      <c r="L201" s="898"/>
      <c r="M201" s="898"/>
      <c r="N201" s="898"/>
      <c r="O201" s="131" t="s">
        <v>1866</v>
      </c>
      <c r="P201" s="3490"/>
      <c r="Q201" s="3491"/>
    </row>
    <row r="202" spans="1:32" ht="22.5" customHeight="1">
      <c r="A202" s="3697" t="s">
        <v>5078</v>
      </c>
      <c r="B202" s="3697"/>
      <c r="C202" s="3697"/>
      <c r="D202" s="3697"/>
      <c r="E202" s="3697"/>
      <c r="F202" s="3697"/>
      <c r="G202" s="3697"/>
      <c r="H202" s="3697"/>
      <c r="I202" s="3697"/>
      <c r="J202" s="3697"/>
      <c r="K202" s="3697"/>
      <c r="L202" s="3697"/>
      <c r="M202" s="3697"/>
      <c r="N202" s="3697"/>
      <c r="O202" s="3697"/>
      <c r="P202" s="3697"/>
      <c r="Q202" s="3697"/>
    </row>
    <row r="203" spans="1:32" ht="11.25" customHeight="1">
      <c r="A203" s="138"/>
      <c r="B203" s="139" t="s">
        <v>97</v>
      </c>
      <c r="D203" s="139"/>
      <c r="E203" s="139"/>
      <c r="F203" s="139"/>
      <c r="G203" s="139"/>
      <c r="H203" s="65" t="s">
        <v>1736</v>
      </c>
      <c r="I203" s="51" t="s">
        <v>152</v>
      </c>
      <c r="J203" s="3534"/>
      <c r="K203" s="3535"/>
      <c r="L203" s="3535"/>
      <c r="M203" s="3535"/>
      <c r="N203" s="3536"/>
      <c r="O203" s="65" t="s">
        <v>1736</v>
      </c>
      <c r="P203" s="2671" t="s">
        <v>2991</v>
      </c>
      <c r="Q203" s="534"/>
    </row>
    <row r="204" spans="1:32" ht="11.25" customHeight="1">
      <c r="A204" s="138"/>
      <c r="B204" s="140" t="s">
        <v>3751</v>
      </c>
      <c r="C204" s="104"/>
      <c r="D204" s="104"/>
      <c r="E204" s="104"/>
      <c r="F204" s="104"/>
      <c r="H204" s="65" t="s">
        <v>1737</v>
      </c>
      <c r="I204" s="51" t="s">
        <v>1595</v>
      </c>
      <c r="J204" s="3510" t="s">
        <v>5203</v>
      </c>
      <c r="K204" s="3537"/>
      <c r="L204" s="3537"/>
      <c r="M204" s="3537"/>
      <c r="N204" s="3511"/>
      <c r="O204" s="65" t="s">
        <v>1737</v>
      </c>
      <c r="P204" s="2673" t="s">
        <v>2988</v>
      </c>
      <c r="Q204" s="536"/>
    </row>
    <row r="205" spans="1:32" ht="11.7" customHeight="1">
      <c r="A205" s="3531" t="s">
        <v>5220</v>
      </c>
      <c r="B205" s="3532"/>
      <c r="C205" s="3532"/>
      <c r="D205" s="3532"/>
      <c r="E205" s="3532"/>
      <c r="F205" s="3532"/>
      <c r="G205" s="3532"/>
      <c r="H205" s="3532"/>
      <c r="I205" s="3532"/>
      <c r="J205" s="3532"/>
      <c r="K205" s="3532"/>
      <c r="L205" s="3532"/>
      <c r="M205" s="3532"/>
      <c r="N205" s="3532"/>
      <c r="O205" s="3532"/>
      <c r="P205" s="3532"/>
      <c r="Q205" s="3533"/>
      <c r="U205" s="135"/>
      <c r="V205" s="135"/>
      <c r="W205" s="135"/>
      <c r="X205" s="135"/>
      <c r="Y205" s="135"/>
      <c r="Z205" s="135"/>
      <c r="AA205" s="135"/>
      <c r="AB205" s="135"/>
      <c r="AC205" s="135"/>
      <c r="AD205" s="135"/>
      <c r="AE205" s="465"/>
    </row>
    <row r="206" spans="1:32" ht="11.25" customHeight="1">
      <c r="B206" s="136" t="s">
        <v>1865</v>
      </c>
      <c r="C206" s="137"/>
      <c r="D206" s="2291"/>
      <c r="E206" s="2291"/>
      <c r="F206" s="2291"/>
      <c r="G206" s="2291"/>
      <c r="H206" s="2291"/>
      <c r="I206" s="2291"/>
      <c r="J206" s="2291"/>
      <c r="K206" s="2291"/>
      <c r="L206" s="2291"/>
      <c r="M206" s="2291"/>
      <c r="N206" s="2291"/>
      <c r="O206" s="2291"/>
      <c r="P206" s="2291"/>
      <c r="Q206" s="2291"/>
    </row>
    <row r="207" spans="1:32" ht="11.7" customHeight="1">
      <c r="A207" s="3487"/>
      <c r="B207" s="3488"/>
      <c r="C207" s="3488"/>
      <c r="D207" s="3488"/>
      <c r="E207" s="3488"/>
      <c r="F207" s="3488"/>
      <c r="G207" s="3488"/>
      <c r="H207" s="3488"/>
      <c r="I207" s="3488"/>
      <c r="J207" s="3488"/>
      <c r="K207" s="3488"/>
      <c r="L207" s="3488"/>
      <c r="M207" s="3488"/>
      <c r="N207" s="3488"/>
      <c r="O207" s="3488"/>
      <c r="P207" s="3488"/>
      <c r="Q207" s="3489"/>
    </row>
    <row r="208" spans="1:32" ht="4.2" customHeight="1">
      <c r="B208" s="2300"/>
      <c r="C208" s="2291"/>
      <c r="D208" s="2291"/>
      <c r="E208" s="2291"/>
      <c r="F208" s="2291"/>
      <c r="G208" s="2291"/>
      <c r="H208" s="2291"/>
      <c r="I208" s="2291"/>
      <c r="J208" s="2291"/>
      <c r="K208" s="2291"/>
      <c r="L208" s="2291"/>
      <c r="M208" s="2291"/>
      <c r="Q208" s="896"/>
    </row>
    <row r="209" spans="1:32" ht="13.95" customHeight="1">
      <c r="A209" s="2285" t="s">
        <v>364</v>
      </c>
      <c r="B209" s="3" t="s">
        <v>2659</v>
      </c>
      <c r="C209" s="3"/>
      <c r="D209" s="86"/>
      <c r="E209" s="86"/>
      <c r="F209" s="86"/>
      <c r="G209" s="2291"/>
      <c r="H209" s="2291"/>
      <c r="I209" s="2291"/>
      <c r="J209" s="2291"/>
      <c r="K209" s="2291"/>
      <c r="L209" s="2291"/>
      <c r="M209" s="2291"/>
      <c r="O209" s="131" t="s">
        <v>1866</v>
      </c>
      <c r="P209" s="3490"/>
      <c r="Q209" s="3491"/>
    </row>
    <row r="210" spans="1:32" ht="11.7" customHeight="1">
      <c r="A210" s="141" t="s">
        <v>1982</v>
      </c>
      <c r="B210" s="3486" t="s">
        <v>1848</v>
      </c>
      <c r="C210" s="3486"/>
      <c r="D210" s="3486"/>
      <c r="E210" s="3486"/>
      <c r="F210" s="3486"/>
      <c r="G210" s="3486"/>
      <c r="H210" s="65" t="s">
        <v>1736</v>
      </c>
      <c r="I210" s="51" t="s">
        <v>634</v>
      </c>
      <c r="J210" s="3534" t="s">
        <v>5147</v>
      </c>
      <c r="K210" s="3535"/>
      <c r="L210" s="3535"/>
      <c r="M210" s="3535"/>
      <c r="N210" s="3536"/>
      <c r="O210" s="160" t="s">
        <v>1485</v>
      </c>
      <c r="P210" s="2685" t="s">
        <v>2988</v>
      </c>
      <c r="Q210" s="2249"/>
    </row>
    <row r="211" spans="1:32" ht="11.7" customHeight="1">
      <c r="A211" s="149"/>
      <c r="B211" s="3486"/>
      <c r="C211" s="3486"/>
      <c r="D211" s="3486"/>
      <c r="E211" s="3486"/>
      <c r="F211" s="3486"/>
      <c r="G211" s="3486"/>
      <c r="H211" s="65" t="s">
        <v>1737</v>
      </c>
      <c r="I211" s="51" t="s">
        <v>116</v>
      </c>
      <c r="J211" s="3510" t="s">
        <v>5147</v>
      </c>
      <c r="K211" s="3537"/>
      <c r="L211" s="3537"/>
      <c r="M211" s="3537"/>
      <c r="N211" s="3511"/>
      <c r="O211" s="160" t="s">
        <v>1737</v>
      </c>
      <c r="P211" s="2672" t="s">
        <v>2988</v>
      </c>
      <c r="Q211" s="535"/>
    </row>
    <row r="212" spans="1:32" ht="12" customHeight="1">
      <c r="A212" s="141" t="s">
        <v>1984</v>
      </c>
      <c r="B212" s="51" t="s">
        <v>3900</v>
      </c>
      <c r="D212" s="51"/>
      <c r="E212" s="51"/>
      <c r="F212" s="51"/>
      <c r="G212" s="51"/>
      <c r="H212" s="51"/>
      <c r="I212" s="51"/>
      <c r="J212" s="51"/>
      <c r="K212" s="41"/>
      <c r="L212" s="51"/>
      <c r="M212" s="51"/>
      <c r="O212" s="463" t="s">
        <v>1984</v>
      </c>
      <c r="P212" s="2672" t="s">
        <v>2991</v>
      </c>
      <c r="Q212" s="535"/>
    </row>
    <row r="213" spans="1:32" ht="12" customHeight="1">
      <c r="A213" s="46" t="s">
        <v>748</v>
      </c>
      <c r="B213" s="51" t="s">
        <v>3901</v>
      </c>
      <c r="D213" s="51"/>
      <c r="E213" s="51"/>
      <c r="F213" s="51"/>
      <c r="G213" s="51"/>
      <c r="H213" s="51"/>
      <c r="I213" s="51"/>
      <c r="J213" s="51"/>
      <c r="K213" s="41"/>
      <c r="L213" s="51"/>
      <c r="M213" s="51"/>
      <c r="O213" s="463" t="s">
        <v>748</v>
      </c>
      <c r="P213" s="2673" t="s">
        <v>2991</v>
      </c>
      <c r="Q213" s="536"/>
    </row>
    <row r="214" spans="1:32" ht="11.25" customHeight="1">
      <c r="B214" s="140" t="s">
        <v>3751</v>
      </c>
      <c r="D214" s="140"/>
      <c r="E214" s="140"/>
      <c r="F214" s="140"/>
      <c r="G214" s="140"/>
      <c r="H214" s="39"/>
      <c r="I214" s="2300"/>
      <c r="J214" s="2300"/>
      <c r="K214" s="2300"/>
      <c r="L214" s="2288"/>
      <c r="M214" s="2288"/>
      <c r="N214" s="2288"/>
      <c r="O214" s="2288"/>
      <c r="P214" s="2288"/>
      <c r="Q214" s="896"/>
    </row>
    <row r="215" spans="1:32" ht="11.7" customHeight="1">
      <c r="A215" s="3531" t="s">
        <v>5221</v>
      </c>
      <c r="B215" s="3532"/>
      <c r="C215" s="3532"/>
      <c r="D215" s="3532"/>
      <c r="E215" s="3532"/>
      <c r="F215" s="3532"/>
      <c r="G215" s="3532"/>
      <c r="H215" s="3532"/>
      <c r="I215" s="3532"/>
      <c r="J215" s="3532"/>
      <c r="K215" s="3532"/>
      <c r="L215" s="3532"/>
      <c r="M215" s="3532"/>
      <c r="N215" s="3532"/>
      <c r="O215" s="3532"/>
      <c r="P215" s="3532"/>
      <c r="Q215" s="3533"/>
      <c r="U215" s="135"/>
      <c r="V215" s="135"/>
      <c r="W215" s="135"/>
      <c r="X215" s="135"/>
      <c r="Y215" s="135"/>
      <c r="Z215" s="135"/>
      <c r="AA215" s="135"/>
      <c r="AB215" s="135"/>
      <c r="AC215" s="135"/>
      <c r="AD215" s="135"/>
      <c r="AE215" s="465"/>
    </row>
    <row r="216" spans="1:32" ht="11.25" customHeight="1">
      <c r="B216" s="136" t="s">
        <v>1865</v>
      </c>
      <c r="C216" s="137"/>
      <c r="D216" s="2291"/>
      <c r="E216" s="2291"/>
      <c r="F216" s="2291"/>
      <c r="G216" s="2291"/>
      <c r="H216" s="2291"/>
      <c r="I216" s="2291"/>
      <c r="J216" s="2291"/>
      <c r="K216" s="2291"/>
      <c r="L216" s="2291"/>
      <c r="M216" s="2291"/>
      <c r="N216" s="2291"/>
      <c r="O216" s="2291"/>
      <c r="P216" s="2291"/>
      <c r="Q216" s="2291"/>
    </row>
    <row r="217" spans="1:32" ht="11.7" customHeight="1">
      <c r="A217" s="3487"/>
      <c r="B217" s="3488"/>
      <c r="C217" s="3488"/>
      <c r="D217" s="3488"/>
      <c r="E217" s="3488"/>
      <c r="F217" s="3488"/>
      <c r="G217" s="3488"/>
      <c r="H217" s="3488"/>
      <c r="I217" s="3488"/>
      <c r="J217" s="3488"/>
      <c r="K217" s="3488"/>
      <c r="L217" s="3488"/>
      <c r="M217" s="3488"/>
      <c r="N217" s="3488"/>
      <c r="O217" s="3488"/>
      <c r="P217" s="3488"/>
      <c r="Q217" s="3489"/>
    </row>
    <row r="218" spans="1:32" ht="3" customHeight="1">
      <c r="A218" s="2288"/>
      <c r="B218" s="2300"/>
      <c r="C218" s="2291"/>
      <c r="D218" s="2291"/>
      <c r="E218" s="2291"/>
      <c r="F218" s="2291"/>
      <c r="G218" s="2291"/>
      <c r="H218" s="2291"/>
      <c r="I218" s="2291"/>
      <c r="J218" s="2291"/>
      <c r="K218" s="2291"/>
      <c r="L218" s="2291"/>
      <c r="M218" s="2291"/>
      <c r="Q218" s="2288"/>
    </row>
    <row r="219" spans="1:32" ht="13.95" customHeight="1">
      <c r="A219" s="2285" t="s">
        <v>1725</v>
      </c>
      <c r="B219" s="2285" t="s">
        <v>2660</v>
      </c>
      <c r="C219" s="113"/>
      <c r="D219" s="2291"/>
      <c r="E219" s="2291"/>
      <c r="F219" s="2291"/>
      <c r="G219" s="2291"/>
      <c r="H219" s="2291"/>
      <c r="I219" s="2291"/>
      <c r="J219" s="2291"/>
      <c r="K219" s="2291"/>
      <c r="L219" s="2291"/>
      <c r="M219" s="2291"/>
      <c r="O219" s="131" t="s">
        <v>1866</v>
      </c>
      <c r="P219" s="3490"/>
      <c r="Q219" s="3491"/>
    </row>
    <row r="220" spans="1:32" s="26" customFormat="1" ht="11.7" customHeight="1">
      <c r="B220" s="144" t="s">
        <v>1191</v>
      </c>
      <c r="N220" s="120"/>
      <c r="P220" s="2670" t="s">
        <v>2991</v>
      </c>
      <c r="Q220" s="532"/>
      <c r="AE220" s="116"/>
      <c r="AF220" s="116"/>
    </row>
    <row r="221" spans="1:32" ht="12" customHeight="1">
      <c r="A221" s="46" t="s">
        <v>1982</v>
      </c>
      <c r="B221" s="35" t="s">
        <v>3701</v>
      </c>
      <c r="D221" s="41"/>
      <c r="E221" s="41"/>
      <c r="F221" s="41"/>
      <c r="G221" s="41"/>
      <c r="H221" s="41"/>
      <c r="I221" s="41"/>
      <c r="J221" s="41"/>
      <c r="K221" s="41"/>
      <c r="L221" s="41"/>
      <c r="M221" s="41"/>
      <c r="O221" s="463" t="s">
        <v>1982</v>
      </c>
      <c r="P221" s="2670" t="s">
        <v>5199</v>
      </c>
      <c r="Q221" s="534"/>
    </row>
    <row r="222" spans="1:32" ht="11.7" customHeight="1">
      <c r="A222" s="46"/>
      <c r="B222" s="145" t="s">
        <v>1736</v>
      </c>
      <c r="C222" s="51" t="s">
        <v>1930</v>
      </c>
      <c r="E222" s="51"/>
      <c r="F222" s="51"/>
      <c r="G222" s="51"/>
      <c r="H222" s="51"/>
      <c r="I222" s="41"/>
      <c r="J222" s="65" t="s">
        <v>1485</v>
      </c>
      <c r="K222" s="3534" t="s">
        <v>531</v>
      </c>
      <c r="L222" s="3536"/>
      <c r="Q222" s="535"/>
    </row>
    <row r="223" spans="1:32" ht="11.7" customHeight="1">
      <c r="A223" s="46"/>
      <c r="B223" s="145" t="s">
        <v>1737</v>
      </c>
      <c r="C223" s="897" t="s">
        <v>4746</v>
      </c>
      <c r="E223" s="897"/>
      <c r="F223" s="897"/>
      <c r="G223" s="897"/>
      <c r="H223" s="897"/>
      <c r="I223" s="41"/>
      <c r="J223" s="65" t="s">
        <v>1486</v>
      </c>
      <c r="K223" s="3592" t="s">
        <v>5222</v>
      </c>
      <c r="L223" s="3593"/>
      <c r="M223" s="3589"/>
      <c r="N223" s="3590"/>
      <c r="O223" s="3590"/>
      <c r="P223" s="3591"/>
      <c r="Q223" s="535"/>
    </row>
    <row r="224" spans="1:32" ht="11.7" customHeight="1">
      <c r="A224" s="46"/>
      <c r="B224" s="39" t="s">
        <v>1738</v>
      </c>
      <c r="C224" s="897" t="s">
        <v>4749</v>
      </c>
      <c r="D224" s="147"/>
      <c r="E224" s="897"/>
      <c r="F224" s="897"/>
      <c r="G224" s="897"/>
      <c r="H224" s="897"/>
      <c r="I224" s="94"/>
      <c r="J224" s="463" t="s">
        <v>1487</v>
      </c>
      <c r="K224" s="3594" t="s">
        <v>5204</v>
      </c>
      <c r="L224" s="3595"/>
      <c r="M224" s="3595"/>
      <c r="N224" s="3596"/>
      <c r="O224" s="2054"/>
      <c r="P224" s="1169"/>
      <c r="Q224" s="535"/>
      <c r="R224" s="41"/>
    </row>
    <row r="225" spans="1:32" ht="11.7" customHeight="1">
      <c r="A225" s="46"/>
      <c r="B225" s="39" t="s">
        <v>2364</v>
      </c>
      <c r="C225" s="897" t="s">
        <v>4748</v>
      </c>
      <c r="D225" s="147"/>
      <c r="E225" s="897"/>
      <c r="F225" s="897"/>
      <c r="G225" s="897"/>
      <c r="H225" s="897"/>
      <c r="I225" s="94"/>
      <c r="J225" s="463" t="s">
        <v>4747</v>
      </c>
      <c r="K225" s="3510" t="s">
        <v>5205</v>
      </c>
      <c r="L225" s="3537"/>
      <c r="M225" s="3537"/>
      <c r="N225" s="3511"/>
      <c r="O225" s="127"/>
      <c r="P225" s="2053"/>
      <c r="Q225" s="536"/>
      <c r="R225" s="41"/>
    </row>
    <row r="226" spans="1:32" ht="11.25" customHeight="1">
      <c r="A226" s="46" t="s">
        <v>1984</v>
      </c>
      <c r="B226" s="51" t="s">
        <v>2508</v>
      </c>
      <c r="D226" s="51"/>
      <c r="E226" s="51"/>
      <c r="F226" s="51"/>
      <c r="G226" s="51"/>
      <c r="H226" s="51"/>
      <c r="I226" s="51"/>
      <c r="J226" s="51"/>
      <c r="K226" s="41"/>
      <c r="L226" s="41"/>
      <c r="M226" s="41"/>
      <c r="N226" s="41"/>
      <c r="O226" s="463" t="s">
        <v>1984</v>
      </c>
      <c r="P226" s="2670" t="s">
        <v>5199</v>
      </c>
      <c r="Q226" s="532"/>
    </row>
    <row r="227" spans="1:32" ht="10.95" customHeight="1">
      <c r="A227" s="46"/>
      <c r="B227" s="51" t="s">
        <v>4975</v>
      </c>
      <c r="D227" s="51"/>
      <c r="E227" s="51"/>
      <c r="F227" s="51"/>
      <c r="G227" s="51"/>
      <c r="H227" s="51"/>
      <c r="I227" s="51"/>
      <c r="J227" s="51"/>
      <c r="K227" s="41"/>
      <c r="L227" s="41"/>
      <c r="M227" s="41"/>
      <c r="N227" s="463" t="s">
        <v>3603</v>
      </c>
      <c r="O227" s="2176">
        <f>'Part VI-Revenues &amp; Expenses'!$O$67</f>
        <v>40</v>
      </c>
      <c r="P227" s="3597" t="s">
        <v>4977</v>
      </c>
      <c r="Q227" s="3598"/>
    </row>
    <row r="228" spans="1:32" ht="10.95" customHeight="1">
      <c r="A228" s="46"/>
      <c r="B228" s="145" t="s">
        <v>1736</v>
      </c>
      <c r="C228" s="51" t="s">
        <v>4978</v>
      </c>
      <c r="D228" s="51"/>
      <c r="E228" s="51"/>
      <c r="F228" s="51"/>
      <c r="H228" s="463" t="s">
        <v>4979</v>
      </c>
      <c r="I228" s="51" t="s">
        <v>4988</v>
      </c>
      <c r="M228" s="41"/>
      <c r="N228" s="41"/>
      <c r="O228" s="293"/>
      <c r="P228" s="2160" t="s">
        <v>772</v>
      </c>
      <c r="Q228" s="2161" t="s">
        <v>4976</v>
      </c>
    </row>
    <row r="229" spans="1:32" s="42" customFormat="1" ht="11.7" customHeight="1">
      <c r="A229" s="50"/>
      <c r="B229" s="463" t="s">
        <v>2115</v>
      </c>
      <c r="C229" s="3599" t="s">
        <v>4972</v>
      </c>
      <c r="D229" s="3600"/>
      <c r="E229" s="3600"/>
      <c r="F229" s="3600"/>
      <c r="G229" s="3601"/>
      <c r="H229" s="463" t="s">
        <v>2115</v>
      </c>
      <c r="I229" s="3695" t="s">
        <v>4174</v>
      </c>
      <c r="J229" s="3011"/>
      <c r="K229" s="3011"/>
      <c r="L229" s="3011"/>
      <c r="M229" s="3011"/>
      <c r="N229" s="3011"/>
      <c r="O229" s="3696"/>
      <c r="P229" s="534"/>
      <c r="Q229" s="538"/>
      <c r="AE229" s="53"/>
      <c r="AF229" s="53"/>
    </row>
    <row r="230" spans="1:32" s="42" customFormat="1" ht="11.7" customHeight="1">
      <c r="A230" s="50"/>
      <c r="B230" s="463" t="s">
        <v>2116</v>
      </c>
      <c r="C230" s="3576" t="s">
        <v>5072</v>
      </c>
      <c r="D230" s="3577"/>
      <c r="E230" s="3577"/>
      <c r="F230" s="3577"/>
      <c r="G230" s="3578"/>
      <c r="H230" s="463" t="s">
        <v>2116</v>
      </c>
      <c r="I230" s="2950"/>
      <c r="J230" s="2951"/>
      <c r="K230" s="2951"/>
      <c r="L230" s="2951"/>
      <c r="M230" s="2951"/>
      <c r="N230" s="2951"/>
      <c r="O230" s="2953"/>
      <c r="P230" s="535"/>
      <c r="Q230" s="2139"/>
      <c r="AE230" s="53"/>
      <c r="AF230" s="53"/>
    </row>
    <row r="231" spans="1:32" s="42" customFormat="1" ht="11.7" customHeight="1">
      <c r="A231" s="50"/>
      <c r="B231" s="463" t="s">
        <v>1733</v>
      </c>
      <c r="C231" s="3576"/>
      <c r="D231" s="3577"/>
      <c r="E231" s="3577"/>
      <c r="F231" s="3577"/>
      <c r="G231" s="3578"/>
      <c r="H231" s="463" t="s">
        <v>1733</v>
      </c>
      <c r="I231" s="2950" t="s">
        <v>4174</v>
      </c>
      <c r="J231" s="2951"/>
      <c r="K231" s="2951"/>
      <c r="L231" s="2951"/>
      <c r="M231" s="2951"/>
      <c r="N231" s="2951"/>
      <c r="O231" s="2953"/>
      <c r="P231" s="535"/>
      <c r="Q231" s="2139"/>
      <c r="AE231" s="53"/>
      <c r="AF231" s="53"/>
    </row>
    <row r="232" spans="1:32" s="42" customFormat="1" ht="11.7" customHeight="1">
      <c r="A232" s="50"/>
      <c r="B232" s="463" t="s">
        <v>4987</v>
      </c>
      <c r="C232" s="3584"/>
      <c r="D232" s="3585"/>
      <c r="E232" s="3585"/>
      <c r="F232" s="3585"/>
      <c r="G232" s="3586"/>
      <c r="H232" s="463" t="s">
        <v>4987</v>
      </c>
      <c r="I232" s="2957"/>
      <c r="J232" s="2958"/>
      <c r="K232" s="2958"/>
      <c r="L232" s="2958"/>
      <c r="M232" s="2958"/>
      <c r="N232" s="2958"/>
      <c r="O232" s="2960"/>
      <c r="P232" s="536"/>
      <c r="Q232" s="539"/>
      <c r="AE232" s="53"/>
      <c r="AF232" s="53"/>
    </row>
    <row r="233" spans="1:32" ht="12" customHeight="1">
      <c r="A233" s="46" t="s">
        <v>748</v>
      </c>
      <c r="B233" s="51" t="s">
        <v>1380</v>
      </c>
      <c r="C233" s="51"/>
      <c r="E233" s="51"/>
      <c r="F233" s="51"/>
      <c r="G233" s="51"/>
      <c r="H233" s="51"/>
      <c r="I233" s="51"/>
      <c r="J233" s="51"/>
      <c r="K233" s="41"/>
      <c r="L233" s="51"/>
      <c r="M233" s="51"/>
      <c r="O233" s="463" t="s">
        <v>748</v>
      </c>
      <c r="P233" s="2671" t="s">
        <v>5199</v>
      </c>
      <c r="Q233" s="534"/>
    </row>
    <row r="234" spans="1:32" ht="11.7" customHeight="1">
      <c r="A234" s="46"/>
      <c r="B234" s="145" t="s">
        <v>1736</v>
      </c>
      <c r="C234" s="51" t="s">
        <v>3463</v>
      </c>
      <c r="E234" s="51"/>
      <c r="F234" s="51"/>
      <c r="L234" s="32"/>
      <c r="M234" s="32"/>
      <c r="O234" s="65" t="s">
        <v>1736</v>
      </c>
      <c r="P234" s="2672" t="s">
        <v>2988</v>
      </c>
      <c r="Q234" s="535"/>
    </row>
    <row r="235" spans="1:32" ht="11.7" customHeight="1">
      <c r="B235" s="145" t="s">
        <v>1737</v>
      </c>
      <c r="C235" s="897" t="s">
        <v>2806</v>
      </c>
      <c r="E235" s="897"/>
      <c r="F235" s="897"/>
      <c r="L235" s="32"/>
      <c r="M235" s="32"/>
      <c r="O235" s="65" t="s">
        <v>1737</v>
      </c>
      <c r="P235" s="2672" t="s">
        <v>2988</v>
      </c>
      <c r="Q235" s="535"/>
    </row>
    <row r="236" spans="1:32" ht="11.7" customHeight="1">
      <c r="B236" s="145" t="s">
        <v>1738</v>
      </c>
      <c r="C236" s="897" t="s">
        <v>2807</v>
      </c>
      <c r="E236" s="897"/>
      <c r="F236" s="897"/>
      <c r="G236" s="897"/>
      <c r="H236" s="897"/>
      <c r="I236" s="41"/>
      <c r="J236" s="32"/>
      <c r="K236" s="41"/>
      <c r="L236" s="32"/>
      <c r="M236" s="32"/>
      <c r="O236" s="65" t="s">
        <v>1738</v>
      </c>
      <c r="P236" s="2672" t="s">
        <v>2988</v>
      </c>
      <c r="Q236" s="535"/>
    </row>
    <row r="237" spans="1:32" ht="11.7" customHeight="1">
      <c r="A237" s="46"/>
      <c r="B237" s="145" t="s">
        <v>2364</v>
      </c>
      <c r="C237" s="897" t="s">
        <v>2808</v>
      </c>
      <c r="E237" s="897"/>
      <c r="F237" s="897"/>
      <c r="G237" s="897"/>
      <c r="H237" s="897"/>
      <c r="I237" s="41"/>
      <c r="J237" s="32"/>
      <c r="K237" s="41"/>
      <c r="L237" s="32"/>
      <c r="M237" s="32"/>
      <c r="O237" s="65" t="s">
        <v>2364</v>
      </c>
      <c r="P237" s="2672" t="s">
        <v>2988</v>
      </c>
      <c r="Q237" s="535"/>
    </row>
    <row r="238" spans="1:32" ht="11.7" customHeight="1">
      <c r="A238" s="46"/>
      <c r="B238" s="145" t="s">
        <v>1548</v>
      </c>
      <c r="C238" s="897" t="s">
        <v>2809</v>
      </c>
      <c r="E238" s="897"/>
      <c r="F238" s="897"/>
      <c r="G238" s="897"/>
      <c r="H238" s="897"/>
      <c r="I238" s="41"/>
      <c r="J238" s="32"/>
      <c r="K238" s="41"/>
      <c r="L238" s="32"/>
      <c r="M238" s="32"/>
      <c r="O238" s="65" t="s">
        <v>1548</v>
      </c>
      <c r="P238" s="2672" t="s">
        <v>2988</v>
      </c>
      <c r="Q238" s="535"/>
    </row>
    <row r="239" spans="1:32" ht="11.7" customHeight="1">
      <c r="A239" s="46"/>
      <c r="B239" s="39" t="s">
        <v>1549</v>
      </c>
      <c r="C239" s="51" t="s">
        <v>774</v>
      </c>
      <c r="E239" s="51"/>
      <c r="F239" s="51"/>
      <c r="G239" s="51"/>
      <c r="H239" s="51"/>
      <c r="I239" s="41"/>
      <c r="J239" s="32"/>
      <c r="K239" s="41"/>
      <c r="L239" s="32"/>
      <c r="M239" s="32"/>
      <c r="O239" s="463" t="s">
        <v>2797</v>
      </c>
      <c r="P239" s="2672" t="s">
        <v>2988</v>
      </c>
      <c r="Q239" s="535"/>
    </row>
    <row r="240" spans="1:32" ht="11.7" customHeight="1">
      <c r="A240" s="46"/>
      <c r="B240" s="65"/>
      <c r="C240" s="51" t="s">
        <v>1488</v>
      </c>
      <c r="E240" s="51"/>
      <c r="F240" s="51"/>
      <c r="G240" s="51"/>
      <c r="H240" s="51"/>
      <c r="I240" s="41"/>
      <c r="J240" s="32"/>
      <c r="K240" s="41"/>
      <c r="L240" s="32"/>
      <c r="M240" s="32"/>
      <c r="O240" s="463" t="s">
        <v>2798</v>
      </c>
      <c r="P240" s="2673" t="s">
        <v>2991</v>
      </c>
      <c r="Q240" s="536"/>
    </row>
    <row r="241" spans="1:32" ht="11.25" customHeight="1">
      <c r="A241" s="46" t="s">
        <v>2114</v>
      </c>
      <c r="B241" s="51" t="s">
        <v>3660</v>
      </c>
      <c r="C241" s="51"/>
      <c r="E241" s="51"/>
      <c r="F241" s="51"/>
      <c r="G241" s="51"/>
      <c r="H241" s="51"/>
      <c r="I241" s="51"/>
      <c r="J241" s="51"/>
      <c r="K241" s="41"/>
      <c r="M241" s="64" t="s">
        <v>4832</v>
      </c>
      <c r="N241" s="2128" t="str">
        <f>'Part I-Project Information'!$H$82</f>
        <v>Family</v>
      </c>
      <c r="O241" s="463" t="s">
        <v>2114</v>
      </c>
      <c r="P241" s="2671" t="s">
        <v>969</v>
      </c>
      <c r="Q241" s="534"/>
    </row>
    <row r="242" spans="1:32" ht="11.7" customHeight="1">
      <c r="B242" s="65" t="s">
        <v>1736</v>
      </c>
      <c r="C242" s="38" t="s">
        <v>1254</v>
      </c>
      <c r="E242" s="41"/>
      <c r="F242" s="41"/>
      <c r="G242" s="38"/>
      <c r="H242" s="897"/>
      <c r="I242" s="41"/>
      <c r="J242" s="897"/>
      <c r="K242" s="41"/>
      <c r="L242" s="897"/>
      <c r="M242" s="897"/>
      <c r="O242" s="65" t="s">
        <v>1736</v>
      </c>
      <c r="P242" s="2672"/>
      <c r="Q242" s="535"/>
    </row>
    <row r="243" spans="1:32" ht="11.7" customHeight="1">
      <c r="B243" s="65" t="s">
        <v>1737</v>
      </c>
      <c r="C243" s="35" t="s">
        <v>4762</v>
      </c>
      <c r="E243" s="41"/>
      <c r="F243" s="41"/>
      <c r="G243" s="897"/>
      <c r="H243" s="897"/>
      <c r="I243" s="41"/>
      <c r="J243" s="897"/>
      <c r="K243" s="41"/>
      <c r="L243" s="897"/>
      <c r="M243" s="897"/>
      <c r="O243" s="65" t="s">
        <v>1737</v>
      </c>
      <c r="P243" s="2673"/>
      <c r="Q243" s="536"/>
    </row>
    <row r="244" spans="1:32" ht="11.25" customHeight="1">
      <c r="B244" s="140" t="s">
        <v>3751</v>
      </c>
      <c r="D244" s="140"/>
      <c r="E244" s="140"/>
      <c r="F244" s="140"/>
      <c r="G244" s="140"/>
      <c r="H244" s="39"/>
      <c r="I244" s="2300"/>
      <c r="J244" s="2300"/>
      <c r="K244" s="2300"/>
      <c r="L244" s="2288"/>
      <c r="M244" s="2288"/>
      <c r="N244" s="2288"/>
      <c r="O244" s="2288"/>
      <c r="P244" s="2288"/>
      <c r="Q244" s="896"/>
    </row>
    <row r="245" spans="1:32" ht="11.7" customHeight="1">
      <c r="A245" s="3531" t="s">
        <v>5223</v>
      </c>
      <c r="B245" s="3532"/>
      <c r="C245" s="3532"/>
      <c r="D245" s="3532"/>
      <c r="E245" s="3532"/>
      <c r="F245" s="3532"/>
      <c r="G245" s="3532"/>
      <c r="H245" s="3532"/>
      <c r="I245" s="3532"/>
      <c r="J245" s="3532"/>
      <c r="K245" s="3532"/>
      <c r="L245" s="3532"/>
      <c r="M245" s="3532"/>
      <c r="N245" s="3532"/>
      <c r="O245" s="3532"/>
      <c r="P245" s="3532"/>
      <c r="Q245" s="3533"/>
      <c r="R245" s="445" t="s">
        <v>1253</v>
      </c>
      <c r="S245" s="446"/>
      <c r="U245" s="135"/>
      <c r="V245" s="135"/>
      <c r="W245" s="135"/>
      <c r="X245" s="135"/>
      <c r="Y245" s="135"/>
      <c r="Z245" s="135"/>
      <c r="AA245" s="135"/>
      <c r="AB245" s="135"/>
      <c r="AC245" s="135"/>
      <c r="AD245" s="135"/>
      <c r="AE245" s="465"/>
    </row>
    <row r="246" spans="1:32" ht="11.25" customHeight="1">
      <c r="B246" s="136" t="s">
        <v>1865</v>
      </c>
      <c r="C246" s="137"/>
      <c r="D246" s="2291"/>
      <c r="E246" s="2291"/>
      <c r="F246" s="2291"/>
      <c r="G246" s="2291"/>
      <c r="H246" s="2291"/>
      <c r="I246" s="2291"/>
      <c r="J246" s="2291"/>
      <c r="K246" s="2291"/>
      <c r="L246" s="2291"/>
      <c r="M246" s="2291"/>
      <c r="N246" s="2291"/>
      <c r="O246" s="2291"/>
      <c r="P246" s="2291"/>
      <c r="Q246" s="2291"/>
    </row>
    <row r="247" spans="1:32" ht="11.25" customHeight="1">
      <c r="A247" s="3487"/>
      <c r="B247" s="3488"/>
      <c r="C247" s="3488"/>
      <c r="D247" s="3488"/>
      <c r="E247" s="3488"/>
      <c r="F247" s="3488"/>
      <c r="G247" s="3488"/>
      <c r="H247" s="3488"/>
      <c r="I247" s="3488"/>
      <c r="J247" s="3488"/>
      <c r="K247" s="3488"/>
      <c r="L247" s="3488"/>
      <c r="M247" s="3488"/>
      <c r="N247" s="3488"/>
      <c r="O247" s="3488"/>
      <c r="P247" s="3488"/>
      <c r="Q247" s="3489"/>
    </row>
    <row r="248" spans="1:32" ht="3" customHeight="1">
      <c r="A248" s="2288"/>
      <c r="B248" s="2300"/>
      <c r="C248" s="2291"/>
      <c r="D248" s="2291"/>
      <c r="E248" s="2291"/>
      <c r="F248" s="2291"/>
      <c r="G248" s="2291"/>
      <c r="H248" s="2291"/>
      <c r="I248" s="2291"/>
      <c r="J248" s="2291"/>
      <c r="K248" s="2291"/>
      <c r="L248" s="2291"/>
      <c r="M248" s="2291"/>
      <c r="Q248" s="2288"/>
    </row>
    <row r="249" spans="1:32" ht="13.95" customHeight="1">
      <c r="A249" s="2285" t="s">
        <v>2780</v>
      </c>
      <c r="B249" s="3" t="s">
        <v>2661</v>
      </c>
      <c r="C249" s="3"/>
      <c r="D249" s="86"/>
      <c r="E249" s="86"/>
      <c r="F249" s="86"/>
      <c r="G249" s="86"/>
      <c r="H249" s="2291"/>
      <c r="I249" s="2291"/>
      <c r="J249" s="2291"/>
      <c r="K249" s="2291"/>
      <c r="L249" s="2232"/>
      <c r="M249" s="2233"/>
      <c r="O249" s="131" t="s">
        <v>1866</v>
      </c>
      <c r="P249" s="3490"/>
      <c r="Q249" s="3491"/>
    </row>
    <row r="250" spans="1:32" ht="11.7" customHeight="1">
      <c r="A250" s="46" t="s">
        <v>1982</v>
      </c>
      <c r="B250" s="51" t="s">
        <v>1267</v>
      </c>
      <c r="D250" s="41"/>
      <c r="E250" s="51"/>
      <c r="F250" s="51"/>
      <c r="J250" s="463" t="s">
        <v>1982</v>
      </c>
      <c r="K250" s="3517" t="s">
        <v>5206</v>
      </c>
      <c r="L250" s="3518"/>
      <c r="M250" s="3518"/>
      <c r="N250" s="3518"/>
      <c r="O250" s="3519"/>
      <c r="P250" s="3605" t="s">
        <v>1770</v>
      </c>
      <c r="Q250" s="3606"/>
    </row>
    <row r="251" spans="1:32" ht="11.7" customHeight="1">
      <c r="A251" s="46" t="s">
        <v>1984</v>
      </c>
      <c r="B251" s="51" t="s">
        <v>2810</v>
      </c>
      <c r="D251" s="51"/>
      <c r="E251" s="51"/>
      <c r="F251" s="51"/>
      <c r="J251" s="463" t="s">
        <v>1984</v>
      </c>
      <c r="K251" s="3602" t="s">
        <v>5207</v>
      </c>
      <c r="L251" s="3603"/>
      <c r="M251" s="3603"/>
      <c r="N251" s="3603"/>
      <c r="O251" s="3604"/>
      <c r="P251" s="3567"/>
      <c r="Q251" s="3568"/>
    </row>
    <row r="252" spans="1:32" s="147" customFormat="1" ht="11.7" customHeight="1">
      <c r="A252" s="46"/>
      <c r="B252" s="51" t="s">
        <v>1944</v>
      </c>
      <c r="D252" s="51"/>
      <c r="E252" s="51"/>
      <c r="F252" s="51"/>
      <c r="K252" s="3510" t="s">
        <v>5208</v>
      </c>
      <c r="L252" s="3537"/>
      <c r="M252" s="3537"/>
      <c r="N252" s="3537"/>
      <c r="O252" s="3511"/>
      <c r="P252" s="3569"/>
      <c r="Q252" s="3570"/>
      <c r="AE252" s="467"/>
      <c r="AF252" s="467"/>
    </row>
    <row r="253" spans="1:32" s="147" customFormat="1" ht="11.7" customHeight="1">
      <c r="A253" s="46"/>
      <c r="B253" s="51" t="s">
        <v>2542</v>
      </c>
      <c r="D253" s="51"/>
      <c r="E253" s="51"/>
      <c r="F253" s="51"/>
      <c r="G253" s="51"/>
      <c r="H253" s="51"/>
      <c r="I253" s="94"/>
      <c r="J253" s="94"/>
      <c r="M253" s="35"/>
      <c r="N253" s="1021"/>
      <c r="O253" s="463"/>
      <c r="P253" s="2672" t="s">
        <v>2988</v>
      </c>
      <c r="Q253" s="535"/>
      <c r="AE253" s="467"/>
      <c r="AF253" s="467"/>
    </row>
    <row r="254" spans="1:32" s="147" customFormat="1" ht="11.7" customHeight="1">
      <c r="A254" s="46" t="s">
        <v>748</v>
      </c>
      <c r="B254" s="51" t="s">
        <v>4908</v>
      </c>
      <c r="D254" s="51"/>
      <c r="E254" s="51"/>
      <c r="F254" s="51"/>
      <c r="J254" s="463" t="s">
        <v>748</v>
      </c>
      <c r="K254" s="3571">
        <v>43592</v>
      </c>
      <c r="L254" s="3572"/>
      <c r="M254" s="3572"/>
      <c r="N254" s="3572"/>
      <c r="O254" s="3573"/>
      <c r="P254" s="3574"/>
      <c r="Q254" s="3575"/>
      <c r="AE254" s="467"/>
      <c r="AF254" s="467"/>
    </row>
    <row r="255" spans="1:32" s="147" customFormat="1" ht="11.7" customHeight="1">
      <c r="A255" s="46"/>
      <c r="B255" s="51" t="s">
        <v>4768</v>
      </c>
      <c r="D255" s="51"/>
      <c r="E255" s="51"/>
      <c r="F255" s="51"/>
      <c r="AE255" s="467"/>
      <c r="AF255" s="467"/>
    </row>
    <row r="256" spans="1:32" s="147" customFormat="1" ht="11.7" customHeight="1">
      <c r="A256" s="46"/>
      <c r="C256" s="51" t="s">
        <v>4765</v>
      </c>
      <c r="D256" s="51"/>
      <c r="E256" s="51"/>
      <c r="F256" s="51"/>
      <c r="K256" s="463" t="s">
        <v>4764</v>
      </c>
      <c r="L256" s="2686">
        <v>0.2</v>
      </c>
      <c r="M256" s="35"/>
      <c r="N256" s="1021"/>
      <c r="O256" s="1021"/>
      <c r="P256" s="2671" t="s">
        <v>2988</v>
      </c>
      <c r="Q256" s="534"/>
      <c r="AE256" s="467"/>
      <c r="AF256" s="467"/>
    </row>
    <row r="257" spans="1:32" s="147" customFormat="1" ht="11.7" customHeight="1">
      <c r="A257" s="46"/>
      <c r="B257" s="51"/>
      <c r="C257" s="54" t="s">
        <v>4766</v>
      </c>
      <c r="D257" s="51"/>
      <c r="E257" s="51"/>
      <c r="F257" s="51"/>
      <c r="K257" s="463" t="s">
        <v>4767</v>
      </c>
      <c r="L257" s="2687"/>
      <c r="M257" s="35"/>
      <c r="N257" s="1021"/>
      <c r="O257" s="1021"/>
      <c r="P257" s="2673" t="s">
        <v>2991</v>
      </c>
      <c r="Q257" s="536"/>
      <c r="AE257" s="467"/>
      <c r="AF257" s="467"/>
    </row>
    <row r="258" spans="1:32" s="147" customFormat="1" ht="11.7" customHeight="1">
      <c r="A258" s="46"/>
      <c r="B258" s="51" t="s">
        <v>4763</v>
      </c>
      <c r="D258" s="51"/>
      <c r="E258" s="51"/>
      <c r="F258" s="51"/>
      <c r="K258" s="3517" t="s">
        <v>5267</v>
      </c>
      <c r="L258" s="3518"/>
      <c r="M258" s="3518"/>
      <c r="N258" s="3518"/>
      <c r="O258" s="3519"/>
      <c r="P258" s="3587"/>
      <c r="Q258" s="3588"/>
      <c r="AE258" s="467"/>
      <c r="AF258" s="467"/>
    </row>
    <row r="259" spans="1:32" s="147" customFormat="1" ht="11.7" customHeight="1">
      <c r="A259" s="46" t="s">
        <v>2114</v>
      </c>
      <c r="B259" s="51" t="s">
        <v>3903</v>
      </c>
      <c r="D259" s="51"/>
      <c r="E259" s="51"/>
      <c r="F259" s="51"/>
      <c r="G259" s="51"/>
      <c r="H259" s="51"/>
      <c r="I259" s="94"/>
      <c r="J259" s="94"/>
      <c r="K259" s="94"/>
      <c r="M259" s="35"/>
      <c r="N259" s="1021"/>
      <c r="O259" s="463" t="s">
        <v>2114</v>
      </c>
      <c r="P259" s="2671" t="s">
        <v>2988</v>
      </c>
      <c r="Q259" s="534"/>
      <c r="AE259" s="467"/>
      <c r="AF259" s="467"/>
    </row>
    <row r="260" spans="1:32" s="147" customFormat="1" ht="11.7" customHeight="1">
      <c r="A260" s="46"/>
      <c r="B260" s="3486" t="s">
        <v>3759</v>
      </c>
      <c r="C260" s="3486"/>
      <c r="D260" s="3486"/>
      <c r="E260" s="3486"/>
      <c r="F260" s="3486"/>
      <c r="G260" s="3486"/>
      <c r="H260" s="431" t="s">
        <v>4112</v>
      </c>
      <c r="K260" s="94"/>
      <c r="M260" s="35"/>
      <c r="N260" s="1021"/>
      <c r="O260" s="65" t="s">
        <v>1736</v>
      </c>
      <c r="P260" s="2672" t="s">
        <v>2988</v>
      </c>
      <c r="Q260" s="535"/>
      <c r="AE260" s="467"/>
      <c r="AF260" s="467"/>
    </row>
    <row r="261" spans="1:32" s="147" customFormat="1" ht="11.7" customHeight="1">
      <c r="A261" s="46"/>
      <c r="B261" s="3486"/>
      <c r="C261" s="3486"/>
      <c r="D261" s="3486"/>
      <c r="E261" s="3486"/>
      <c r="F261" s="3486"/>
      <c r="G261" s="3486"/>
      <c r="H261" s="54" t="s">
        <v>4113</v>
      </c>
      <c r="K261" s="94"/>
      <c r="M261" s="35"/>
      <c r="N261" s="1021"/>
      <c r="O261" s="65" t="s">
        <v>1737</v>
      </c>
      <c r="P261" s="2672" t="s">
        <v>2988</v>
      </c>
      <c r="Q261" s="535"/>
      <c r="AE261" s="467"/>
      <c r="AF261" s="467"/>
    </row>
    <row r="262" spans="1:32" s="147" customFormat="1" ht="11.7" customHeight="1">
      <c r="A262" s="46"/>
      <c r="B262" s="51"/>
      <c r="D262" s="51"/>
      <c r="E262" s="51"/>
      <c r="F262" s="51"/>
      <c r="G262" s="51"/>
      <c r="H262" s="54" t="s">
        <v>4114</v>
      </c>
      <c r="K262" s="94"/>
      <c r="M262" s="35"/>
      <c r="N262" s="1021"/>
      <c r="O262" s="65" t="s">
        <v>1738</v>
      </c>
      <c r="P262" s="2672" t="s">
        <v>2988</v>
      </c>
      <c r="Q262" s="535"/>
      <c r="AE262" s="467"/>
      <c r="AF262" s="467"/>
    </row>
    <row r="263" spans="1:32" s="147" customFormat="1" ht="11.7" customHeight="1">
      <c r="A263" s="46"/>
      <c r="B263" s="51"/>
      <c r="D263" s="51"/>
      <c r="E263" s="51"/>
      <c r="F263" s="51"/>
      <c r="G263" s="51"/>
      <c r="H263" s="54" t="s">
        <v>4115</v>
      </c>
      <c r="K263" s="94"/>
      <c r="M263" s="35"/>
      <c r="N263" s="1021"/>
      <c r="O263" s="463" t="s">
        <v>2364</v>
      </c>
      <c r="P263" s="2672" t="s">
        <v>2988</v>
      </c>
      <c r="Q263" s="535"/>
      <c r="AE263" s="467"/>
      <c r="AF263" s="467"/>
    </row>
    <row r="264" spans="1:32" s="147" customFormat="1" ht="21.75" customHeight="1">
      <c r="B264" s="3486" t="s">
        <v>3904</v>
      </c>
      <c r="C264" s="3486"/>
      <c r="D264" s="3486"/>
      <c r="E264" s="3486"/>
      <c r="F264" s="3486"/>
      <c r="G264" s="3486"/>
      <c r="H264" s="3486"/>
      <c r="I264" s="3486"/>
      <c r="J264" s="3486"/>
      <c r="K264" s="3486"/>
      <c r="L264" s="3486"/>
      <c r="M264" s="3486"/>
      <c r="N264" s="3486"/>
      <c r="O264" s="160"/>
      <c r="P264" s="2684" t="s">
        <v>5199</v>
      </c>
      <c r="Q264" s="2303"/>
      <c r="T264" s="467"/>
      <c r="AE264" s="467"/>
      <c r="AF264" s="467"/>
    </row>
    <row r="265" spans="1:32" s="147" customFormat="1" ht="33.75" customHeight="1">
      <c r="A265" s="141" t="s">
        <v>1734</v>
      </c>
      <c r="B265" s="3486" t="s">
        <v>5082</v>
      </c>
      <c r="C265" s="3486"/>
      <c r="D265" s="3486"/>
      <c r="E265" s="3486"/>
      <c r="F265" s="3486"/>
      <c r="G265" s="3486"/>
      <c r="H265" s="3486"/>
      <c r="I265" s="3486"/>
      <c r="J265" s="3486"/>
      <c r="K265" s="3486"/>
      <c r="L265" s="3486"/>
      <c r="M265" s="3486"/>
      <c r="N265" s="3486"/>
      <c r="O265" s="160" t="s">
        <v>1734</v>
      </c>
      <c r="P265" s="2688" t="s">
        <v>5199</v>
      </c>
      <c r="Q265" s="2304"/>
      <c r="T265" s="467"/>
      <c r="AE265" s="467"/>
      <c r="AF265" s="467"/>
    </row>
    <row r="266" spans="1:32" s="147" customFormat="1" ht="21.75" customHeight="1">
      <c r="B266" s="3486" t="s">
        <v>5081</v>
      </c>
      <c r="C266" s="3486"/>
      <c r="D266" s="3486"/>
      <c r="E266" s="3486"/>
      <c r="F266" s="3486"/>
      <c r="G266" s="3486"/>
      <c r="H266" s="3486"/>
      <c r="I266" s="3486"/>
      <c r="J266" s="3486"/>
      <c r="K266" s="3486"/>
      <c r="L266" s="3486"/>
      <c r="M266" s="3486"/>
      <c r="N266" s="3486"/>
      <c r="O266" s="160"/>
      <c r="P266" s="2681" t="s">
        <v>5199</v>
      </c>
      <c r="Q266" s="2294"/>
      <c r="T266" s="467"/>
      <c r="AE266" s="467"/>
      <c r="AF266" s="467"/>
    </row>
    <row r="267" spans="1:32" ht="11.7" customHeight="1">
      <c r="B267" s="65" t="s">
        <v>1736</v>
      </c>
      <c r="C267" s="897" t="s">
        <v>5079</v>
      </c>
      <c r="E267" s="897"/>
      <c r="F267" s="897"/>
      <c r="L267" s="32"/>
      <c r="M267" s="32"/>
      <c r="O267" s="65" t="s">
        <v>1736</v>
      </c>
      <c r="P267" s="2689" t="s">
        <v>2988</v>
      </c>
      <c r="Q267" s="2152"/>
    </row>
    <row r="268" spans="1:32" ht="11.7" customHeight="1">
      <c r="B268" s="65"/>
      <c r="D268" s="54" t="s">
        <v>3861</v>
      </c>
      <c r="E268" s="3372" t="s">
        <v>5252</v>
      </c>
      <c r="F268" s="3373"/>
      <c r="G268" s="3374"/>
      <c r="H268" s="897" t="s">
        <v>4949</v>
      </c>
      <c r="I268" s="3372" t="s">
        <v>5251</v>
      </c>
      <c r="J268" s="3373"/>
      <c r="K268" s="3374"/>
      <c r="L268" s="134" t="s">
        <v>4950</v>
      </c>
      <c r="M268" s="3372"/>
      <c r="N268" s="3373"/>
      <c r="O268" s="3373"/>
      <c r="P268" s="3373"/>
      <c r="Q268" s="3374"/>
      <c r="U268" s="391"/>
    </row>
    <row r="269" spans="1:32" ht="11.7" customHeight="1">
      <c r="A269" s="46"/>
      <c r="B269" s="65" t="s">
        <v>1737</v>
      </c>
      <c r="C269" s="897" t="s">
        <v>5080</v>
      </c>
      <c r="E269" s="897"/>
      <c r="F269" s="897"/>
      <c r="G269" s="897"/>
      <c r="H269" s="897"/>
      <c r="I269" s="41"/>
      <c r="J269" s="32"/>
      <c r="K269" s="41"/>
      <c r="L269" s="32"/>
      <c r="M269" s="32"/>
      <c r="O269" s="65" t="s">
        <v>1737</v>
      </c>
      <c r="P269" s="2674" t="s">
        <v>2991</v>
      </c>
      <c r="Q269" s="533"/>
      <c r="S269" s="65"/>
      <c r="U269" s="391"/>
    </row>
    <row r="270" spans="1:32" ht="11.7" customHeight="1">
      <c r="A270" s="46"/>
      <c r="B270" s="65"/>
      <c r="D270" s="54" t="s">
        <v>2300</v>
      </c>
      <c r="E270" s="3372"/>
      <c r="F270" s="3373"/>
      <c r="G270" s="3374"/>
      <c r="H270" s="134" t="s">
        <v>1799</v>
      </c>
      <c r="I270" s="3372"/>
      <c r="J270" s="3373"/>
      <c r="K270" s="3373"/>
      <c r="L270" s="3373"/>
      <c r="M270" s="3374"/>
      <c r="S270" s="65"/>
      <c r="U270" s="391"/>
    </row>
    <row r="271" spans="1:32" ht="11.25" customHeight="1">
      <c r="B271" s="140" t="s">
        <v>3751</v>
      </c>
      <c r="D271" s="140"/>
      <c r="E271" s="140"/>
      <c r="F271" s="140"/>
      <c r="G271" s="140"/>
      <c r="H271" s="39"/>
      <c r="I271" s="2300"/>
      <c r="J271" s="2300"/>
      <c r="K271" s="2300"/>
      <c r="L271" s="2288"/>
      <c r="M271" s="2288"/>
      <c r="N271" s="2288"/>
      <c r="O271" s="2288"/>
      <c r="P271" s="2288"/>
      <c r="Q271" s="896"/>
    </row>
    <row r="272" spans="1:32" ht="13.2" customHeight="1">
      <c r="A272" s="3531" t="s">
        <v>5280</v>
      </c>
      <c r="B272" s="3532"/>
      <c r="C272" s="3532"/>
      <c r="D272" s="3532"/>
      <c r="E272" s="3532"/>
      <c r="F272" s="3532"/>
      <c r="G272" s="3532"/>
      <c r="H272" s="3532"/>
      <c r="I272" s="3532"/>
      <c r="J272" s="3532"/>
      <c r="K272" s="3532"/>
      <c r="L272" s="3532"/>
      <c r="M272" s="3532"/>
      <c r="N272" s="3532"/>
      <c r="O272" s="3532"/>
      <c r="P272" s="3532"/>
      <c r="Q272" s="3533"/>
      <c r="R272" s="445" t="s">
        <v>1253</v>
      </c>
      <c r="S272" s="446"/>
      <c r="U272" s="135"/>
      <c r="V272" s="135"/>
      <c r="W272" s="135"/>
      <c r="X272" s="135"/>
      <c r="Y272" s="135"/>
      <c r="Z272" s="135"/>
      <c r="AA272" s="135"/>
      <c r="AB272" s="135"/>
      <c r="AC272" s="135"/>
      <c r="AD272" s="135"/>
      <c r="AE272" s="465"/>
    </row>
    <row r="273" spans="1:32" ht="10.95" customHeight="1">
      <c r="B273" s="136" t="s">
        <v>1865</v>
      </c>
      <c r="C273" s="137"/>
      <c r="D273" s="2291"/>
      <c r="E273" s="2291"/>
      <c r="F273" s="2291"/>
      <c r="G273" s="2291"/>
      <c r="H273" s="2291"/>
      <c r="I273" s="2291"/>
      <c r="J273" s="2291"/>
      <c r="K273" s="2291"/>
      <c r="L273" s="2291"/>
      <c r="M273" s="2291"/>
      <c r="N273" s="2291"/>
      <c r="O273" s="2291"/>
      <c r="P273" s="2291"/>
      <c r="Q273" s="2291"/>
    </row>
    <row r="274" spans="1:32" ht="13.2" customHeight="1">
      <c r="A274" s="3487"/>
      <c r="B274" s="3488"/>
      <c r="C274" s="3488"/>
      <c r="D274" s="3488"/>
      <c r="E274" s="3488"/>
      <c r="F274" s="3488"/>
      <c r="G274" s="3488"/>
      <c r="H274" s="3488"/>
      <c r="I274" s="3488"/>
      <c r="J274" s="3488"/>
      <c r="K274" s="3488"/>
      <c r="L274" s="3488"/>
      <c r="M274" s="3488"/>
      <c r="N274" s="3488"/>
      <c r="O274" s="3488"/>
      <c r="P274" s="3488"/>
      <c r="Q274" s="3489"/>
    </row>
    <row r="275" spans="1:32" ht="3" customHeight="1">
      <c r="A275" s="2288"/>
      <c r="B275" s="2300"/>
      <c r="C275" s="2291"/>
      <c r="D275" s="2291"/>
      <c r="E275" s="2291"/>
      <c r="F275" s="2291"/>
      <c r="G275" s="2291"/>
      <c r="H275" s="2291"/>
      <c r="I275" s="2291"/>
      <c r="J275" s="2291"/>
      <c r="K275" s="2291"/>
      <c r="L275" s="2291"/>
      <c r="M275" s="2291"/>
      <c r="Q275" s="2288"/>
    </row>
    <row r="276" spans="1:32" ht="13.95" customHeight="1">
      <c r="A276" s="2285" t="s">
        <v>2250</v>
      </c>
      <c r="B276" s="3" t="s">
        <v>2662</v>
      </c>
      <c r="C276" s="3"/>
      <c r="D276" s="86"/>
      <c r="E276" s="86"/>
      <c r="F276" s="86"/>
      <c r="G276" s="86"/>
      <c r="H276" s="2291"/>
      <c r="I276" s="2291"/>
      <c r="J276" s="2291"/>
      <c r="K276" s="2291"/>
      <c r="L276" s="2291"/>
      <c r="M276" s="2291"/>
      <c r="O276" s="131" t="s">
        <v>1866</v>
      </c>
      <c r="P276" s="3490"/>
      <c r="Q276" s="3491"/>
    </row>
    <row r="277" spans="1:32" s="414" customFormat="1" ht="21.75" customHeight="1">
      <c r="A277" s="141" t="s">
        <v>1982</v>
      </c>
      <c r="B277" s="3486" t="s">
        <v>4961</v>
      </c>
      <c r="C277" s="3486"/>
      <c r="D277" s="3486"/>
      <c r="E277" s="3486"/>
      <c r="F277" s="3486"/>
      <c r="G277" s="3486"/>
      <c r="H277" s="3486"/>
      <c r="I277" s="3486"/>
      <c r="J277" s="3486"/>
      <c r="K277" s="3486"/>
      <c r="L277" s="3486"/>
      <c r="M277" s="3486"/>
      <c r="N277" s="3486"/>
      <c r="O277" s="160" t="s">
        <v>1982</v>
      </c>
      <c r="P277" s="2683" t="s">
        <v>2988</v>
      </c>
      <c r="Q277" s="1149"/>
      <c r="AE277" s="468"/>
      <c r="AF277" s="468"/>
    </row>
    <row r="278" spans="1:32" s="147" customFormat="1" ht="11.7" customHeight="1">
      <c r="A278" s="46"/>
      <c r="B278" s="51" t="s">
        <v>3754</v>
      </c>
      <c r="D278" s="51"/>
      <c r="E278" s="51"/>
      <c r="F278" s="51"/>
      <c r="G278" s="51"/>
      <c r="H278" s="51"/>
      <c r="I278" s="51"/>
      <c r="J278" s="51"/>
      <c r="K278" s="51"/>
      <c r="L278" s="51"/>
      <c r="M278" s="51"/>
      <c r="O278" s="463"/>
      <c r="P278" s="2673" t="s">
        <v>2988</v>
      </c>
      <c r="Q278" s="536"/>
      <c r="AE278" s="467"/>
      <c r="AF278" s="467"/>
    </row>
    <row r="279" spans="1:32" s="147" customFormat="1" ht="11.7" customHeight="1">
      <c r="A279" s="46" t="s">
        <v>1984</v>
      </c>
      <c r="B279" s="51" t="s">
        <v>3755</v>
      </c>
      <c r="D279" s="51"/>
      <c r="E279" s="51"/>
      <c r="F279" s="51"/>
      <c r="G279" s="51"/>
      <c r="H279" s="51"/>
      <c r="I279" s="51"/>
      <c r="J279" s="51"/>
      <c r="K279" s="51"/>
      <c r="L279" s="51"/>
      <c r="M279" s="51"/>
      <c r="O279" s="463" t="s">
        <v>1984</v>
      </c>
      <c r="P279" s="2673" t="s">
        <v>2988</v>
      </c>
      <c r="Q279" s="536"/>
      <c r="AE279" s="467"/>
      <c r="AF279" s="467"/>
    </row>
    <row r="280" spans="1:32" s="147" customFormat="1" ht="11.7" customHeight="1">
      <c r="A280" s="46" t="s">
        <v>748</v>
      </c>
      <c r="B280" s="51" t="s">
        <v>4116</v>
      </c>
      <c r="D280" s="51"/>
      <c r="E280" s="51"/>
      <c r="F280" s="51"/>
      <c r="G280" s="51"/>
      <c r="H280" s="51"/>
      <c r="I280" s="51"/>
      <c r="J280" s="51"/>
      <c r="K280" s="51"/>
      <c r="L280" s="51"/>
      <c r="M280" s="51"/>
      <c r="O280" s="463" t="s">
        <v>748</v>
      </c>
      <c r="P280" s="2671" t="s">
        <v>2988</v>
      </c>
      <c r="Q280" s="534"/>
      <c r="AE280" s="467"/>
      <c r="AF280" s="467"/>
    </row>
    <row r="281" spans="1:32" s="147" customFormat="1" ht="11.7" customHeight="1">
      <c r="A281" s="46"/>
      <c r="B281" s="51" t="s">
        <v>3756</v>
      </c>
      <c r="D281" s="51"/>
      <c r="E281" s="51"/>
      <c r="F281" s="51"/>
      <c r="G281" s="51"/>
      <c r="H281" s="51"/>
      <c r="I281" s="51"/>
      <c r="J281" s="51"/>
      <c r="K281" s="51"/>
      <c r="L281" s="51"/>
      <c r="M281" s="51"/>
      <c r="O281" s="463"/>
      <c r="P281" s="2673" t="s">
        <v>2988</v>
      </c>
      <c r="Q281" s="536"/>
      <c r="AE281" s="467"/>
      <c r="AF281" s="467"/>
    </row>
    <row r="282" spans="1:32" s="147" customFormat="1" ht="22.5" customHeight="1">
      <c r="A282" s="141" t="s">
        <v>2114</v>
      </c>
      <c r="B282" s="3486" t="s">
        <v>4964</v>
      </c>
      <c r="C282" s="3486"/>
      <c r="D282" s="3486"/>
      <c r="E282" s="3486"/>
      <c r="F282" s="3486"/>
      <c r="G282" s="3486"/>
      <c r="H282" s="3486"/>
      <c r="I282" s="3486"/>
      <c r="J282" s="3486"/>
      <c r="K282" s="3486"/>
      <c r="L282" s="3486"/>
      <c r="M282" s="3486"/>
      <c r="N282" s="3486"/>
      <c r="O282" s="463" t="s">
        <v>2114</v>
      </c>
      <c r="P282" s="2684" t="s">
        <v>2988</v>
      </c>
      <c r="Q282" s="2303"/>
      <c r="AE282" s="467"/>
      <c r="AF282" s="467"/>
    </row>
    <row r="283" spans="1:32" ht="11.25" customHeight="1">
      <c r="B283" s="140" t="s">
        <v>3751</v>
      </c>
      <c r="D283" s="140"/>
      <c r="E283" s="140"/>
      <c r="F283" s="140"/>
      <c r="G283" s="140"/>
      <c r="H283" s="39"/>
      <c r="I283" s="2300"/>
      <c r="J283" s="2300"/>
      <c r="K283" s="2300"/>
      <c r="L283" s="2288"/>
      <c r="M283" s="2288"/>
      <c r="N283" s="2288"/>
      <c r="O283" s="2288"/>
      <c r="P283" s="2288"/>
      <c r="Q283" s="896"/>
    </row>
    <row r="284" spans="1:32" ht="13.2" customHeight="1">
      <c r="A284" s="3531" t="s">
        <v>5228</v>
      </c>
      <c r="B284" s="3532"/>
      <c r="C284" s="3532"/>
      <c r="D284" s="3532"/>
      <c r="E284" s="3532"/>
      <c r="F284" s="3532"/>
      <c r="G284" s="3532"/>
      <c r="H284" s="3532"/>
      <c r="I284" s="3532"/>
      <c r="J284" s="3532"/>
      <c r="K284" s="3532"/>
      <c r="L284" s="3532"/>
      <c r="M284" s="3532"/>
      <c r="N284" s="3532"/>
      <c r="O284" s="3532"/>
      <c r="P284" s="3532"/>
      <c r="Q284" s="3533"/>
      <c r="R284" s="445" t="s">
        <v>1253</v>
      </c>
      <c r="S284" s="446"/>
      <c r="U284" s="135"/>
      <c r="V284" s="135"/>
      <c r="W284" s="135"/>
      <c r="X284" s="135"/>
      <c r="Y284" s="135"/>
      <c r="Z284" s="135"/>
      <c r="AA284" s="135"/>
      <c r="AB284" s="135"/>
      <c r="AC284" s="135"/>
      <c r="AD284" s="135"/>
      <c r="AE284" s="465"/>
    </row>
    <row r="285" spans="1:32" ht="11.25" customHeight="1">
      <c r="B285" s="136" t="s">
        <v>1865</v>
      </c>
      <c r="C285" s="137"/>
      <c r="D285" s="2291"/>
      <c r="E285" s="2291"/>
      <c r="F285" s="2291"/>
      <c r="G285" s="2291"/>
      <c r="H285" s="2291"/>
      <c r="I285" s="2291"/>
      <c r="J285" s="2291"/>
      <c r="K285" s="2291"/>
      <c r="L285" s="2291"/>
      <c r="M285" s="2291"/>
      <c r="N285" s="2291"/>
      <c r="O285" s="2291"/>
      <c r="P285" s="2291"/>
      <c r="Q285" s="2291"/>
    </row>
    <row r="286" spans="1:32" ht="13.2" customHeight="1">
      <c r="A286" s="3487"/>
      <c r="B286" s="3488"/>
      <c r="C286" s="3488"/>
      <c r="D286" s="3488"/>
      <c r="E286" s="3488"/>
      <c r="F286" s="3488"/>
      <c r="G286" s="3488"/>
      <c r="H286" s="3488"/>
      <c r="I286" s="3488"/>
      <c r="J286" s="3488"/>
      <c r="K286" s="3488"/>
      <c r="L286" s="3488"/>
      <c r="M286" s="3488"/>
      <c r="N286" s="3488"/>
      <c r="O286" s="3488"/>
      <c r="P286" s="3488"/>
      <c r="Q286" s="3489"/>
    </row>
    <row r="287" spans="1:32" ht="3" customHeight="1"/>
    <row r="288" spans="1:32" ht="13.95" customHeight="1">
      <c r="A288" s="2285" t="s">
        <v>4098</v>
      </c>
      <c r="B288" s="2285" t="s">
        <v>2663</v>
      </c>
      <c r="C288" s="2285"/>
      <c r="D288" s="2291"/>
      <c r="E288" s="2291"/>
      <c r="F288" s="2291"/>
      <c r="G288" s="2291"/>
      <c r="H288" s="2291"/>
      <c r="I288" s="2291"/>
      <c r="J288" s="2291"/>
      <c r="K288" s="2291"/>
      <c r="L288" s="2291"/>
      <c r="M288" s="2291"/>
      <c r="O288" s="131" t="s">
        <v>1866</v>
      </c>
      <c r="P288" s="3490"/>
      <c r="Q288" s="3491"/>
    </row>
    <row r="289" spans="1:32" s="414" customFormat="1" ht="33" customHeight="1">
      <c r="A289" s="141" t="s">
        <v>1982</v>
      </c>
      <c r="B289" s="3486" t="s">
        <v>4963</v>
      </c>
      <c r="C289" s="3486"/>
      <c r="D289" s="3486"/>
      <c r="E289" s="3486"/>
      <c r="F289" s="3486"/>
      <c r="G289" s="3486"/>
      <c r="H289" s="3486"/>
      <c r="I289" s="3486"/>
      <c r="J289" s="3486"/>
      <c r="K289" s="3486"/>
      <c r="L289" s="3486"/>
      <c r="M289" s="3486"/>
      <c r="N289" s="3486"/>
      <c r="O289" s="160" t="s">
        <v>1982</v>
      </c>
      <c r="P289" s="2683" t="s">
        <v>5199</v>
      </c>
      <c r="Q289" s="1149"/>
      <c r="AE289" s="468"/>
      <c r="AF289" s="468"/>
    </row>
    <row r="290" spans="1:32" s="414" customFormat="1" ht="21.75" customHeight="1">
      <c r="A290" s="141"/>
      <c r="B290" s="3486" t="s">
        <v>2812</v>
      </c>
      <c r="C290" s="3486"/>
      <c r="D290" s="3486"/>
      <c r="E290" s="3486"/>
      <c r="F290" s="3486"/>
      <c r="G290" s="3486"/>
      <c r="H290" s="3486"/>
      <c r="I290" s="3486"/>
      <c r="J290" s="3486"/>
      <c r="K290" s="3486"/>
      <c r="L290" s="3486"/>
      <c r="M290" s="3486"/>
      <c r="N290" s="3486"/>
      <c r="O290" s="160"/>
      <c r="P290" s="2684" t="s">
        <v>5199</v>
      </c>
      <c r="Q290" s="2303"/>
      <c r="AE290" s="468"/>
      <c r="AF290" s="468"/>
    </row>
    <row r="291" spans="1:32" s="26" customFormat="1" ht="11.7" customHeight="1">
      <c r="A291" s="138" t="s">
        <v>1984</v>
      </c>
      <c r="B291" s="177" t="s">
        <v>310</v>
      </c>
      <c r="C291" s="158"/>
      <c r="D291" s="572"/>
      <c r="E291" s="572"/>
      <c r="F291" s="158"/>
      <c r="H291" s="158"/>
      <c r="I291" s="158"/>
      <c r="J291" s="2094" t="s">
        <v>4783</v>
      </c>
      <c r="K291" s="3546" t="s">
        <v>3768</v>
      </c>
      <c r="L291" s="3547"/>
      <c r="M291" s="3547"/>
      <c r="N291" s="3548"/>
      <c r="O291" s="463" t="s">
        <v>1984</v>
      </c>
      <c r="P291" s="2684" t="s">
        <v>5199</v>
      </c>
      <c r="Q291" s="2303"/>
      <c r="R291" s="1020"/>
      <c r="S291" s="1134"/>
    </row>
    <row r="292" spans="1:32" s="26" customFormat="1" ht="11.7" customHeight="1">
      <c r="A292" s="138"/>
      <c r="B292" s="177"/>
      <c r="C292" s="158"/>
      <c r="D292" s="572"/>
      <c r="E292" s="572"/>
      <c r="F292" s="158"/>
      <c r="H292" s="158"/>
      <c r="I292" s="158"/>
      <c r="J292" s="2094" t="s">
        <v>4965</v>
      </c>
      <c r="K292" s="3546"/>
      <c r="L292" s="3547"/>
      <c r="M292" s="3547"/>
      <c r="N292" s="3548"/>
      <c r="O292" s="463"/>
      <c r="P292" s="463"/>
      <c r="Q292" s="463"/>
      <c r="R292" s="463"/>
      <c r="S292" s="1134"/>
    </row>
    <row r="293" spans="1:32" s="102" customFormat="1" ht="11.7" customHeight="1">
      <c r="A293" s="41"/>
      <c r="B293" s="140" t="s">
        <v>3751</v>
      </c>
      <c r="C293" s="41"/>
      <c r="D293" s="47"/>
      <c r="E293" s="47"/>
      <c r="F293" s="47"/>
      <c r="G293" s="47"/>
      <c r="K293" s="35"/>
      <c r="M293" s="45"/>
      <c r="N293" s="5"/>
      <c r="O293" s="2"/>
      <c r="P293" s="2287"/>
    </row>
    <row r="294" spans="1:32" s="42" customFormat="1" ht="21.75" customHeight="1">
      <c r="A294" s="3531" t="s">
        <v>5224</v>
      </c>
      <c r="B294" s="3532"/>
      <c r="C294" s="3532"/>
      <c r="D294" s="3532"/>
      <c r="E294" s="3532"/>
      <c r="F294" s="3532"/>
      <c r="G294" s="3532"/>
      <c r="H294" s="3532"/>
      <c r="I294" s="3532"/>
      <c r="J294" s="3532"/>
      <c r="K294" s="3532"/>
      <c r="L294" s="3532"/>
      <c r="M294" s="3532"/>
      <c r="N294" s="3532"/>
      <c r="O294" s="3532"/>
      <c r="P294" s="3532"/>
      <c r="Q294" s="3533"/>
      <c r="R294" s="445" t="s">
        <v>1253</v>
      </c>
    </row>
    <row r="295" spans="1:32" s="42" customFormat="1" ht="11.25" customHeight="1">
      <c r="A295" s="34"/>
      <c r="B295" s="136" t="s">
        <v>1865</v>
      </c>
      <c r="C295" s="137"/>
      <c r="D295" s="2291"/>
      <c r="E295" s="2291"/>
      <c r="F295" s="2291"/>
      <c r="G295" s="2291"/>
      <c r="H295" s="2291"/>
      <c r="I295" s="2291"/>
      <c r="J295" s="2291"/>
      <c r="K295" s="2291"/>
      <c r="L295" s="2291"/>
      <c r="M295" s="2291"/>
      <c r="N295" s="2291"/>
      <c r="O295" s="2291"/>
      <c r="P295" s="2291"/>
      <c r="Q295" s="2291"/>
      <c r="R295" s="34"/>
    </row>
    <row r="296" spans="1:32" s="42" customFormat="1" ht="11.25" customHeight="1">
      <c r="A296" s="3487"/>
      <c r="B296" s="3488"/>
      <c r="C296" s="3488"/>
      <c r="D296" s="3488"/>
      <c r="E296" s="3488"/>
      <c r="F296" s="3488"/>
      <c r="G296" s="3488"/>
      <c r="H296" s="3488"/>
      <c r="I296" s="3488"/>
      <c r="J296" s="3488"/>
      <c r="K296" s="3488"/>
      <c r="L296" s="3488"/>
      <c r="M296" s="3488"/>
      <c r="N296" s="3488"/>
      <c r="O296" s="3488"/>
      <c r="P296" s="3488"/>
      <c r="Q296" s="3489"/>
      <c r="R296" s="34"/>
    </row>
    <row r="297" spans="1:32" s="42" customFormat="1" ht="3" customHeight="1">
      <c r="A297" s="41"/>
      <c r="D297" s="38"/>
      <c r="E297" s="35"/>
      <c r="F297" s="887"/>
      <c r="G297" s="887"/>
      <c r="H297" s="887"/>
      <c r="I297" s="887"/>
      <c r="J297" s="897"/>
      <c r="K297" s="897"/>
      <c r="L297" s="897"/>
      <c r="M297" s="59"/>
      <c r="N297" s="887"/>
      <c r="O297" s="2290"/>
      <c r="P297" s="2"/>
    </row>
    <row r="298" spans="1:32" ht="13.95" customHeight="1">
      <c r="A298" s="2285" t="s">
        <v>4099</v>
      </c>
      <c r="B298" s="2285" t="s">
        <v>2664</v>
      </c>
      <c r="C298" s="2284"/>
      <c r="D298" s="2297"/>
      <c r="E298" s="2291"/>
      <c r="F298" s="2291"/>
      <c r="G298" s="2291"/>
      <c r="H298" s="2291"/>
      <c r="I298" s="2291"/>
      <c r="J298" s="2291"/>
      <c r="K298" s="2291"/>
      <c r="L298" s="2291"/>
      <c r="M298" s="2291"/>
      <c r="O298" s="131" t="s">
        <v>1866</v>
      </c>
      <c r="P298" s="3490"/>
      <c r="Q298" s="3491"/>
    </row>
    <row r="299" spans="1:32" ht="12.75" customHeight="1">
      <c r="A299" s="13" t="s">
        <v>1982</v>
      </c>
      <c r="B299" s="2285" t="s">
        <v>4118</v>
      </c>
    </row>
    <row r="300" spans="1:32" s="147" customFormat="1" ht="44.25" customHeight="1">
      <c r="A300" s="141"/>
      <c r="B300" s="2162" t="s">
        <v>1736</v>
      </c>
      <c r="C300" s="3486" t="s">
        <v>3907</v>
      </c>
      <c r="D300" s="3486"/>
      <c r="E300" s="3486"/>
      <c r="F300" s="3486"/>
      <c r="G300" s="3486"/>
      <c r="H300" s="3486"/>
      <c r="I300" s="3486"/>
      <c r="J300" s="3486"/>
      <c r="K300" s="3486"/>
      <c r="L300" s="3486"/>
      <c r="M300" s="3486"/>
      <c r="N300" s="3486"/>
      <c r="O300" s="160" t="s">
        <v>2724</v>
      </c>
      <c r="P300" s="2683" t="s">
        <v>2988</v>
      </c>
      <c r="Q300" s="1149"/>
      <c r="AE300" s="467"/>
      <c r="AF300" s="467"/>
    </row>
    <row r="301" spans="1:32" s="414" customFormat="1" ht="12" customHeight="1">
      <c r="A301" s="141"/>
      <c r="B301" s="2162" t="s">
        <v>1737</v>
      </c>
      <c r="C301" s="3486" t="s">
        <v>3908</v>
      </c>
      <c r="D301" s="3486"/>
      <c r="E301" s="3486"/>
      <c r="F301" s="3486"/>
      <c r="G301" s="3486"/>
      <c r="H301" s="3486"/>
      <c r="I301" s="3486"/>
      <c r="J301" s="3486"/>
      <c r="K301" s="3486"/>
      <c r="L301" s="3486"/>
      <c r="M301" s="3486"/>
      <c r="N301" s="3486"/>
      <c r="O301" s="148" t="s">
        <v>1737</v>
      </c>
      <c r="P301" s="2681" t="s">
        <v>2988</v>
      </c>
      <c r="Q301" s="2294"/>
      <c r="AE301" s="468"/>
      <c r="AF301" s="468"/>
    </row>
    <row r="302" spans="1:32" s="414" customFormat="1" ht="21.75" customHeight="1">
      <c r="A302" s="141"/>
      <c r="B302" s="477" t="s">
        <v>1738</v>
      </c>
      <c r="C302" s="3486" t="s">
        <v>3906</v>
      </c>
      <c r="D302" s="3486"/>
      <c r="E302" s="3486"/>
      <c r="F302" s="3486"/>
      <c r="G302" s="3486"/>
      <c r="H302" s="3486"/>
      <c r="I302" s="3486"/>
      <c r="J302" s="3486"/>
      <c r="K302" s="3486"/>
      <c r="L302" s="3486"/>
      <c r="M302" s="3486"/>
      <c r="N302" s="3486"/>
      <c r="O302" s="160" t="s">
        <v>1738</v>
      </c>
      <c r="P302" s="2684" t="s">
        <v>2988</v>
      </c>
      <c r="Q302" s="2303"/>
      <c r="AE302" s="468"/>
      <c r="AF302" s="468"/>
    </row>
    <row r="303" spans="1:32" s="94" customFormat="1" ht="12.75" customHeight="1">
      <c r="A303" s="13" t="s">
        <v>1984</v>
      </c>
      <c r="B303" s="2285" t="s">
        <v>3874</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1736</v>
      </c>
      <c r="C304" s="3486" t="s">
        <v>3748</v>
      </c>
      <c r="D304" s="3486"/>
      <c r="E304" s="3486"/>
      <c r="F304" s="3486"/>
      <c r="G304" s="3486"/>
      <c r="H304" s="3486"/>
      <c r="I304" s="139"/>
      <c r="J304" s="3555" t="s">
        <v>3791</v>
      </c>
      <c r="K304" s="3556"/>
      <c r="L304" s="3556"/>
      <c r="M304" s="3579" t="s">
        <v>3761</v>
      </c>
      <c r="N304" s="3579"/>
      <c r="AE304" s="469"/>
      <c r="AF304" s="469"/>
    </row>
    <row r="305" spans="1:33" s="294" customFormat="1" ht="10.5" customHeight="1">
      <c r="A305" s="305"/>
      <c r="B305" s="2258"/>
      <c r="C305" s="3486"/>
      <c r="D305" s="3486"/>
      <c r="E305" s="3486"/>
      <c r="F305" s="3486"/>
      <c r="G305" s="3486"/>
      <c r="H305" s="3486"/>
      <c r="I305" s="2269"/>
      <c r="J305" s="3556"/>
      <c r="K305" s="3556"/>
      <c r="L305" s="3556"/>
      <c r="M305" s="35" t="s">
        <v>3762</v>
      </c>
      <c r="N305" s="2300" t="s">
        <v>3790</v>
      </c>
      <c r="P305" s="303"/>
    </row>
    <row r="306" spans="1:33" s="294" customFormat="1" ht="13.2" customHeight="1">
      <c r="A306" s="305"/>
      <c r="B306" s="2258"/>
      <c r="C306" s="3486"/>
      <c r="D306" s="3486"/>
      <c r="E306" s="3486"/>
      <c r="F306" s="3486"/>
      <c r="G306" s="3486"/>
      <c r="H306" s="3486"/>
      <c r="I306" s="51" t="s">
        <v>4119</v>
      </c>
      <c r="K306" s="2690">
        <v>4</v>
      </c>
      <c r="L306" s="1016" t="str">
        <f>IF(K306&lt;M306,"Check!!!","")</f>
        <v/>
      </c>
      <c r="M306" s="1017">
        <f>ROUNDUP('Part VI-Revenues &amp; Expenses'!$O$67*'Part VIII-Threshold Criteria'!N306,0)</f>
        <v>2</v>
      </c>
      <c r="N306" s="2127">
        <f>'DCA Underwriting Assumptions'!$Q$139</f>
        <v>0.05</v>
      </c>
      <c r="O306" s="463" t="s">
        <v>3636</v>
      </c>
      <c r="P306" s="2671" t="s">
        <v>2988</v>
      </c>
      <c r="Q306" s="534"/>
      <c r="V306" s="35"/>
      <c r="X306" s="35"/>
      <c r="Z306" s="1016" t="str">
        <f>IF(AA306="","",IF(AA306&lt;AC306,"Check!!!",""))</f>
        <v/>
      </c>
      <c r="AA306" s="1016" t="str">
        <f t="shared" ref="AA306:AG306" si="8">IF(AB306="","",IF(AB306&lt;AD306,"Check!!!",""))</f>
        <v/>
      </c>
      <c r="AB306" s="1016" t="str">
        <f t="shared" si="8"/>
        <v/>
      </c>
      <c r="AC306" s="1016" t="str">
        <f t="shared" si="8"/>
        <v/>
      </c>
      <c r="AD306" s="1016" t="str">
        <f t="shared" si="8"/>
        <v/>
      </c>
      <c r="AE306" s="1016" t="str">
        <f t="shared" si="8"/>
        <v/>
      </c>
      <c r="AF306" s="1016" t="str">
        <f t="shared" si="8"/>
        <v/>
      </c>
      <c r="AG306" s="1016" t="str">
        <f t="shared" si="8"/>
        <v/>
      </c>
    </row>
    <row r="307" spans="1:33" s="94" customFormat="1" ht="12.75" customHeight="1">
      <c r="A307" s="141"/>
      <c r="B307" s="2162"/>
      <c r="C307" s="3486" t="s">
        <v>3749</v>
      </c>
      <c r="D307" s="3486"/>
      <c r="E307" s="3486"/>
      <c r="F307" s="3486"/>
      <c r="G307" s="3486"/>
      <c r="H307" s="3486"/>
      <c r="I307" s="884" t="s">
        <v>4120</v>
      </c>
      <c r="J307" s="294"/>
      <c r="K307" s="2690">
        <v>2</v>
      </c>
      <c r="L307" s="1016" t="str">
        <f>IF(K307&lt;M307,"Check!!!","")</f>
        <v/>
      </c>
      <c r="M307" s="1017">
        <f>ROUNDUP(K306*'Part VIII-Threshold Criteria'!N307,0)</f>
        <v>2</v>
      </c>
      <c r="N307" s="2127">
        <f>'DCA Underwriting Assumptions'!$Q$140</f>
        <v>0.4</v>
      </c>
      <c r="O307" s="463" t="s">
        <v>2116</v>
      </c>
      <c r="P307" s="3551" t="s">
        <v>2988</v>
      </c>
      <c r="Q307" s="3550"/>
      <c r="T307" s="139"/>
      <c r="U307" s="139"/>
      <c r="V307" s="139"/>
      <c r="W307" s="139"/>
      <c r="X307" s="139"/>
      <c r="Y307" s="139"/>
      <c r="Z307" s="139"/>
      <c r="AA307" s="139"/>
      <c r="AB307" s="139"/>
      <c r="AC307" s="139"/>
      <c r="AD307" s="139"/>
      <c r="AE307" s="139"/>
      <c r="AF307" s="139"/>
      <c r="AG307" s="139"/>
    </row>
    <row r="308" spans="1:33" s="294" customFormat="1" ht="10.5" customHeight="1">
      <c r="A308" s="305"/>
      <c r="B308" s="2258"/>
      <c r="C308" s="3486"/>
      <c r="D308" s="3486"/>
      <c r="E308" s="3486"/>
      <c r="F308" s="3486"/>
      <c r="G308" s="3486"/>
      <c r="H308" s="3486"/>
      <c r="O308" s="39"/>
      <c r="P308" s="3551"/>
      <c r="Q308" s="3550"/>
      <c r="V308" s="35"/>
      <c r="W308" s="884"/>
      <c r="X308" s="35"/>
      <c r="Z308" s="1016" t="str">
        <f>IF(AA308="","",IF(AA308&lt;AC308,"Check!!!",""))</f>
        <v/>
      </c>
      <c r="AA308" s="1016" t="str">
        <f t="shared" ref="AA308:AG308" si="9">IF(AB308="","",IF(AB308&lt;AD308,"Check!!!",""))</f>
        <v/>
      </c>
      <c r="AB308" s="1016" t="str">
        <f t="shared" si="9"/>
        <v/>
      </c>
      <c r="AC308" s="1016" t="str">
        <f t="shared" si="9"/>
        <v/>
      </c>
      <c r="AD308" s="1016" t="str">
        <f t="shared" si="9"/>
        <v/>
      </c>
      <c r="AE308" s="1016" t="str">
        <f t="shared" si="9"/>
        <v/>
      </c>
      <c r="AF308" s="1016" t="str">
        <f t="shared" si="9"/>
        <v/>
      </c>
      <c r="AG308" s="1016" t="str">
        <f t="shared" si="9"/>
        <v/>
      </c>
    </row>
    <row r="309" spans="1:33" s="94" customFormat="1" ht="12.75" customHeight="1">
      <c r="A309" s="141"/>
      <c r="B309" s="2162" t="s">
        <v>1737</v>
      </c>
      <c r="C309" s="3486" t="s">
        <v>3750</v>
      </c>
      <c r="D309" s="3486"/>
      <c r="E309" s="3486"/>
      <c r="F309" s="3486"/>
      <c r="G309" s="3486"/>
      <c r="H309" s="3486"/>
      <c r="I309" s="51" t="s">
        <v>4121</v>
      </c>
      <c r="J309" s="294"/>
      <c r="K309" s="2690">
        <v>1</v>
      </c>
      <c r="L309" s="1016" t="str">
        <f>IF(K309&lt;M309,"Check!!!","")</f>
        <v/>
      </c>
      <c r="M309" s="1017">
        <f>ROUNDUP('Part VI-Revenues &amp; Expenses'!$O$67*'Part VIII-Threshold Criteria'!N309,0)</f>
        <v>1</v>
      </c>
      <c r="N309" s="2127">
        <f>'DCA Underwriting Assumptions'!$Q$141</f>
        <v>0.02</v>
      </c>
      <c r="O309" s="463" t="s">
        <v>1737</v>
      </c>
      <c r="P309" s="2673" t="s">
        <v>2988</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486"/>
      <c r="D310" s="3486"/>
      <c r="E310" s="3486"/>
      <c r="F310" s="3486"/>
      <c r="G310" s="3486"/>
      <c r="H310" s="3486"/>
      <c r="J310" s="35"/>
      <c r="K310" s="35"/>
      <c r="L310" s="897"/>
      <c r="M310" s="2305"/>
      <c r="O310" s="35"/>
      <c r="P310" s="2300"/>
      <c r="Q310" s="35"/>
      <c r="T310" s="35"/>
      <c r="U310" s="884"/>
      <c r="V310" s="35"/>
      <c r="W310" s="884"/>
      <c r="X310" s="35"/>
      <c r="Y310" s="35"/>
      <c r="Z310" s="35"/>
      <c r="AA310" s="35"/>
      <c r="AB310" s="35"/>
      <c r="AC310" s="35"/>
      <c r="AD310" s="35"/>
      <c r="AE310" s="35"/>
      <c r="AF310" s="35"/>
      <c r="AG310" s="35"/>
    </row>
    <row r="311" spans="1:33" s="294" customFormat="1" ht="10.5" customHeight="1">
      <c r="A311" s="305"/>
      <c r="C311" s="3486"/>
      <c r="D311" s="3486"/>
      <c r="E311" s="3486"/>
      <c r="F311" s="3486"/>
      <c r="G311" s="3486"/>
      <c r="H311" s="3486"/>
      <c r="O311" s="39"/>
      <c r="P311" s="463"/>
      <c r="V311" s="35"/>
      <c r="W311" s="884"/>
      <c r="X311" s="35"/>
      <c r="Z311" s="1016" t="str">
        <f>IF(AA311="","",IF(AA311&lt;AC311,"Check!!!",""))</f>
        <v/>
      </c>
      <c r="AA311" s="1016" t="str">
        <f t="shared" ref="AA311:AG311" si="10">IF(AB311="","",IF(AB311&lt;AD311,"Check!!!",""))</f>
        <v/>
      </c>
      <c r="AB311" s="1016" t="str">
        <f t="shared" si="10"/>
        <v/>
      </c>
      <c r="AC311" s="1016" t="str">
        <f t="shared" si="10"/>
        <v/>
      </c>
      <c r="AD311" s="1016" t="str">
        <f t="shared" si="10"/>
        <v/>
      </c>
      <c r="AE311" s="1016" t="str">
        <f t="shared" si="10"/>
        <v/>
      </c>
      <c r="AF311" s="1016" t="str">
        <f t="shared" si="10"/>
        <v/>
      </c>
      <c r="AG311" s="1016" t="str">
        <f t="shared" si="10"/>
        <v/>
      </c>
    </row>
    <row r="312" spans="1:33" s="294" customFormat="1" ht="10.5" customHeight="1">
      <c r="A312" s="13" t="s">
        <v>748</v>
      </c>
      <c r="B312" s="2285" t="s">
        <v>3875</v>
      </c>
      <c r="D312" s="2291"/>
      <c r="E312" s="2291"/>
      <c r="F312" s="2291"/>
      <c r="G312" s="2291"/>
      <c r="H312" s="2291"/>
      <c r="O312" s="39"/>
      <c r="P312" s="463"/>
      <c r="V312" s="35"/>
      <c r="W312" s="884"/>
      <c r="X312" s="35"/>
      <c r="Z312" s="1016"/>
      <c r="AA312" s="1016"/>
      <c r="AB312" s="1016"/>
      <c r="AC312" s="1016"/>
      <c r="AD312" s="1016"/>
      <c r="AE312" s="1016"/>
      <c r="AF312" s="1016"/>
      <c r="AG312" s="1016"/>
    </row>
    <row r="313" spans="1:33" s="94" customFormat="1" ht="21.75" customHeight="1">
      <c r="B313" s="3549" t="s">
        <v>3638</v>
      </c>
      <c r="C313" s="3549"/>
      <c r="D313" s="3549"/>
      <c r="E313" s="3549"/>
      <c r="F313" s="3549"/>
      <c r="G313" s="3549"/>
      <c r="H313" s="3549"/>
      <c r="I313" s="3549"/>
      <c r="J313" s="3549"/>
      <c r="K313" s="3549"/>
      <c r="L313" s="3549"/>
      <c r="M313" s="3549"/>
      <c r="N313" s="3549"/>
      <c r="O313" s="160" t="s">
        <v>748</v>
      </c>
      <c r="P313" s="2691" t="s">
        <v>2988</v>
      </c>
      <c r="Q313" s="1150"/>
      <c r="AE313" s="469"/>
      <c r="AF313" s="469"/>
    </row>
    <row r="314" spans="1:33" s="94" customFormat="1" ht="11.25" customHeight="1">
      <c r="B314" s="391" t="s">
        <v>3639</v>
      </c>
      <c r="D314" s="391"/>
      <c r="E314" s="391"/>
      <c r="F314" s="391"/>
      <c r="G314" s="391"/>
      <c r="H314" s="391"/>
      <c r="I314" s="391" t="s">
        <v>3760</v>
      </c>
      <c r="J314" s="391"/>
      <c r="K314" s="391"/>
      <c r="L314" s="3552" t="s">
        <v>5226</v>
      </c>
      <c r="M314" s="3553"/>
      <c r="N314" s="3553"/>
      <c r="O314" s="3554"/>
      <c r="P314" s="391"/>
      <c r="Q314" s="391"/>
      <c r="R314" s="391"/>
      <c r="AE314" s="469"/>
      <c r="AF314" s="469"/>
    </row>
    <row r="315" spans="1:33" s="414" customFormat="1" ht="44.25" customHeight="1">
      <c r="B315" s="2162" t="s">
        <v>1736</v>
      </c>
      <c r="C315" s="3486" t="s">
        <v>3637</v>
      </c>
      <c r="D315" s="3486"/>
      <c r="E315" s="3486"/>
      <c r="F315" s="3486"/>
      <c r="G315" s="3486"/>
      <c r="H315" s="3486"/>
      <c r="I315" s="3486"/>
      <c r="J315" s="3486"/>
      <c r="K315" s="3486"/>
      <c r="L315" s="3486"/>
      <c r="M315" s="3486"/>
      <c r="N315" s="3486"/>
      <c r="O315" s="160" t="s">
        <v>3642</v>
      </c>
      <c r="P315" s="2683" t="s">
        <v>2988</v>
      </c>
      <c r="Q315" s="1149"/>
      <c r="AE315" s="468"/>
      <c r="AF315" s="468"/>
    </row>
    <row r="316" spans="1:33" s="414" customFormat="1" ht="34.5" customHeight="1">
      <c r="B316" s="2162" t="s">
        <v>1737</v>
      </c>
      <c r="C316" s="3486" t="s">
        <v>4909</v>
      </c>
      <c r="D316" s="3486"/>
      <c r="E316" s="3486"/>
      <c r="F316" s="3486"/>
      <c r="G316" s="3486"/>
      <c r="H316" s="3486"/>
      <c r="I316" s="3486"/>
      <c r="J316" s="3486"/>
      <c r="K316" s="3486"/>
      <c r="L316" s="3486"/>
      <c r="M316" s="3486"/>
      <c r="N316" s="3486"/>
      <c r="O316" s="160" t="s">
        <v>3643</v>
      </c>
      <c r="P316" s="2681" t="s">
        <v>2988</v>
      </c>
      <c r="Q316" s="2294"/>
      <c r="AE316" s="468"/>
      <c r="AF316" s="468"/>
    </row>
    <row r="317" spans="1:33" s="414" customFormat="1" ht="22.5" customHeight="1">
      <c r="B317" s="477" t="s">
        <v>1738</v>
      </c>
      <c r="C317" s="3486" t="s">
        <v>3640</v>
      </c>
      <c r="D317" s="3486"/>
      <c r="E317" s="3486"/>
      <c r="F317" s="3486"/>
      <c r="G317" s="3486"/>
      <c r="H317" s="3486"/>
      <c r="I317" s="3486"/>
      <c r="J317" s="3486"/>
      <c r="K317" s="3486"/>
      <c r="L317" s="3486"/>
      <c r="M317" s="3486"/>
      <c r="N317" s="3486"/>
      <c r="O317" s="160" t="s">
        <v>3644</v>
      </c>
      <c r="P317" s="2681" t="s">
        <v>2988</v>
      </c>
      <c r="Q317" s="2294"/>
      <c r="AE317" s="468"/>
      <c r="AF317" s="468"/>
    </row>
    <row r="318" spans="1:33" s="414" customFormat="1" ht="32.25" customHeight="1">
      <c r="B318" s="477" t="s">
        <v>2364</v>
      </c>
      <c r="C318" s="3486" t="s">
        <v>3641</v>
      </c>
      <c r="D318" s="3486"/>
      <c r="E318" s="3486"/>
      <c r="F318" s="3486"/>
      <c r="G318" s="3486"/>
      <c r="H318" s="3486"/>
      <c r="I318" s="3486"/>
      <c r="J318" s="3486"/>
      <c r="K318" s="3486"/>
      <c r="L318" s="3486"/>
      <c r="M318" s="3486"/>
      <c r="N318" s="3486"/>
      <c r="O318" s="160" t="s">
        <v>3645</v>
      </c>
      <c r="P318" s="2684" t="s">
        <v>2988</v>
      </c>
      <c r="Q318" s="2303"/>
      <c r="AE318" s="468"/>
      <c r="AF318" s="468"/>
    </row>
    <row r="319" spans="1:33" ht="11.25" customHeight="1">
      <c r="B319" s="140" t="s">
        <v>3751</v>
      </c>
      <c r="D319" s="140"/>
      <c r="E319" s="140"/>
      <c r="F319" s="140"/>
      <c r="G319" s="140"/>
      <c r="H319" s="39"/>
      <c r="I319" s="2300"/>
      <c r="J319" s="2300"/>
      <c r="K319" s="2300"/>
      <c r="L319" s="2288"/>
      <c r="M319" s="2288"/>
      <c r="N319" s="2288"/>
      <c r="O319" s="2288"/>
      <c r="P319" s="2288"/>
      <c r="Q319" s="896"/>
    </row>
    <row r="320" spans="1:33" ht="32.25" customHeight="1">
      <c r="A320" s="3531" t="s">
        <v>5297</v>
      </c>
      <c r="B320" s="3532"/>
      <c r="C320" s="3532"/>
      <c r="D320" s="3532"/>
      <c r="E320" s="3532"/>
      <c r="F320" s="3532"/>
      <c r="G320" s="3532"/>
      <c r="H320" s="3532"/>
      <c r="I320" s="3532"/>
      <c r="J320" s="3532"/>
      <c r="K320" s="3532"/>
      <c r="L320" s="3532"/>
      <c r="M320" s="3532"/>
      <c r="N320" s="3532"/>
      <c r="O320" s="3532"/>
      <c r="P320" s="3532"/>
      <c r="Q320" s="3533"/>
      <c r="R320" s="445" t="s">
        <v>1253</v>
      </c>
      <c r="S320" s="446"/>
      <c r="U320" s="135"/>
      <c r="V320" s="135"/>
      <c r="W320" s="135"/>
      <c r="X320" s="135"/>
      <c r="Y320" s="135"/>
      <c r="Z320" s="135"/>
      <c r="AA320" s="135"/>
      <c r="AB320" s="135"/>
      <c r="AC320" s="135"/>
      <c r="AD320" s="135"/>
      <c r="AE320" s="465"/>
    </row>
    <row r="321" spans="1:256 1523:1523" ht="11.25" customHeight="1">
      <c r="B321" s="136" t="s">
        <v>1865</v>
      </c>
      <c r="C321" s="137"/>
      <c r="D321" s="2291"/>
      <c r="E321" s="2291"/>
      <c r="F321" s="2291"/>
      <c r="G321" s="2291"/>
      <c r="H321" s="2291"/>
      <c r="I321" s="2291"/>
      <c r="J321" s="2291"/>
      <c r="K321" s="2291"/>
      <c r="L321" s="2291"/>
      <c r="M321" s="2291"/>
      <c r="N321" s="2291"/>
      <c r="O321" s="2291"/>
      <c r="P321" s="2291"/>
      <c r="Q321" s="2291"/>
    </row>
    <row r="322" spans="1:256 1523:1523" ht="45.75" customHeight="1">
      <c r="A322" s="3557"/>
      <c r="B322" s="3558"/>
      <c r="C322" s="3558"/>
      <c r="D322" s="3558"/>
      <c r="E322" s="3558"/>
      <c r="F322" s="3558"/>
      <c r="G322" s="3558"/>
      <c r="H322" s="3558"/>
      <c r="I322" s="3558"/>
      <c r="J322" s="3558"/>
      <c r="K322" s="3558"/>
      <c r="L322" s="3558"/>
      <c r="M322" s="3558"/>
      <c r="N322" s="3558"/>
      <c r="O322" s="3558"/>
      <c r="P322" s="3558"/>
      <c r="Q322" s="3559"/>
    </row>
    <row r="323" spans="1:256 1523:1523" ht="13.95" customHeight="1">
      <c r="A323" s="2285" t="s">
        <v>4097</v>
      </c>
      <c r="B323" s="9" t="s">
        <v>2665</v>
      </c>
      <c r="C323" s="9"/>
      <c r="D323" s="9"/>
      <c r="E323" s="9"/>
      <c r="F323" s="9"/>
      <c r="G323" s="9"/>
      <c r="H323" s="2291"/>
      <c r="I323" s="2291"/>
      <c r="J323" s="2291"/>
      <c r="K323" s="2291"/>
      <c r="L323" s="2291"/>
      <c r="M323" s="2291"/>
      <c r="O323" s="131" t="s">
        <v>1866</v>
      </c>
      <c r="P323" s="3560"/>
      <c r="Q323" s="3561"/>
    </row>
    <row r="324" spans="1:256 1523:1523" ht="11.7" customHeight="1">
      <c r="B324" s="144" t="s">
        <v>2251</v>
      </c>
      <c r="P324" s="2671" t="s">
        <v>2988</v>
      </c>
      <c r="Q324" s="534"/>
    </row>
    <row r="325" spans="1:256 1523:1523" ht="12" customHeight="1">
      <c r="B325" s="879" t="s">
        <v>2210</v>
      </c>
      <c r="C325" s="879"/>
      <c r="D325" s="879"/>
      <c r="E325" s="879"/>
      <c r="F325" s="879"/>
      <c r="G325" s="879"/>
      <c r="H325" s="879"/>
      <c r="I325" s="879"/>
      <c r="J325" s="879"/>
      <c r="K325" s="879"/>
      <c r="L325" s="879"/>
      <c r="P325" s="2673" t="s">
        <v>2988</v>
      </c>
      <c r="Q325" s="536"/>
    </row>
    <row r="326" spans="1:256 1523:1523" ht="11.7" customHeight="1">
      <c r="A326" s="141" t="s">
        <v>1982</v>
      </c>
      <c r="B326" s="180" t="s">
        <v>459</v>
      </c>
      <c r="D326" s="897"/>
      <c r="E326" s="897"/>
      <c r="F326" s="897"/>
      <c r="G326" s="897"/>
      <c r="H326" s="897"/>
      <c r="I326" s="897"/>
      <c r="J326" s="897"/>
      <c r="K326" s="897"/>
      <c r="L326" s="897"/>
      <c r="M326" s="897"/>
      <c r="N326" s="160"/>
    </row>
    <row r="327" spans="1:256 1523:1523" ht="22.5" customHeight="1">
      <c r="B327" s="3486" t="s">
        <v>2879</v>
      </c>
      <c r="C327" s="3486"/>
      <c r="D327" s="3486"/>
      <c r="E327" s="3486"/>
      <c r="F327" s="3486"/>
      <c r="G327" s="3486"/>
      <c r="H327" s="3486"/>
      <c r="I327" s="3486"/>
      <c r="J327" s="3486"/>
      <c r="K327" s="3486"/>
      <c r="L327" s="3486"/>
      <c r="M327" s="3486"/>
      <c r="N327" s="3486"/>
      <c r="O327" s="160" t="s">
        <v>1982</v>
      </c>
      <c r="P327" s="2692" t="s">
        <v>2988</v>
      </c>
      <c r="Q327" s="537"/>
    </row>
    <row r="328" spans="1:256 1523:1523" ht="12.6" customHeight="1">
      <c r="A328" s="141" t="s">
        <v>1984</v>
      </c>
      <c r="B328" s="214" t="s">
        <v>460</v>
      </c>
      <c r="D328" s="214"/>
      <c r="E328" s="214"/>
      <c r="F328" s="214"/>
      <c r="G328" s="214"/>
      <c r="H328" s="214"/>
      <c r="I328" s="214"/>
      <c r="J328" s="214"/>
      <c r="K328" s="214"/>
      <c r="L328" s="214"/>
      <c r="M328" s="214"/>
      <c r="O328" s="160" t="s">
        <v>1984</v>
      </c>
      <c r="P328" s="2288"/>
      <c r="Q328" s="896"/>
    </row>
    <row r="329" spans="1:256 1523:1523" ht="36" customHeight="1">
      <c r="B329" s="879" t="s">
        <v>1736</v>
      </c>
      <c r="C329" s="213" t="s">
        <v>1130</v>
      </c>
      <c r="E329" s="132"/>
      <c r="F329" s="132"/>
      <c r="G329" s="3541" t="s">
        <v>4922</v>
      </c>
      <c r="H329" s="3542"/>
      <c r="I329" s="3542"/>
      <c r="J329" s="3542"/>
      <c r="K329" s="3542"/>
      <c r="L329" s="3542"/>
      <c r="M329" s="3542"/>
      <c r="N329" s="3543"/>
      <c r="O329" s="216" t="s">
        <v>1736</v>
      </c>
      <c r="P329" s="2683" t="s">
        <v>2988</v>
      </c>
      <c r="Q329" s="1149"/>
      <c r="BFO329" s="147" t="s">
        <v>2725</v>
      </c>
    </row>
    <row r="330" spans="1:256 1523:1523" ht="23.25" customHeight="1">
      <c r="B330" s="879" t="s">
        <v>1737</v>
      </c>
      <c r="C330" s="3486" t="s">
        <v>1131</v>
      </c>
      <c r="D330" s="3486"/>
      <c r="E330" s="3486"/>
      <c r="F330" s="3562"/>
      <c r="G330" s="2957" t="s">
        <v>3763</v>
      </c>
      <c r="H330" s="3544"/>
      <c r="I330" s="3544"/>
      <c r="J330" s="3544"/>
      <c r="K330" s="3544"/>
      <c r="L330" s="3544"/>
      <c r="M330" s="3544"/>
      <c r="N330" s="3545"/>
      <c r="O330" s="216" t="s">
        <v>1737</v>
      </c>
      <c r="P330" s="2684" t="s">
        <v>2988</v>
      </c>
      <c r="Q330" s="2303"/>
    </row>
    <row r="331" spans="1:256 1523:1523" ht="3" customHeight="1">
      <c r="A331" s="2288"/>
      <c r="B331" s="1168"/>
      <c r="C331" s="2288"/>
      <c r="D331" s="2288"/>
      <c r="E331" s="2288"/>
      <c r="F331" s="2288"/>
      <c r="G331" s="2288"/>
      <c r="H331" s="2288"/>
      <c r="I331" s="2288"/>
      <c r="J331" s="2288"/>
      <c r="K331" s="2288"/>
      <c r="L331" s="2288"/>
      <c r="M331" s="2288"/>
      <c r="N331" s="2288"/>
      <c r="O331" s="2288"/>
      <c r="P331" s="2288"/>
      <c r="Q331" s="2288"/>
      <c r="R331" s="2288"/>
      <c r="S331" s="2288"/>
      <c r="T331" s="2288"/>
      <c r="U331" s="2288"/>
      <c r="V331" s="2288"/>
      <c r="W331" s="2288"/>
      <c r="X331" s="2288"/>
      <c r="Y331" s="2288"/>
      <c r="Z331" s="2288"/>
      <c r="AA331" s="2288"/>
      <c r="AB331" s="2288"/>
      <c r="AC331" s="2288"/>
      <c r="AD331" s="2288"/>
      <c r="AE331" s="896"/>
      <c r="AF331" s="896"/>
      <c r="AG331" s="2288"/>
      <c r="AH331" s="2288"/>
      <c r="AI331" s="2288"/>
      <c r="AJ331" s="2288"/>
      <c r="AK331" s="2288"/>
      <c r="AL331" s="2288"/>
      <c r="AM331" s="2288"/>
      <c r="AN331" s="2288"/>
      <c r="AO331" s="2288"/>
      <c r="AP331" s="2288"/>
      <c r="AQ331" s="2288"/>
      <c r="AR331" s="2288"/>
      <c r="AS331" s="2288"/>
      <c r="AT331" s="2288"/>
      <c r="AU331" s="2288"/>
      <c r="AV331" s="2288"/>
      <c r="AW331" s="2288"/>
      <c r="AX331" s="2288"/>
      <c r="AY331" s="2288"/>
      <c r="AZ331" s="2288"/>
      <c r="BA331" s="2288"/>
      <c r="BB331" s="2288"/>
      <c r="BC331" s="2288"/>
      <c r="BD331" s="2288"/>
      <c r="BE331" s="2288"/>
      <c r="BF331" s="2288"/>
      <c r="BG331" s="2288"/>
      <c r="BH331" s="2288"/>
      <c r="BI331" s="2288"/>
      <c r="BJ331" s="2288"/>
      <c r="BK331" s="2288"/>
      <c r="BL331" s="2288"/>
      <c r="BM331" s="2288"/>
      <c r="BN331" s="2288"/>
      <c r="BO331" s="2288"/>
      <c r="BP331" s="2288"/>
      <c r="BQ331" s="2288"/>
      <c r="BR331" s="2288"/>
      <c r="BS331" s="2288"/>
      <c r="BT331" s="2288"/>
      <c r="BU331" s="2288"/>
      <c r="BV331" s="2288"/>
      <c r="BW331" s="2288"/>
      <c r="BX331" s="2288"/>
      <c r="BY331" s="2288"/>
      <c r="BZ331" s="2288"/>
      <c r="CA331" s="2288"/>
      <c r="CB331" s="2288"/>
      <c r="CC331" s="2288"/>
      <c r="CD331" s="2288"/>
      <c r="CE331" s="2288"/>
      <c r="CF331" s="2288"/>
      <c r="CG331" s="2288"/>
      <c r="CH331" s="2288"/>
      <c r="CI331" s="2288"/>
      <c r="CJ331" s="2288"/>
      <c r="CK331" s="2288"/>
      <c r="CL331" s="2288"/>
      <c r="CM331" s="2288"/>
      <c r="CN331" s="2288"/>
      <c r="CO331" s="2288"/>
      <c r="CP331" s="2288"/>
      <c r="CQ331" s="2288"/>
      <c r="CR331" s="2288"/>
      <c r="CS331" s="2288"/>
      <c r="CT331" s="2288"/>
      <c r="CU331" s="2288"/>
      <c r="CV331" s="2288"/>
      <c r="CW331" s="2288"/>
      <c r="CX331" s="2288"/>
      <c r="CY331" s="2288"/>
      <c r="CZ331" s="2288"/>
      <c r="DA331" s="2288"/>
      <c r="DB331" s="2288"/>
      <c r="DC331" s="2288"/>
      <c r="DD331" s="2288"/>
      <c r="DE331" s="2288"/>
      <c r="DF331" s="2288"/>
      <c r="DG331" s="2288"/>
      <c r="DH331" s="2288"/>
      <c r="DI331" s="2288"/>
      <c r="DJ331" s="2288"/>
      <c r="DK331" s="2288"/>
      <c r="DL331" s="2288"/>
      <c r="DM331" s="2288"/>
      <c r="DN331" s="2288"/>
      <c r="DO331" s="2288"/>
      <c r="DP331" s="2288"/>
      <c r="DQ331" s="2288"/>
      <c r="DR331" s="2288"/>
      <c r="DS331" s="2288"/>
      <c r="DT331" s="2288"/>
      <c r="DU331" s="2288"/>
      <c r="DV331" s="2288"/>
      <c r="DW331" s="2288"/>
      <c r="DX331" s="2288"/>
      <c r="DY331" s="2288"/>
      <c r="DZ331" s="2288"/>
      <c r="EA331" s="2288"/>
      <c r="EB331" s="2288"/>
      <c r="EC331" s="2288"/>
      <c r="ED331" s="2288"/>
      <c r="EE331" s="2288"/>
      <c r="EF331" s="2288"/>
      <c r="EG331" s="2288"/>
      <c r="EH331" s="2288"/>
      <c r="EI331" s="2288"/>
      <c r="EJ331" s="2288"/>
      <c r="EK331" s="2288"/>
      <c r="EL331" s="2288"/>
      <c r="EM331" s="2288"/>
      <c r="EN331" s="2288"/>
      <c r="EO331" s="2288"/>
      <c r="EP331" s="2288"/>
      <c r="EQ331" s="2288"/>
      <c r="ER331" s="2288"/>
      <c r="ES331" s="2288"/>
      <c r="ET331" s="2288"/>
      <c r="EU331" s="2288"/>
      <c r="EV331" s="2288"/>
      <c r="EW331" s="2288"/>
      <c r="EX331" s="2288"/>
      <c r="EY331" s="2288"/>
      <c r="EZ331" s="2288"/>
      <c r="FA331" s="2288"/>
      <c r="FB331" s="2288"/>
      <c r="FC331" s="2288"/>
      <c r="FD331" s="2288"/>
      <c r="FE331" s="2288"/>
      <c r="FF331" s="2288"/>
      <c r="FG331" s="2288"/>
      <c r="FH331" s="2288"/>
      <c r="FI331" s="2288"/>
      <c r="FJ331" s="2288"/>
      <c r="FK331" s="2288"/>
      <c r="FL331" s="2288"/>
      <c r="FM331" s="2288"/>
      <c r="FN331" s="2288"/>
      <c r="FO331" s="2288"/>
      <c r="FP331" s="2288"/>
      <c r="FQ331" s="2288"/>
      <c r="FR331" s="2288"/>
      <c r="FS331" s="2288"/>
      <c r="FT331" s="2288"/>
      <c r="FU331" s="2288"/>
      <c r="FV331" s="2288"/>
      <c r="FW331" s="2288"/>
      <c r="FX331" s="2288"/>
      <c r="FY331" s="2288"/>
      <c r="FZ331" s="2288"/>
      <c r="GA331" s="2288"/>
      <c r="GB331" s="2288"/>
      <c r="GC331" s="2288"/>
      <c r="GD331" s="2288"/>
      <c r="GE331" s="2288"/>
      <c r="GF331" s="2288"/>
      <c r="GG331" s="2288"/>
      <c r="GH331" s="2288"/>
      <c r="GI331" s="2288"/>
      <c r="GJ331" s="2288"/>
      <c r="GK331" s="2288"/>
      <c r="GL331" s="2288"/>
      <c r="GM331" s="2288"/>
      <c r="GN331" s="2288"/>
      <c r="GO331" s="2288"/>
      <c r="GP331" s="2288"/>
      <c r="GQ331" s="2288"/>
      <c r="GR331" s="2288"/>
      <c r="GS331" s="2288"/>
      <c r="GT331" s="2288"/>
      <c r="GU331" s="2288"/>
      <c r="GV331" s="2288"/>
      <c r="GW331" s="2288"/>
      <c r="GX331" s="2288"/>
      <c r="GY331" s="2288"/>
      <c r="GZ331" s="2288"/>
      <c r="HA331" s="2288"/>
      <c r="HB331" s="2288"/>
      <c r="HC331" s="2288"/>
      <c r="HD331" s="2288"/>
      <c r="HE331" s="2288"/>
      <c r="HF331" s="2288"/>
      <c r="HG331" s="2288"/>
      <c r="HH331" s="2288"/>
      <c r="HI331" s="2288"/>
      <c r="HJ331" s="2288"/>
      <c r="HK331" s="2288"/>
      <c r="HL331" s="2288"/>
      <c r="HM331" s="2288"/>
      <c r="HN331" s="2288"/>
      <c r="HO331" s="2288"/>
      <c r="HP331" s="2288"/>
      <c r="HQ331" s="2288"/>
      <c r="HR331" s="2288"/>
      <c r="HS331" s="2288"/>
      <c r="HT331" s="2288"/>
      <c r="HU331" s="2288"/>
      <c r="HV331" s="2288"/>
      <c r="HW331" s="2288"/>
      <c r="HX331" s="2288"/>
      <c r="HY331" s="2288"/>
      <c r="HZ331" s="2288"/>
      <c r="IA331" s="2288"/>
      <c r="IB331" s="2288"/>
      <c r="IC331" s="2288"/>
      <c r="ID331" s="2288"/>
      <c r="IE331" s="2288"/>
      <c r="IF331" s="2288"/>
      <c r="IG331" s="2288"/>
      <c r="IH331" s="2288"/>
      <c r="II331" s="2288"/>
      <c r="IJ331" s="2288"/>
      <c r="IK331" s="2288"/>
      <c r="IL331" s="2288"/>
      <c r="IM331" s="2288"/>
      <c r="IN331" s="2288"/>
      <c r="IO331" s="2288"/>
      <c r="IP331" s="2288"/>
      <c r="IQ331" s="2288"/>
      <c r="IR331" s="2288"/>
      <c r="IS331" s="2288"/>
      <c r="IT331" s="2288"/>
      <c r="IU331" s="2288"/>
      <c r="IV331" s="2288"/>
    </row>
    <row r="332" spans="1:256 1523:1523" s="132" customFormat="1" ht="22.5" customHeight="1">
      <c r="A332" s="141" t="s">
        <v>748</v>
      </c>
      <c r="B332" s="3583" t="s">
        <v>2671</v>
      </c>
      <c r="C332" s="3583"/>
      <c r="D332" s="3583"/>
      <c r="E332" s="3583"/>
      <c r="F332" s="3583"/>
      <c r="G332" s="3583"/>
      <c r="H332" s="3583"/>
      <c r="I332" s="3583"/>
      <c r="J332" s="3583"/>
      <c r="K332" s="3583"/>
      <c r="L332" s="3583"/>
      <c r="M332" s="3583"/>
      <c r="N332" s="3583"/>
      <c r="O332" s="443" t="s">
        <v>748</v>
      </c>
      <c r="P332" s="2288"/>
      <c r="Q332" s="896"/>
      <c r="AE332" s="466"/>
      <c r="AF332" s="466"/>
    </row>
    <row r="333" spans="1:256 1523:1523" s="132" customFormat="1" ht="11.25" customHeight="1">
      <c r="A333" s="143"/>
      <c r="B333" s="879" t="s">
        <v>1736</v>
      </c>
      <c r="C333" s="3563" t="s">
        <v>5229</v>
      </c>
      <c r="D333" s="3564"/>
      <c r="E333" s="3564"/>
      <c r="F333" s="3564"/>
      <c r="G333" s="3564"/>
      <c r="H333" s="3564"/>
      <c r="I333" s="3564"/>
      <c r="J333" s="3564"/>
      <c r="K333" s="3564"/>
      <c r="L333" s="3564"/>
      <c r="M333" s="3564"/>
      <c r="N333" s="3565"/>
      <c r="O333" s="216" t="s">
        <v>1736</v>
      </c>
      <c r="P333" s="2683" t="s">
        <v>2988</v>
      </c>
      <c r="Q333" s="1149"/>
      <c r="AE333" s="466"/>
      <c r="AF333" s="466"/>
    </row>
    <row r="334" spans="1:256 1523:1523" s="132" customFormat="1" ht="11.25" customHeight="1">
      <c r="A334" s="143"/>
      <c r="B334" s="879" t="s">
        <v>1737</v>
      </c>
      <c r="C334" s="3584" t="s">
        <v>5230</v>
      </c>
      <c r="D334" s="3585"/>
      <c r="E334" s="3585"/>
      <c r="F334" s="3585"/>
      <c r="G334" s="3585"/>
      <c r="H334" s="3585"/>
      <c r="I334" s="3585"/>
      <c r="J334" s="3585"/>
      <c r="K334" s="3585"/>
      <c r="L334" s="3585"/>
      <c r="M334" s="3585"/>
      <c r="N334" s="3586"/>
      <c r="O334" s="216" t="s">
        <v>1737</v>
      </c>
      <c r="P334" s="2684" t="s">
        <v>2988</v>
      </c>
      <c r="Q334" s="2303"/>
      <c r="AE334" s="466"/>
      <c r="AF334" s="466"/>
    </row>
    <row r="335" spans="1:256 1523:1523" ht="3" customHeight="1">
      <c r="A335" s="2288"/>
      <c r="B335" s="2288"/>
      <c r="C335" s="2288"/>
      <c r="D335" s="2288"/>
      <c r="E335" s="2288"/>
      <c r="F335" s="2288"/>
      <c r="G335" s="2288"/>
      <c r="H335" s="2288"/>
      <c r="I335" s="2288"/>
      <c r="J335" s="2288"/>
      <c r="K335" s="2288"/>
      <c r="L335" s="2288"/>
      <c r="M335" s="2288"/>
      <c r="N335" s="2288"/>
      <c r="O335" s="2288"/>
      <c r="P335" s="2288"/>
      <c r="Q335" s="2288"/>
      <c r="R335" s="2288"/>
      <c r="S335" s="2288"/>
      <c r="T335" s="2288"/>
      <c r="U335" s="2288"/>
      <c r="V335" s="2288"/>
      <c r="W335" s="2288"/>
      <c r="X335" s="2288"/>
      <c r="Y335" s="2288"/>
      <c r="Z335" s="2288"/>
      <c r="AA335" s="2288"/>
      <c r="AB335" s="2288"/>
      <c r="AC335" s="2288"/>
      <c r="AD335" s="2288"/>
      <c r="AE335" s="896"/>
      <c r="AF335" s="896"/>
      <c r="AG335" s="2288"/>
      <c r="AH335" s="2288"/>
      <c r="AI335" s="2288"/>
      <c r="AJ335" s="2288"/>
      <c r="AK335" s="2288"/>
      <c r="AL335" s="2288"/>
      <c r="AM335" s="2288"/>
      <c r="AN335" s="2288"/>
      <c r="AO335" s="2288"/>
      <c r="AP335" s="2288"/>
      <c r="AQ335" s="2288"/>
      <c r="AR335" s="2288"/>
      <c r="AS335" s="2288"/>
      <c r="AT335" s="2288"/>
      <c r="AU335" s="2288"/>
      <c r="AV335" s="2288"/>
      <c r="AW335" s="2288"/>
      <c r="AX335" s="2288"/>
      <c r="AY335" s="2288"/>
      <c r="AZ335" s="2288"/>
      <c r="BA335" s="2288"/>
      <c r="BB335" s="2288"/>
      <c r="BC335" s="2288"/>
      <c r="BD335" s="2288"/>
      <c r="BE335" s="2288"/>
      <c r="BF335" s="2288"/>
      <c r="BG335" s="2288"/>
      <c r="BH335" s="2288"/>
      <c r="BI335" s="2288"/>
      <c r="BJ335" s="2288"/>
      <c r="BK335" s="2288"/>
      <c r="BL335" s="2288"/>
      <c r="BM335" s="2288"/>
      <c r="BN335" s="2288"/>
      <c r="BO335" s="2288"/>
      <c r="BP335" s="2288"/>
      <c r="BQ335" s="2288"/>
      <c r="BR335" s="2288"/>
      <c r="BS335" s="2288"/>
      <c r="BT335" s="2288"/>
      <c r="BU335" s="2288"/>
      <c r="BV335" s="2288"/>
      <c r="BW335" s="2288"/>
      <c r="BX335" s="2288"/>
      <c r="BY335" s="2288"/>
      <c r="BZ335" s="2288"/>
      <c r="CA335" s="2288"/>
      <c r="CB335" s="2288"/>
      <c r="CC335" s="2288"/>
      <c r="CD335" s="2288"/>
      <c r="CE335" s="2288"/>
      <c r="CF335" s="2288"/>
      <c r="CG335" s="2288"/>
      <c r="CH335" s="2288"/>
      <c r="CI335" s="2288"/>
      <c r="CJ335" s="2288"/>
      <c r="CK335" s="2288"/>
      <c r="CL335" s="2288"/>
      <c r="CM335" s="2288"/>
      <c r="CN335" s="2288"/>
      <c r="CO335" s="2288"/>
      <c r="CP335" s="2288"/>
      <c r="CQ335" s="2288"/>
      <c r="CR335" s="2288"/>
      <c r="CS335" s="2288"/>
      <c r="CT335" s="2288"/>
      <c r="CU335" s="2288"/>
      <c r="CV335" s="2288"/>
      <c r="CW335" s="2288"/>
      <c r="CX335" s="2288"/>
      <c r="CY335" s="2288"/>
      <c r="CZ335" s="2288"/>
      <c r="DA335" s="2288"/>
      <c r="DB335" s="2288"/>
      <c r="DC335" s="2288"/>
      <c r="DD335" s="2288"/>
      <c r="DE335" s="2288"/>
      <c r="DF335" s="2288"/>
      <c r="DG335" s="2288"/>
      <c r="DH335" s="2288"/>
      <c r="DI335" s="2288"/>
      <c r="DJ335" s="2288"/>
      <c r="DK335" s="2288"/>
      <c r="DL335" s="2288"/>
      <c r="DM335" s="2288"/>
      <c r="DN335" s="2288"/>
      <c r="DO335" s="2288"/>
      <c r="DP335" s="2288"/>
      <c r="DQ335" s="2288"/>
      <c r="DR335" s="2288"/>
      <c r="DS335" s="2288"/>
      <c r="DT335" s="2288"/>
      <c r="DU335" s="2288"/>
      <c r="DV335" s="2288"/>
      <c r="DW335" s="2288"/>
      <c r="DX335" s="2288"/>
      <c r="DY335" s="2288"/>
      <c r="DZ335" s="2288"/>
      <c r="EA335" s="2288"/>
      <c r="EB335" s="2288"/>
      <c r="EC335" s="2288"/>
      <c r="ED335" s="2288"/>
      <c r="EE335" s="2288"/>
      <c r="EF335" s="2288"/>
      <c r="EG335" s="2288"/>
      <c r="EH335" s="2288"/>
      <c r="EI335" s="2288"/>
      <c r="EJ335" s="2288"/>
      <c r="EK335" s="2288"/>
      <c r="EL335" s="2288"/>
      <c r="EM335" s="2288"/>
      <c r="EN335" s="2288"/>
      <c r="EO335" s="2288"/>
      <c r="EP335" s="2288"/>
      <c r="EQ335" s="2288"/>
      <c r="ER335" s="2288"/>
      <c r="ES335" s="2288"/>
      <c r="ET335" s="2288"/>
      <c r="EU335" s="2288"/>
      <c r="EV335" s="2288"/>
      <c r="EW335" s="2288"/>
      <c r="EX335" s="2288"/>
      <c r="EY335" s="2288"/>
      <c r="EZ335" s="2288"/>
      <c r="FA335" s="2288"/>
      <c r="FB335" s="2288"/>
      <c r="FC335" s="2288"/>
      <c r="FD335" s="2288"/>
      <c r="FE335" s="2288"/>
      <c r="FF335" s="2288"/>
      <c r="FG335" s="2288"/>
      <c r="FH335" s="2288"/>
      <c r="FI335" s="2288"/>
      <c r="FJ335" s="2288"/>
      <c r="FK335" s="2288"/>
      <c r="FL335" s="2288"/>
      <c r="FM335" s="2288"/>
      <c r="FN335" s="2288"/>
      <c r="FO335" s="2288"/>
      <c r="FP335" s="2288"/>
      <c r="FQ335" s="2288"/>
      <c r="FR335" s="2288"/>
      <c r="FS335" s="2288"/>
      <c r="FT335" s="2288"/>
      <c r="FU335" s="2288"/>
      <c r="FV335" s="2288"/>
      <c r="FW335" s="2288"/>
      <c r="FX335" s="2288"/>
      <c r="FY335" s="2288"/>
      <c r="FZ335" s="2288"/>
      <c r="GA335" s="2288"/>
      <c r="GB335" s="2288"/>
      <c r="GC335" s="2288"/>
      <c r="GD335" s="2288"/>
      <c r="GE335" s="2288"/>
      <c r="GF335" s="2288"/>
      <c r="GG335" s="2288"/>
      <c r="GH335" s="2288"/>
      <c r="GI335" s="2288"/>
      <c r="GJ335" s="2288"/>
      <c r="GK335" s="2288"/>
      <c r="GL335" s="2288"/>
      <c r="GM335" s="2288"/>
      <c r="GN335" s="2288"/>
      <c r="GO335" s="2288"/>
      <c r="GP335" s="2288"/>
      <c r="GQ335" s="2288"/>
      <c r="GR335" s="2288"/>
      <c r="GS335" s="2288"/>
      <c r="GT335" s="2288"/>
      <c r="GU335" s="2288"/>
      <c r="GV335" s="2288"/>
      <c r="GW335" s="2288"/>
      <c r="GX335" s="2288"/>
      <c r="GY335" s="2288"/>
      <c r="GZ335" s="2288"/>
      <c r="HA335" s="2288"/>
      <c r="HB335" s="2288"/>
      <c r="HC335" s="2288"/>
      <c r="HD335" s="2288"/>
      <c r="HE335" s="2288"/>
      <c r="HF335" s="2288"/>
      <c r="HG335" s="2288"/>
      <c r="HH335" s="2288"/>
      <c r="HI335" s="2288"/>
      <c r="HJ335" s="2288"/>
      <c r="HK335" s="2288"/>
      <c r="HL335" s="2288"/>
      <c r="HM335" s="2288"/>
      <c r="HN335" s="2288"/>
      <c r="HO335" s="2288"/>
      <c r="HP335" s="2288"/>
      <c r="HQ335" s="2288"/>
      <c r="HR335" s="2288"/>
      <c r="HS335" s="2288"/>
      <c r="HT335" s="2288"/>
      <c r="HU335" s="2288"/>
      <c r="HV335" s="2288"/>
      <c r="HW335" s="2288"/>
      <c r="HX335" s="2288"/>
      <c r="HY335" s="2288"/>
      <c r="HZ335" s="2288"/>
      <c r="IA335" s="2288"/>
      <c r="IB335" s="2288"/>
      <c r="IC335" s="2288"/>
      <c r="ID335" s="2288"/>
      <c r="IE335" s="2288"/>
      <c r="IF335" s="2288"/>
      <c r="IG335" s="2288"/>
      <c r="IH335" s="2288"/>
      <c r="II335" s="2288"/>
      <c r="IJ335" s="2288"/>
      <c r="IK335" s="2288"/>
      <c r="IL335" s="2288"/>
      <c r="IM335" s="2288"/>
      <c r="IN335" s="2288"/>
      <c r="IO335" s="2288"/>
      <c r="IP335" s="2288"/>
      <c r="IQ335" s="2288"/>
      <c r="IR335" s="2288"/>
      <c r="IS335" s="2288"/>
      <c r="IT335" s="2288"/>
      <c r="IU335" s="2288"/>
      <c r="IV335" s="2288"/>
    </row>
    <row r="336" spans="1:256 1523:1523" ht="11.25" customHeight="1">
      <c r="B336" s="140" t="s">
        <v>3751</v>
      </c>
      <c r="D336" s="140"/>
      <c r="E336" s="140"/>
      <c r="F336" s="140"/>
      <c r="G336" s="140"/>
      <c r="H336" s="39"/>
      <c r="I336" s="2300"/>
      <c r="J336" s="2300"/>
      <c r="K336" s="2300"/>
      <c r="L336" s="2288"/>
      <c r="M336" s="2288"/>
      <c r="N336" s="2288"/>
      <c r="O336" s="2288"/>
      <c r="P336" s="2288"/>
      <c r="Q336" s="896"/>
    </row>
    <row r="337" spans="1:31" ht="11.7" customHeight="1">
      <c r="A337" s="3531" t="s">
        <v>5231</v>
      </c>
      <c r="B337" s="3532"/>
      <c r="C337" s="3532"/>
      <c r="D337" s="3532"/>
      <c r="E337" s="3532"/>
      <c r="F337" s="3532"/>
      <c r="G337" s="3532"/>
      <c r="H337" s="3532"/>
      <c r="I337" s="3532"/>
      <c r="J337" s="3532"/>
      <c r="K337" s="3532"/>
      <c r="L337" s="3532"/>
      <c r="M337" s="3532"/>
      <c r="N337" s="3532"/>
      <c r="O337" s="3532"/>
      <c r="P337" s="3532"/>
      <c r="Q337" s="3533"/>
      <c r="R337" s="464" t="s">
        <v>1253</v>
      </c>
      <c r="S337" s="121"/>
      <c r="U337" s="135"/>
      <c r="V337" s="135"/>
      <c r="W337" s="135"/>
      <c r="X337" s="135"/>
      <c r="Y337" s="135"/>
      <c r="Z337" s="135"/>
      <c r="AA337" s="135"/>
      <c r="AB337" s="135"/>
      <c r="AC337" s="135"/>
      <c r="AD337" s="135"/>
      <c r="AE337" s="465"/>
    </row>
    <row r="338" spans="1:31" ht="11.25" customHeight="1">
      <c r="B338" s="136" t="s">
        <v>1865</v>
      </c>
      <c r="C338" s="137"/>
      <c r="D338" s="2291"/>
      <c r="E338" s="2291"/>
      <c r="F338" s="2291"/>
      <c r="G338" s="2291"/>
      <c r="H338" s="2291"/>
      <c r="I338" s="2291"/>
      <c r="J338" s="2291"/>
      <c r="K338" s="2291"/>
      <c r="L338" s="2291"/>
      <c r="M338" s="2291"/>
      <c r="N338" s="2291"/>
      <c r="O338" s="2291"/>
      <c r="P338" s="2291"/>
      <c r="Q338" s="2291"/>
    </row>
    <row r="339" spans="1:31" ht="11.7" customHeight="1">
      <c r="A339" s="3487"/>
      <c r="B339" s="3488"/>
      <c r="C339" s="3488"/>
      <c r="D339" s="3488"/>
      <c r="E339" s="3488"/>
      <c r="F339" s="3488"/>
      <c r="G339" s="3488"/>
      <c r="H339" s="3488"/>
      <c r="I339" s="3488"/>
      <c r="J339" s="3488"/>
      <c r="K339" s="3488"/>
      <c r="L339" s="3488"/>
      <c r="M339" s="3488"/>
      <c r="N339" s="3488"/>
      <c r="O339" s="3488"/>
      <c r="P339" s="3488"/>
      <c r="Q339" s="3489"/>
    </row>
    <row r="340" spans="1:31" ht="13.95" customHeight="1">
      <c r="A340" s="2285" t="s">
        <v>4100</v>
      </c>
      <c r="B340" s="2285" t="s">
        <v>4138</v>
      </c>
      <c r="C340" s="2285"/>
      <c r="D340" s="2291"/>
      <c r="E340" s="2291"/>
      <c r="F340" s="2291"/>
      <c r="G340" s="2291"/>
      <c r="H340" s="2291"/>
      <c r="O340" s="131" t="s">
        <v>1866</v>
      </c>
      <c r="P340" s="3490"/>
      <c r="Q340" s="3491"/>
    </row>
    <row r="341" spans="1:31" ht="11.7" customHeight="1">
      <c r="A341" s="46" t="s">
        <v>1982</v>
      </c>
      <c r="B341" s="54" t="s">
        <v>4995</v>
      </c>
      <c r="O341" s="160" t="s">
        <v>1982</v>
      </c>
      <c r="P341" s="2671" t="s">
        <v>2988</v>
      </c>
      <c r="Q341" s="534"/>
    </row>
    <row r="342" spans="1:31" ht="11.7" customHeight="1">
      <c r="A342" s="141" t="s">
        <v>1984</v>
      </c>
      <c r="B342" s="54" t="s">
        <v>4086</v>
      </c>
      <c r="O342" s="160" t="s">
        <v>1984</v>
      </c>
      <c r="P342" s="2672" t="s">
        <v>2988</v>
      </c>
      <c r="Q342" s="535"/>
    </row>
    <row r="343" spans="1:31" ht="11.7" customHeight="1">
      <c r="A343" s="141" t="s">
        <v>748</v>
      </c>
      <c r="B343" s="144" t="s">
        <v>2349</v>
      </c>
      <c r="O343" s="160" t="s">
        <v>748</v>
      </c>
      <c r="P343" s="2672" t="s">
        <v>2991</v>
      </c>
      <c r="Q343" s="535"/>
    </row>
    <row r="344" spans="1:31" ht="11.7" customHeight="1">
      <c r="A344" s="46" t="s">
        <v>2114</v>
      </c>
      <c r="B344" s="54" t="s">
        <v>3839</v>
      </c>
      <c r="O344" s="463" t="s">
        <v>2114</v>
      </c>
      <c r="P344" s="2673" t="s">
        <v>2991</v>
      </c>
      <c r="Q344" s="536"/>
    </row>
    <row r="345" spans="1:31" ht="11.7" customHeight="1">
      <c r="A345" s="141" t="s">
        <v>1734</v>
      </c>
      <c r="B345" s="54" t="s">
        <v>2882</v>
      </c>
      <c r="N345" s="160" t="s">
        <v>1734</v>
      </c>
      <c r="O345" s="3580" t="s">
        <v>3832</v>
      </c>
      <c r="P345" s="3581"/>
      <c r="Q345" s="3582"/>
    </row>
    <row r="346" spans="1:31" ht="11.7" customHeight="1">
      <c r="A346" s="141" t="s">
        <v>1735</v>
      </c>
      <c r="B346" s="410" t="s">
        <v>2350</v>
      </c>
      <c r="N346" s="160" t="s">
        <v>1735</v>
      </c>
      <c r="O346" s="3538" t="s">
        <v>2883</v>
      </c>
      <c r="P346" s="3539"/>
      <c r="Q346" s="3540"/>
    </row>
    <row r="347" spans="1:31" ht="11.25" customHeight="1">
      <c r="B347" s="140" t="s">
        <v>3751</v>
      </c>
      <c r="D347" s="140"/>
      <c r="E347" s="140"/>
      <c r="F347" s="140"/>
      <c r="G347" s="140"/>
      <c r="H347" s="39"/>
      <c r="I347" s="2300"/>
      <c r="J347" s="2300"/>
      <c r="K347" s="2300"/>
      <c r="L347" s="2288"/>
      <c r="M347" s="2288"/>
      <c r="N347" s="2288"/>
      <c r="O347" s="2288"/>
      <c r="P347" s="2288"/>
      <c r="Q347" s="896"/>
    </row>
    <row r="348" spans="1:31" ht="13.2" customHeight="1">
      <c r="A348" s="3531" t="s">
        <v>5232</v>
      </c>
      <c r="B348" s="3532"/>
      <c r="C348" s="3532"/>
      <c r="D348" s="3532"/>
      <c r="E348" s="3532"/>
      <c r="F348" s="3532"/>
      <c r="G348" s="3532"/>
      <c r="H348" s="3532"/>
      <c r="I348" s="3532"/>
      <c r="J348" s="3532"/>
      <c r="K348" s="3532"/>
      <c r="L348" s="3532"/>
      <c r="M348" s="3532"/>
      <c r="N348" s="3532"/>
      <c r="O348" s="3532"/>
      <c r="P348" s="3532"/>
      <c r="Q348" s="3533"/>
      <c r="R348" s="445" t="s">
        <v>1253</v>
      </c>
      <c r="S348" s="446"/>
      <c r="U348" s="135"/>
      <c r="V348" s="135"/>
      <c r="W348" s="135"/>
      <c r="X348" s="135"/>
      <c r="Y348" s="135"/>
      <c r="Z348" s="135"/>
      <c r="AA348" s="135"/>
      <c r="AB348" s="135"/>
      <c r="AC348" s="135"/>
      <c r="AD348" s="135"/>
      <c r="AE348" s="465"/>
    </row>
    <row r="349" spans="1:31" ht="11.25" customHeight="1">
      <c r="B349" s="136" t="s">
        <v>1865</v>
      </c>
      <c r="C349" s="137"/>
      <c r="D349" s="2291"/>
      <c r="E349" s="2291"/>
      <c r="F349" s="2291"/>
      <c r="G349" s="2291"/>
      <c r="H349" s="2291"/>
      <c r="I349" s="2291"/>
      <c r="J349" s="2291"/>
      <c r="K349" s="2291"/>
      <c r="L349" s="2291"/>
      <c r="M349" s="2291"/>
      <c r="N349" s="2291"/>
      <c r="O349" s="2291"/>
      <c r="P349" s="2291"/>
      <c r="Q349" s="2291"/>
    </row>
    <row r="350" spans="1:31" ht="13.2" customHeight="1">
      <c r="A350" s="3487"/>
      <c r="B350" s="3488"/>
      <c r="C350" s="3488"/>
      <c r="D350" s="3488"/>
      <c r="E350" s="3488"/>
      <c r="F350" s="3488"/>
      <c r="G350" s="3488"/>
      <c r="H350" s="3488"/>
      <c r="I350" s="3488"/>
      <c r="J350" s="3488"/>
      <c r="K350" s="3488"/>
      <c r="L350" s="3488"/>
      <c r="M350" s="3488"/>
      <c r="N350" s="3488"/>
      <c r="O350" s="3488"/>
      <c r="P350" s="3488"/>
      <c r="Q350" s="3489"/>
    </row>
    <row r="351" spans="1:31" ht="13.95" customHeight="1">
      <c r="A351" s="2285" t="s">
        <v>4101</v>
      </c>
      <c r="B351" s="3" t="s">
        <v>2666</v>
      </c>
      <c r="C351" s="3"/>
      <c r="D351" s="86"/>
      <c r="E351" s="2291"/>
      <c r="F351" s="2291"/>
      <c r="G351" s="2291"/>
      <c r="H351" s="2291"/>
      <c r="I351" s="2291"/>
      <c r="J351" s="2291"/>
      <c r="K351" s="2291"/>
      <c r="L351" s="2291"/>
      <c r="M351" s="2291"/>
      <c r="O351" s="131" t="s">
        <v>1866</v>
      </c>
      <c r="P351" s="3490"/>
      <c r="Q351" s="3491"/>
    </row>
    <row r="352" spans="1:31" ht="12.75" customHeight="1">
      <c r="A352" s="141" t="s">
        <v>1982</v>
      </c>
      <c r="B352" s="139" t="s">
        <v>3654</v>
      </c>
      <c r="D352" s="139"/>
      <c r="E352" s="139"/>
      <c r="F352" s="139"/>
      <c r="G352" s="139"/>
      <c r="H352" s="139"/>
      <c r="I352" s="139"/>
      <c r="J352" s="139"/>
      <c r="K352" s="139"/>
      <c r="L352" s="139"/>
      <c r="M352" s="139"/>
      <c r="N352" s="139"/>
      <c r="O352" s="160" t="s">
        <v>1982</v>
      </c>
      <c r="P352" s="2671" t="s">
        <v>2988</v>
      </c>
      <c r="Q352" s="534"/>
    </row>
    <row r="353" spans="1:32" ht="12.75" customHeight="1">
      <c r="A353" s="141" t="s">
        <v>1984</v>
      </c>
      <c r="B353" s="139" t="s">
        <v>3848</v>
      </c>
      <c r="D353" s="139"/>
      <c r="E353" s="139"/>
      <c r="F353" s="139"/>
      <c r="G353" s="139"/>
      <c r="H353" s="139"/>
      <c r="I353" s="139"/>
      <c r="J353" s="139"/>
      <c r="K353" s="139"/>
      <c r="L353" s="139"/>
      <c r="M353" s="139"/>
      <c r="N353" s="139"/>
      <c r="O353" s="160" t="s">
        <v>1984</v>
      </c>
      <c r="P353" s="2672" t="s">
        <v>2991</v>
      </c>
      <c r="Q353" s="535"/>
    </row>
    <row r="354" spans="1:32" ht="22.5" customHeight="1">
      <c r="A354" s="141" t="s">
        <v>748</v>
      </c>
      <c r="B354" s="3486" t="s">
        <v>4087</v>
      </c>
      <c r="C354" s="3486"/>
      <c r="D354" s="3486"/>
      <c r="E354" s="3486"/>
      <c r="F354" s="3486"/>
      <c r="G354" s="3486"/>
      <c r="H354" s="3486"/>
      <c r="I354" s="3486"/>
      <c r="J354" s="3486"/>
      <c r="K354" s="3486"/>
      <c r="L354" s="3486"/>
      <c r="M354" s="3486"/>
      <c r="N354" s="3486"/>
      <c r="O354" s="160" t="s">
        <v>748</v>
      </c>
      <c r="P354" s="2673" t="s">
        <v>2988</v>
      </c>
      <c r="Q354" s="536"/>
    </row>
    <row r="355" spans="1:32" ht="11.25" customHeight="1">
      <c r="B355" s="140" t="s">
        <v>3751</v>
      </c>
      <c r="D355" s="140"/>
      <c r="E355" s="140"/>
      <c r="F355" s="140"/>
      <c r="G355" s="140"/>
      <c r="H355" s="39"/>
      <c r="I355" s="2300"/>
      <c r="J355" s="2300"/>
      <c r="K355" s="2300"/>
      <c r="L355" s="2288"/>
      <c r="M355" s="2288"/>
      <c r="N355" s="2288"/>
      <c r="O355" s="2288"/>
      <c r="P355" s="2288"/>
      <c r="Q355" s="896"/>
    </row>
    <row r="356" spans="1:32" ht="11.7" customHeight="1">
      <c r="A356" s="3531" t="s">
        <v>5233</v>
      </c>
      <c r="B356" s="3532"/>
      <c r="C356" s="3532"/>
      <c r="D356" s="3532"/>
      <c r="E356" s="3532"/>
      <c r="F356" s="3532"/>
      <c r="G356" s="3532"/>
      <c r="H356" s="3532"/>
      <c r="I356" s="3532"/>
      <c r="J356" s="3532"/>
      <c r="K356" s="3532"/>
      <c r="L356" s="3532"/>
      <c r="M356" s="3532"/>
      <c r="N356" s="3532"/>
      <c r="O356" s="3532"/>
      <c r="P356" s="3532"/>
      <c r="Q356" s="3533"/>
      <c r="U356" s="135"/>
      <c r="V356" s="135"/>
      <c r="W356" s="135"/>
      <c r="X356" s="135"/>
      <c r="Y356" s="135"/>
      <c r="Z356" s="135"/>
      <c r="AA356" s="135"/>
      <c r="AB356" s="135"/>
      <c r="AC356" s="135"/>
      <c r="AD356" s="135"/>
      <c r="AE356" s="465"/>
    </row>
    <row r="357" spans="1:32" ht="11.25" customHeight="1">
      <c r="B357" s="136" t="s">
        <v>1865</v>
      </c>
      <c r="C357" s="137"/>
      <c r="D357" s="2291"/>
      <c r="E357" s="2291"/>
      <c r="F357" s="2291"/>
      <c r="G357" s="2291"/>
      <c r="H357" s="2291"/>
      <c r="I357" s="2291"/>
      <c r="J357" s="2291"/>
      <c r="K357" s="2291"/>
      <c r="L357" s="2291"/>
      <c r="M357" s="2291"/>
      <c r="N357" s="2291"/>
      <c r="O357" s="2291"/>
      <c r="P357" s="2291"/>
      <c r="Q357" s="2291"/>
    </row>
    <row r="358" spans="1:32" ht="11.7" customHeight="1">
      <c r="A358" s="3487"/>
      <c r="B358" s="3488"/>
      <c r="C358" s="3488"/>
      <c r="D358" s="3488"/>
      <c r="E358" s="3488"/>
      <c r="F358" s="3488"/>
      <c r="G358" s="3488"/>
      <c r="H358" s="3488"/>
      <c r="I358" s="3488"/>
      <c r="J358" s="3488"/>
      <c r="K358" s="3488"/>
      <c r="L358" s="3488"/>
      <c r="M358" s="3488"/>
      <c r="N358" s="3488"/>
      <c r="O358" s="3488"/>
      <c r="P358" s="3488"/>
      <c r="Q358" s="3489"/>
    </row>
    <row r="359" spans="1:32" ht="2.25" customHeight="1">
      <c r="A359" s="2288"/>
      <c r="B359" s="2300"/>
      <c r="C359" s="2291"/>
      <c r="D359" s="2291"/>
      <c r="E359" s="2291"/>
      <c r="F359" s="2291"/>
      <c r="G359" s="2291"/>
      <c r="H359" s="2291"/>
      <c r="I359" s="2291"/>
      <c r="J359" s="2291"/>
      <c r="K359" s="2291"/>
      <c r="L359" s="2291"/>
      <c r="M359" s="2291"/>
      <c r="N359" s="2291"/>
      <c r="O359" s="2291"/>
      <c r="P359" s="2291"/>
      <c r="Q359" s="896"/>
      <c r="R359" s="7"/>
      <c r="S359" s="7"/>
    </row>
    <row r="360" spans="1:32" ht="13.95" customHeight="1">
      <c r="A360" s="2285" t="s">
        <v>4104</v>
      </c>
      <c r="B360" s="3" t="s">
        <v>4077</v>
      </c>
      <c r="C360" s="3"/>
      <c r="D360" s="3"/>
      <c r="E360" s="3"/>
      <c r="F360" s="3"/>
      <c r="G360" s="3"/>
      <c r="H360" s="2291"/>
      <c r="I360" s="2291"/>
      <c r="J360" s="2291"/>
      <c r="K360" s="2291"/>
      <c r="L360" s="2291"/>
      <c r="M360" s="2291"/>
      <c r="O360" s="131" t="s">
        <v>1866</v>
      </c>
      <c r="P360" s="3718"/>
      <c r="Q360" s="3491"/>
    </row>
    <row r="361" spans="1:32" ht="10.5" customHeight="1">
      <c r="A361" s="46" t="s">
        <v>1982</v>
      </c>
      <c r="B361" s="134" t="s">
        <v>4078</v>
      </c>
      <c r="D361" s="149"/>
      <c r="E361" s="149"/>
      <c r="F361" s="149"/>
      <c r="G361" s="149"/>
      <c r="H361" s="463" t="s">
        <v>1982</v>
      </c>
      <c r="I361" s="3517"/>
      <c r="J361" s="3518"/>
      <c r="K361" s="3518"/>
      <c r="L361" s="3518"/>
      <c r="M361" s="3518"/>
      <c r="N361" s="3518"/>
      <c r="O361" s="3518"/>
      <c r="P361" s="3519"/>
      <c r="Q361" s="532"/>
    </row>
    <row r="362" spans="1:32" ht="10.5" customHeight="1">
      <c r="A362" s="141" t="s">
        <v>1984</v>
      </c>
      <c r="B362" s="134" t="s">
        <v>4079</v>
      </c>
      <c r="D362" s="149"/>
      <c r="E362" s="149"/>
      <c r="F362" s="149"/>
      <c r="G362" s="149"/>
      <c r="H362" s="160" t="s">
        <v>1984</v>
      </c>
      <c r="I362" s="3517"/>
      <c r="J362" s="3518"/>
      <c r="K362" s="3518"/>
      <c r="L362" s="3518"/>
      <c r="M362" s="3518"/>
      <c r="N362" s="3518"/>
      <c r="O362" s="3518"/>
      <c r="P362" s="3519"/>
      <c r="Q362" s="532"/>
    </row>
    <row r="363" spans="1:32" ht="21.75" customHeight="1">
      <c r="A363" s="141" t="s">
        <v>748</v>
      </c>
      <c r="B363" s="3566" t="s">
        <v>4069</v>
      </c>
      <c r="C363" s="3566"/>
      <c r="D363" s="3566"/>
      <c r="E363" s="3566"/>
      <c r="F363" s="3566"/>
      <c r="G363" s="3566"/>
      <c r="H363" s="3566"/>
      <c r="I363" s="3566"/>
      <c r="J363" s="3566"/>
      <c r="K363" s="3566"/>
      <c r="L363" s="3566"/>
      <c r="M363" s="3566"/>
      <c r="N363" s="3566"/>
      <c r="O363" s="160" t="s">
        <v>748</v>
      </c>
      <c r="P363" s="2693"/>
      <c r="Q363" s="1149"/>
    </row>
    <row r="364" spans="1:32" ht="21.75" customHeight="1">
      <c r="A364" s="141" t="s">
        <v>2114</v>
      </c>
      <c r="B364" s="3486" t="s">
        <v>4070</v>
      </c>
      <c r="C364" s="3486"/>
      <c r="D364" s="3486"/>
      <c r="E364" s="3486"/>
      <c r="F364" s="3486"/>
      <c r="G364" s="3486"/>
      <c r="H364" s="3486"/>
      <c r="I364" s="3486"/>
      <c r="J364" s="3486"/>
      <c r="K364" s="3486"/>
      <c r="L364" s="3486"/>
      <c r="M364" s="3486"/>
      <c r="N364" s="3486"/>
      <c r="O364" s="463" t="s">
        <v>2114</v>
      </c>
      <c r="P364" s="2681"/>
      <c r="Q364" s="2294"/>
    </row>
    <row r="365" spans="1:32" ht="10.5" customHeight="1">
      <c r="A365" s="141" t="s">
        <v>1734</v>
      </c>
      <c r="B365" s="51" t="s">
        <v>4071</v>
      </c>
      <c r="D365" s="51"/>
      <c r="E365" s="51"/>
      <c r="F365" s="51"/>
      <c r="G365" s="51"/>
      <c r="H365" s="51"/>
      <c r="I365" s="51"/>
      <c r="J365" s="51"/>
      <c r="K365" s="51"/>
      <c r="L365" s="51"/>
      <c r="M365" s="51"/>
      <c r="O365" s="160" t="s">
        <v>1734</v>
      </c>
      <c r="P365" s="2672"/>
      <c r="Q365" s="535"/>
    </row>
    <row r="366" spans="1:32" s="132" customFormat="1" ht="21.75" customHeight="1">
      <c r="A366" s="141" t="s">
        <v>1735</v>
      </c>
      <c r="B366" s="3486" t="s">
        <v>4072</v>
      </c>
      <c r="C366" s="3486"/>
      <c r="D366" s="3486"/>
      <c r="E366" s="3486"/>
      <c r="F366" s="3486"/>
      <c r="G366" s="3486"/>
      <c r="H366" s="3486"/>
      <c r="I366" s="3486"/>
      <c r="J366" s="3486"/>
      <c r="K366" s="3486"/>
      <c r="L366" s="3486"/>
      <c r="M366" s="3486"/>
      <c r="N366" s="3486"/>
      <c r="O366" s="160" t="s">
        <v>1735</v>
      </c>
      <c r="P366" s="2694"/>
      <c r="Q366" s="880"/>
      <c r="AE366" s="466"/>
      <c r="AF366" s="466"/>
    </row>
    <row r="367" spans="1:32" s="132" customFormat="1" ht="10.5" customHeight="1">
      <c r="A367" s="141" t="s">
        <v>1946</v>
      </c>
      <c r="B367" s="139" t="s">
        <v>4073</v>
      </c>
      <c r="D367" s="898"/>
      <c r="E367" s="898"/>
      <c r="F367" s="898"/>
      <c r="G367" s="898"/>
      <c r="H367" s="898"/>
      <c r="I367" s="898"/>
      <c r="J367" s="898"/>
      <c r="K367" s="898"/>
      <c r="L367" s="898"/>
      <c r="M367" s="898"/>
      <c r="N367" s="898"/>
      <c r="O367" s="160" t="s">
        <v>1946</v>
      </c>
      <c r="P367" s="2683"/>
      <c r="Q367" s="1149"/>
      <c r="AE367" s="466"/>
      <c r="AF367" s="466"/>
    </row>
    <row r="368" spans="1:32" s="132" customFormat="1" ht="10.5" customHeight="1">
      <c r="C368" s="879" t="s">
        <v>4994</v>
      </c>
      <c r="E368" s="2291"/>
      <c r="F368" s="2291"/>
      <c r="G368" s="2291"/>
      <c r="H368" s="2291"/>
      <c r="I368" s="2291"/>
      <c r="J368" s="2291"/>
      <c r="K368" s="2291"/>
      <c r="L368" s="2291"/>
      <c r="M368" s="2291"/>
      <c r="N368" s="2291"/>
      <c r="P368" s="2684"/>
      <c r="Q368" s="2303"/>
      <c r="AE368" s="466"/>
      <c r="AF368" s="466"/>
    </row>
    <row r="369" spans="1:32" ht="21.75" customHeight="1">
      <c r="A369" s="141" t="s">
        <v>3368</v>
      </c>
      <c r="B369" s="3486" t="s">
        <v>4074</v>
      </c>
      <c r="C369" s="3486"/>
      <c r="D369" s="3486"/>
      <c r="E369" s="3486"/>
      <c r="F369" s="3486"/>
      <c r="G369" s="3486"/>
      <c r="H369" s="3486"/>
      <c r="I369" s="3486"/>
      <c r="J369" s="3486"/>
      <c r="K369" s="3486"/>
      <c r="L369" s="3486"/>
      <c r="M369" s="3486"/>
      <c r="N369" s="3486"/>
      <c r="O369" s="160" t="s">
        <v>3368</v>
      </c>
      <c r="P369" s="2683"/>
      <c r="Q369" s="1149"/>
    </row>
    <row r="370" spans="1:32" ht="33" customHeight="1">
      <c r="A370" s="141" t="s">
        <v>615</v>
      </c>
      <c r="B370" s="3486" t="s">
        <v>4075</v>
      </c>
      <c r="C370" s="3486"/>
      <c r="D370" s="3486"/>
      <c r="E370" s="3486"/>
      <c r="F370" s="3486"/>
      <c r="G370" s="3486"/>
      <c r="H370" s="3486"/>
      <c r="I370" s="3486"/>
      <c r="J370" s="3486"/>
      <c r="K370" s="3486"/>
      <c r="L370" s="3486"/>
      <c r="M370" s="3486"/>
      <c r="N370" s="3486"/>
      <c r="O370" s="160" t="s">
        <v>615</v>
      </c>
      <c r="P370" s="2684"/>
      <c r="Q370" s="2303"/>
    </row>
    <row r="371" spans="1:32" ht="10.5" customHeight="1">
      <c r="B371" s="140" t="s">
        <v>3751</v>
      </c>
      <c r="D371" s="140"/>
      <c r="E371" s="140"/>
      <c r="F371" s="140"/>
      <c r="G371" s="140"/>
      <c r="H371" s="39"/>
      <c r="I371" s="2300"/>
      <c r="J371" s="2300"/>
      <c r="K371" s="2300"/>
      <c r="L371" s="2288"/>
      <c r="M371" s="2288"/>
      <c r="N371" s="2288"/>
      <c r="O371" s="2288"/>
      <c r="P371" s="2288"/>
      <c r="Q371" s="896"/>
    </row>
    <row r="372" spans="1:32" ht="31.5" customHeight="1">
      <c r="A372" s="3531" t="s">
        <v>5234</v>
      </c>
      <c r="B372" s="3532"/>
      <c r="C372" s="3532"/>
      <c r="D372" s="3532"/>
      <c r="E372" s="3532"/>
      <c r="F372" s="3532"/>
      <c r="G372" s="3532"/>
      <c r="H372" s="3532"/>
      <c r="I372" s="3532"/>
      <c r="J372" s="3532"/>
      <c r="K372" s="3532"/>
      <c r="L372" s="3532"/>
      <c r="M372" s="3532"/>
      <c r="N372" s="3532"/>
      <c r="O372" s="3532"/>
      <c r="P372" s="3532"/>
      <c r="Q372" s="3533"/>
      <c r="U372" s="135"/>
      <c r="V372" s="135"/>
      <c r="W372" s="135"/>
      <c r="X372" s="135"/>
      <c r="Y372" s="135"/>
      <c r="Z372" s="135"/>
      <c r="AA372" s="135"/>
      <c r="AB372" s="135"/>
      <c r="AC372" s="135"/>
      <c r="AD372" s="135"/>
      <c r="AE372" s="465"/>
    </row>
    <row r="373" spans="1:32" ht="10.5" customHeight="1">
      <c r="B373" s="136" t="s">
        <v>1865</v>
      </c>
      <c r="C373" s="137"/>
      <c r="D373" s="2291"/>
      <c r="E373" s="2291"/>
      <c r="F373" s="2291"/>
      <c r="G373" s="2291"/>
      <c r="H373" s="2291"/>
      <c r="I373" s="2291"/>
      <c r="J373" s="2291"/>
      <c r="K373" s="2291"/>
      <c r="L373" s="2291"/>
      <c r="M373" s="2291"/>
      <c r="N373" s="2291"/>
      <c r="O373" s="2291"/>
      <c r="P373" s="2291"/>
      <c r="Q373" s="2291"/>
    </row>
    <row r="374" spans="1:32" ht="23.25" customHeight="1">
      <c r="A374" s="3487"/>
      <c r="B374" s="3488"/>
      <c r="C374" s="3488"/>
      <c r="D374" s="3488"/>
      <c r="E374" s="3488"/>
      <c r="F374" s="3488"/>
      <c r="G374" s="3488"/>
      <c r="H374" s="3488"/>
      <c r="I374" s="3488"/>
      <c r="J374" s="3488"/>
      <c r="K374" s="3488"/>
      <c r="L374" s="3488"/>
      <c r="M374" s="3488"/>
      <c r="N374" s="3488"/>
      <c r="O374" s="3488"/>
      <c r="P374" s="3488"/>
      <c r="Q374" s="3489"/>
    </row>
    <row r="375" spans="1:32" ht="3" customHeight="1">
      <c r="A375" s="2288"/>
      <c r="B375" s="2300"/>
      <c r="C375" s="2291"/>
      <c r="D375" s="2291"/>
      <c r="E375" s="2291"/>
      <c r="F375" s="2291"/>
      <c r="G375" s="2291"/>
      <c r="H375" s="2291"/>
      <c r="I375" s="2291"/>
      <c r="J375" s="2291"/>
      <c r="K375" s="2291"/>
      <c r="L375" s="2291"/>
      <c r="M375" s="2291"/>
      <c r="Q375" s="896"/>
    </row>
    <row r="376" spans="1:32" ht="13.95" customHeight="1">
      <c r="A376" s="2285" t="s">
        <v>4105</v>
      </c>
      <c r="B376" s="3" t="s">
        <v>3911</v>
      </c>
      <c r="C376" s="3"/>
      <c r="D376" s="3"/>
      <c r="E376" s="3"/>
      <c r="F376" s="3"/>
      <c r="G376" s="3"/>
      <c r="H376" s="2291"/>
      <c r="I376" s="2291"/>
      <c r="J376" s="2291"/>
      <c r="O376" s="131" t="s">
        <v>1866</v>
      </c>
      <c r="P376" s="3490"/>
      <c r="Q376" s="3491"/>
    </row>
    <row r="377" spans="1:32" s="41" customFormat="1" ht="10.5" customHeight="1">
      <c r="A377" s="46" t="s">
        <v>1982</v>
      </c>
      <c r="B377" s="615" t="s">
        <v>3913</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1736</v>
      </c>
      <c r="C378" s="3728" t="s">
        <v>4921</v>
      </c>
      <c r="D378" s="3728"/>
      <c r="E378" s="3728"/>
      <c r="F378" s="3728"/>
      <c r="G378" s="49"/>
      <c r="H378" s="35" t="s">
        <v>616</v>
      </c>
      <c r="J378" s="3514" t="s">
        <v>5210</v>
      </c>
      <c r="K378" s="3515"/>
      <c r="L378" s="3515"/>
      <c r="M378" s="3516"/>
      <c r="N378" s="3498" t="s">
        <v>3912</v>
      </c>
      <c r="O378" s="3499"/>
      <c r="P378" s="3500" t="s">
        <v>5242</v>
      </c>
      <c r="Q378" s="3501"/>
      <c r="AE378" s="49"/>
      <c r="AF378" s="49"/>
    </row>
    <row r="379" spans="1:32" s="41" customFormat="1" ht="11.25" customHeight="1">
      <c r="A379" s="46"/>
      <c r="B379" s="39"/>
      <c r="C379" s="2306"/>
      <c r="D379" s="2306"/>
      <c r="E379" s="2306"/>
      <c r="F379" s="2306"/>
      <c r="G379" s="2306"/>
      <c r="H379" s="39" t="s">
        <v>4914</v>
      </c>
      <c r="I379" s="2306"/>
      <c r="J379" s="3517" t="s">
        <v>1732</v>
      </c>
      <c r="K379" s="3518"/>
      <c r="L379" s="3518"/>
      <c r="M379" s="3518"/>
      <c r="N379" s="3518"/>
      <c r="O379" s="3518"/>
      <c r="P379" s="3518"/>
      <c r="Q379" s="3519"/>
      <c r="AE379" s="49"/>
      <c r="AF379" s="49"/>
    </row>
    <row r="380" spans="1:32" s="41" customFormat="1" ht="11.25" customHeight="1">
      <c r="B380" s="39" t="s">
        <v>1737</v>
      </c>
      <c r="C380" s="51" t="s">
        <v>3914</v>
      </c>
      <c r="J380" s="3504">
        <v>36109</v>
      </c>
      <c r="K380" s="3505"/>
      <c r="O380" s="463"/>
      <c r="AE380" s="49"/>
      <c r="AF380" s="49"/>
    </row>
    <row r="381" spans="1:32" s="41" customFormat="1" ht="11.25" customHeight="1">
      <c r="A381" s="46"/>
      <c r="B381" s="39" t="s">
        <v>1738</v>
      </c>
      <c r="C381" s="51" t="s">
        <v>3915</v>
      </c>
      <c r="D381" s="45"/>
      <c r="E381" s="133"/>
      <c r="I381" s="133"/>
      <c r="J381" s="3520" t="str">
        <f>'Part I-Project Information'!K40</f>
        <v>Rural</v>
      </c>
      <c r="K381" s="3521"/>
      <c r="L381" s="2296" t="s">
        <v>3916</v>
      </c>
      <c r="M381" s="133"/>
      <c r="N381" s="133"/>
      <c r="O381" s="463" t="s">
        <v>1738</v>
      </c>
      <c r="P381" s="2674" t="s">
        <v>2988</v>
      </c>
      <c r="Q381" s="533"/>
      <c r="AE381" s="49"/>
      <c r="AF381" s="49"/>
    </row>
    <row r="382" spans="1:32" s="41" customFormat="1" ht="11.25" customHeight="1">
      <c r="A382" s="46"/>
      <c r="B382" s="39" t="s">
        <v>2364</v>
      </c>
      <c r="C382" s="51" t="s">
        <v>4910</v>
      </c>
      <c r="E382" s="133"/>
      <c r="F382" s="133"/>
      <c r="G382" s="133"/>
      <c r="H382" s="51" t="s">
        <v>4911</v>
      </c>
      <c r="I382" s="133"/>
      <c r="J382" s="3502">
        <v>752783</v>
      </c>
      <c r="K382" s="3503"/>
      <c r="L382" s="3526"/>
      <c r="M382" s="3527"/>
      <c r="O382" s="463"/>
      <c r="AE382" s="49"/>
      <c r="AF382" s="49"/>
    </row>
    <row r="383" spans="1:32" s="41" customFormat="1" ht="11.25" customHeight="1">
      <c r="A383" s="46"/>
      <c r="B383" s="39"/>
      <c r="C383" s="51"/>
      <c r="E383" s="133"/>
      <c r="F383" s="133"/>
      <c r="G383" s="133"/>
      <c r="H383" s="51" t="s">
        <v>4912</v>
      </c>
      <c r="I383" s="133"/>
      <c r="J383" s="3510" t="s">
        <v>2988</v>
      </c>
      <c r="K383" s="3511"/>
      <c r="L383" s="3512"/>
      <c r="M383" s="3513"/>
      <c r="N383" s="51"/>
      <c r="O383" s="463"/>
      <c r="AE383" s="49"/>
      <c r="AF383" s="49"/>
    </row>
    <row r="384" spans="1:32" s="41" customFormat="1" ht="11.25" customHeight="1">
      <c r="A384" s="46"/>
      <c r="B384" s="39" t="s">
        <v>1548</v>
      </c>
      <c r="C384" s="51" t="s">
        <v>3918</v>
      </c>
      <c r="E384" s="51"/>
      <c r="F384" s="3506">
        <f>'Part IV-A-Uses of Funds'!J173</f>
        <v>369181</v>
      </c>
      <c r="G384" s="3507"/>
      <c r="H384" s="51" t="s">
        <v>3919</v>
      </c>
      <c r="I384" s="51"/>
      <c r="J384" s="2128" t="str">
        <f>IF(F384&gt;'DCA Underwriting Assumptions'!$Q$131, "Request exceeds DCA per project maximum for set aside!!!","")</f>
        <v/>
      </c>
      <c r="K384" s="897"/>
      <c r="L384" s="51"/>
      <c r="O384" s="463" t="s">
        <v>1548</v>
      </c>
      <c r="P384" s="2674" t="s">
        <v>2988</v>
      </c>
      <c r="Q384" s="533"/>
      <c r="AE384" s="49"/>
      <c r="AF384" s="49"/>
    </row>
    <row r="385" spans="1:32" s="41" customFormat="1" ht="11.25" customHeight="1">
      <c r="A385" s="46"/>
      <c r="B385" s="39" t="s">
        <v>1549</v>
      </c>
      <c r="C385" s="51" t="s">
        <v>3921</v>
      </c>
      <c r="E385" s="51"/>
      <c r="F385" s="51"/>
      <c r="G385" s="51"/>
      <c r="H385" s="51" t="s">
        <v>4913</v>
      </c>
      <c r="I385" s="51"/>
      <c r="J385" s="3522">
        <v>368040</v>
      </c>
      <c r="K385" s="3523"/>
      <c r="L385" s="3524"/>
      <c r="M385" s="3525"/>
      <c r="AE385" s="49"/>
      <c r="AF385" s="49"/>
    </row>
    <row r="386" spans="1:32" s="41" customFormat="1" ht="11.25" customHeight="1">
      <c r="B386" s="39" t="s">
        <v>98</v>
      </c>
      <c r="C386" s="51" t="s">
        <v>3923</v>
      </c>
      <c r="E386" s="133"/>
      <c r="F386" s="133"/>
      <c r="G386" s="133"/>
      <c r="H386" s="133"/>
      <c r="I386" s="133"/>
      <c r="J386" s="133"/>
      <c r="K386" s="133"/>
      <c r="L386" s="133"/>
      <c r="O386" s="463" t="s">
        <v>98</v>
      </c>
      <c r="P386" s="2674" t="s">
        <v>2988</v>
      </c>
      <c r="Q386" s="533"/>
      <c r="AE386" s="49"/>
      <c r="AF386" s="49"/>
    </row>
    <row r="387" spans="1:32" s="41" customFormat="1" ht="11.25" customHeight="1">
      <c r="A387" s="46" t="s">
        <v>1984</v>
      </c>
      <c r="B387" s="615" t="s">
        <v>3924</v>
      </c>
      <c r="D387" s="133"/>
      <c r="E387" s="133"/>
      <c r="F387" s="133"/>
      <c r="G387" s="133"/>
      <c r="H387" s="133"/>
      <c r="P387" s="133"/>
      <c r="Q387" s="133"/>
      <c r="R387" s="133"/>
      <c r="AE387" s="49"/>
      <c r="AF387" s="49"/>
    </row>
    <row r="388" spans="1:32" s="41" customFormat="1" ht="11.25" customHeight="1">
      <c r="B388" s="39" t="s">
        <v>1736</v>
      </c>
      <c r="C388" s="897" t="s">
        <v>4966</v>
      </c>
      <c r="E388" s="2296"/>
      <c r="F388" s="2296"/>
      <c r="G388" s="2296"/>
      <c r="H388" s="2296"/>
      <c r="P388" s="2674" t="s">
        <v>2988</v>
      </c>
      <c r="Q388" s="533"/>
      <c r="AE388" s="49"/>
      <c r="AF388" s="49"/>
    </row>
    <row r="389" spans="1:32" s="41" customFormat="1" ht="11.25" customHeight="1">
      <c r="B389" s="39"/>
      <c r="C389" s="897"/>
      <c r="E389" s="2296"/>
      <c r="F389" s="2296"/>
      <c r="G389" s="2296"/>
      <c r="H389" s="2296"/>
      <c r="J389" s="3727" t="s">
        <v>3929</v>
      </c>
      <c r="K389" s="3727"/>
      <c r="L389" s="3727"/>
      <c r="M389" s="3727"/>
      <c r="N389" s="3492" t="s">
        <v>3926</v>
      </c>
      <c r="O389" s="3492"/>
      <c r="AE389" s="49"/>
      <c r="AF389" s="49"/>
    </row>
    <row r="390" spans="1:32" s="41" customFormat="1" ht="11.25" customHeight="1">
      <c r="A390" s="2146"/>
      <c r="B390" s="39" t="s">
        <v>1737</v>
      </c>
      <c r="C390" s="897" t="s">
        <v>3925</v>
      </c>
      <c r="E390" s="133"/>
      <c r="F390" s="133"/>
      <c r="G390" s="133"/>
      <c r="H390" s="133"/>
      <c r="I390" s="463" t="s">
        <v>1737</v>
      </c>
      <c r="J390" s="3508">
        <v>1038000</v>
      </c>
      <c r="K390" s="3509"/>
      <c r="L390" s="3716"/>
      <c r="M390" s="3717"/>
      <c r="N390" s="1105">
        <f>IF(J390="","",J382/J390)</f>
        <v>0.72522447013487479</v>
      </c>
      <c r="O390" s="1106" t="str">
        <f>IF(L390="","",L382/L390)</f>
        <v/>
      </c>
      <c r="P390" s="2695">
        <v>27.5</v>
      </c>
      <c r="Q390" s="2147"/>
      <c r="AE390" s="49"/>
      <c r="AF390" s="49"/>
    </row>
    <row r="391" spans="1:32" s="41" customFormat="1" ht="11.25" customHeight="1">
      <c r="A391" s="2146"/>
      <c r="B391" s="39" t="s">
        <v>1738</v>
      </c>
      <c r="C391" s="51" t="s">
        <v>3928</v>
      </c>
      <c r="E391" s="133"/>
      <c r="F391" s="133"/>
      <c r="G391" s="133"/>
      <c r="H391" s="133"/>
      <c r="N391" s="133"/>
      <c r="O391" s="463" t="s">
        <v>1738</v>
      </c>
      <c r="P391" s="2696">
        <v>1</v>
      </c>
      <c r="Q391" s="1310"/>
      <c r="AE391" s="49"/>
      <c r="AF391" s="49"/>
    </row>
    <row r="392" spans="1:32" s="41" customFormat="1" ht="11.25" customHeight="1">
      <c r="B392" s="39" t="s">
        <v>2364</v>
      </c>
      <c r="C392" s="51" t="s">
        <v>3930</v>
      </c>
      <c r="E392" s="133"/>
      <c r="F392" s="133"/>
      <c r="G392" s="133"/>
      <c r="H392" s="133"/>
      <c r="M392" s="133"/>
      <c r="N392" s="133"/>
      <c r="O392" s="463" t="s">
        <v>2364</v>
      </c>
      <c r="P392" s="2673" t="s">
        <v>2988</v>
      </c>
      <c r="Q392" s="536"/>
      <c r="AE392" s="49"/>
      <c r="AF392" s="49"/>
    </row>
    <row r="393" spans="1:32" ht="10.5" customHeight="1">
      <c r="B393" s="140" t="s">
        <v>3751</v>
      </c>
      <c r="D393" s="140"/>
      <c r="E393" s="140"/>
      <c r="F393" s="140"/>
      <c r="G393" s="140"/>
      <c r="H393" s="39"/>
      <c r="I393" s="2300"/>
      <c r="J393" s="2300"/>
      <c r="K393" s="2300"/>
      <c r="L393" s="2288"/>
      <c r="M393" s="2288"/>
      <c r="N393" s="2288"/>
      <c r="O393" s="2288"/>
      <c r="P393" s="2288"/>
      <c r="Q393" s="896"/>
    </row>
    <row r="394" spans="1:32" ht="44.25" customHeight="1">
      <c r="A394" s="3531" t="s">
        <v>5273</v>
      </c>
      <c r="B394" s="3532"/>
      <c r="C394" s="3532"/>
      <c r="D394" s="3532"/>
      <c r="E394" s="3532"/>
      <c r="F394" s="3532"/>
      <c r="G394" s="3532"/>
      <c r="H394" s="3532"/>
      <c r="I394" s="3532"/>
      <c r="J394" s="3532"/>
      <c r="K394" s="3532"/>
      <c r="L394" s="3532"/>
      <c r="M394" s="3532"/>
      <c r="N394" s="3532"/>
      <c r="O394" s="3532"/>
      <c r="P394" s="3532"/>
      <c r="Q394" s="3533"/>
      <c r="U394" s="135"/>
      <c r="V394" s="135"/>
      <c r="W394" s="135"/>
      <c r="X394" s="135"/>
      <c r="Y394" s="135"/>
      <c r="Z394" s="135"/>
      <c r="AA394" s="135"/>
      <c r="AB394" s="135"/>
      <c r="AC394" s="135"/>
      <c r="AD394" s="135"/>
      <c r="AE394" s="465"/>
    </row>
    <row r="395" spans="1:32" ht="11.25" customHeight="1">
      <c r="B395" s="136" t="s">
        <v>1865</v>
      </c>
      <c r="C395" s="137"/>
      <c r="D395" s="2291"/>
      <c r="E395" s="2291"/>
      <c r="F395" s="2291"/>
      <c r="G395" s="2291"/>
      <c r="H395" s="2291"/>
      <c r="I395" s="2291"/>
      <c r="J395" s="2291"/>
      <c r="K395" s="2291"/>
      <c r="L395" s="2291"/>
      <c r="M395" s="2291"/>
      <c r="N395" s="2291"/>
      <c r="O395" s="2291"/>
      <c r="P395" s="2291"/>
      <c r="Q395" s="2291"/>
    </row>
    <row r="396" spans="1:32" ht="23.25" customHeight="1">
      <c r="A396" s="3487"/>
      <c r="B396" s="3488"/>
      <c r="C396" s="3488"/>
      <c r="D396" s="3488"/>
      <c r="E396" s="3488"/>
      <c r="F396" s="3488"/>
      <c r="G396" s="3488"/>
      <c r="H396" s="3488"/>
      <c r="I396" s="3488"/>
      <c r="J396" s="3488"/>
      <c r="K396" s="3488"/>
      <c r="L396" s="3488"/>
      <c r="M396" s="3488"/>
      <c r="N396" s="3488"/>
      <c r="O396" s="3488"/>
      <c r="P396" s="3488"/>
      <c r="Q396" s="3489"/>
    </row>
    <row r="397" spans="1:32" ht="3.6" customHeight="1">
      <c r="A397" s="2288"/>
      <c r="B397" s="2300"/>
      <c r="C397" s="2291"/>
      <c r="D397" s="2291"/>
      <c r="E397" s="2291"/>
      <c r="F397" s="2291"/>
      <c r="G397" s="2291"/>
      <c r="H397" s="2291"/>
      <c r="I397" s="2291"/>
      <c r="J397" s="2291"/>
      <c r="K397" s="2291"/>
      <c r="L397" s="2291"/>
      <c r="M397" s="2291"/>
      <c r="Q397" s="896"/>
    </row>
    <row r="398" spans="1:32" ht="3" customHeight="1">
      <c r="A398" s="2288"/>
      <c r="B398" s="2300"/>
      <c r="C398" s="2291"/>
      <c r="D398" s="2291"/>
      <c r="E398" s="2291"/>
      <c r="F398" s="2291"/>
      <c r="G398" s="2291"/>
      <c r="H398" s="2291"/>
      <c r="I398" s="2291"/>
      <c r="J398" s="2291"/>
      <c r="K398" s="2291"/>
      <c r="L398" s="2291"/>
      <c r="M398" s="2291"/>
      <c r="Q398" s="896"/>
    </row>
    <row r="399" spans="1:32" ht="13.95" customHeight="1">
      <c r="A399" s="2285" t="s">
        <v>4106</v>
      </c>
      <c r="B399" s="3" t="s">
        <v>2683</v>
      </c>
      <c r="C399" s="3"/>
      <c r="D399" s="3"/>
      <c r="E399" s="3"/>
      <c r="F399" s="3"/>
      <c r="G399" s="3"/>
      <c r="H399" s="2291"/>
      <c r="I399" s="2291"/>
      <c r="J399" s="2291"/>
      <c r="O399" s="131" t="s">
        <v>1866</v>
      </c>
      <c r="P399" s="3490"/>
      <c r="Q399" s="3491"/>
    </row>
    <row r="400" spans="1:32" ht="11.7" customHeight="1">
      <c r="A400" s="46" t="s">
        <v>1982</v>
      </c>
      <c r="B400" s="117" t="s">
        <v>1033</v>
      </c>
      <c r="E400" s="3706"/>
      <c r="F400" s="3707"/>
      <c r="G400" s="3707"/>
      <c r="H400" s="3707"/>
      <c r="I400" s="3708"/>
      <c r="J400" s="3709" t="s">
        <v>2670</v>
      </c>
      <c r="K400" s="3710"/>
      <c r="L400" s="3499"/>
      <c r="M400" s="3706"/>
      <c r="N400" s="3707"/>
      <c r="O400" s="3707"/>
      <c r="P400" s="3707"/>
      <c r="Q400" s="3708"/>
    </row>
    <row r="401" spans="1:31" ht="11.7" customHeight="1">
      <c r="A401" s="46" t="s">
        <v>1984</v>
      </c>
      <c r="B401" s="51" t="s">
        <v>3462</v>
      </c>
      <c r="D401" s="51"/>
      <c r="E401" s="51"/>
      <c r="F401" s="51"/>
      <c r="G401" s="51"/>
      <c r="H401" s="51"/>
      <c r="I401" s="51"/>
      <c r="J401" s="51"/>
      <c r="K401" s="51"/>
      <c r="L401" s="897"/>
      <c r="M401" s="897"/>
      <c r="O401" s="463" t="s">
        <v>1984</v>
      </c>
      <c r="P401" s="2671"/>
      <c r="Q401" s="534"/>
    </row>
    <row r="402" spans="1:31" ht="22.5" customHeight="1">
      <c r="A402" s="141" t="s">
        <v>748</v>
      </c>
      <c r="B402" s="3486" t="s">
        <v>3472</v>
      </c>
      <c r="C402" s="3486"/>
      <c r="D402" s="3486"/>
      <c r="E402" s="3486"/>
      <c r="F402" s="3486"/>
      <c r="G402" s="3486"/>
      <c r="H402" s="3486"/>
      <c r="I402" s="3486"/>
      <c r="J402" s="3486"/>
      <c r="K402" s="3486"/>
      <c r="L402" s="3486"/>
      <c r="M402" s="3486"/>
      <c r="N402" s="3486"/>
      <c r="O402" s="160" t="s">
        <v>748</v>
      </c>
      <c r="P402" s="2681"/>
      <c r="Q402" s="2294"/>
    </row>
    <row r="403" spans="1:31">
      <c r="A403" s="46" t="s">
        <v>2114</v>
      </c>
      <c r="B403" s="54" t="s">
        <v>3695</v>
      </c>
      <c r="G403" s="2296"/>
      <c r="H403" s="2296"/>
      <c r="I403" s="2296"/>
      <c r="J403" s="897" t="s">
        <v>3696</v>
      </c>
      <c r="L403" s="2296"/>
      <c r="M403" s="3529">
        <f>'Part III-Sources of Funds'!H5</f>
        <v>0</v>
      </c>
      <c r="N403" s="3530"/>
      <c r="O403" s="463" t="s">
        <v>2114</v>
      </c>
      <c r="P403" s="2673"/>
      <c r="Q403" s="536"/>
    </row>
    <row r="404" spans="1:31" ht="11.25" customHeight="1">
      <c r="B404" s="140" t="s">
        <v>3751</v>
      </c>
      <c r="D404" s="140"/>
      <c r="E404" s="140"/>
      <c r="F404" s="140"/>
      <c r="G404" s="140"/>
      <c r="H404" s="39"/>
      <c r="I404" s="2300"/>
      <c r="J404" s="2300"/>
      <c r="K404" s="2300"/>
      <c r="L404" s="2288"/>
      <c r="M404" s="2288"/>
      <c r="N404" s="2288"/>
      <c r="O404" s="2288"/>
      <c r="P404" s="2288"/>
      <c r="Q404" s="896"/>
    </row>
    <row r="405" spans="1:31" ht="11.7" customHeight="1">
      <c r="A405" s="3531" t="s">
        <v>5235</v>
      </c>
      <c r="B405" s="3532"/>
      <c r="C405" s="3532"/>
      <c r="D405" s="3532"/>
      <c r="E405" s="3532"/>
      <c r="F405" s="3532"/>
      <c r="G405" s="3532"/>
      <c r="H405" s="3532"/>
      <c r="I405" s="3532"/>
      <c r="J405" s="3532"/>
      <c r="K405" s="3532"/>
      <c r="L405" s="3532"/>
      <c r="M405" s="3532"/>
      <c r="N405" s="3532"/>
      <c r="O405" s="3532"/>
      <c r="P405" s="3532"/>
      <c r="Q405" s="3533"/>
      <c r="U405" s="135"/>
      <c r="V405" s="135"/>
      <c r="W405" s="135"/>
      <c r="X405" s="135"/>
      <c r="Y405" s="135"/>
      <c r="Z405" s="135"/>
      <c r="AA405" s="135"/>
      <c r="AB405" s="135"/>
      <c r="AC405" s="135"/>
      <c r="AD405" s="135"/>
      <c r="AE405" s="465"/>
    </row>
    <row r="406" spans="1:31" ht="11.25" customHeight="1">
      <c r="B406" s="136" t="s">
        <v>1865</v>
      </c>
      <c r="C406" s="137"/>
      <c r="D406" s="2291"/>
      <c r="E406" s="2291"/>
      <c r="F406" s="2291"/>
      <c r="G406" s="2291"/>
      <c r="H406" s="2291"/>
      <c r="I406" s="2291"/>
      <c r="J406" s="2291"/>
      <c r="K406" s="2291"/>
      <c r="L406" s="2291"/>
      <c r="M406" s="2291"/>
      <c r="N406" s="2291"/>
      <c r="O406" s="2291"/>
      <c r="P406" s="2291"/>
      <c r="Q406" s="2291"/>
    </row>
    <row r="407" spans="1:31" ht="11.7" customHeight="1">
      <c r="A407" s="3487"/>
      <c r="B407" s="3488"/>
      <c r="C407" s="3488"/>
      <c r="D407" s="3488"/>
      <c r="E407" s="3488"/>
      <c r="F407" s="3488"/>
      <c r="G407" s="3488"/>
      <c r="H407" s="3488"/>
      <c r="I407" s="3488"/>
      <c r="J407" s="3488"/>
      <c r="K407" s="3488"/>
      <c r="L407" s="3488"/>
      <c r="M407" s="3488"/>
      <c r="N407" s="3488"/>
      <c r="O407" s="3488"/>
      <c r="P407" s="3488"/>
      <c r="Q407" s="3489"/>
    </row>
    <row r="408" spans="1:31" ht="3.6" customHeight="1">
      <c r="A408" s="2288"/>
      <c r="B408" s="2300"/>
      <c r="C408" s="2291"/>
      <c r="D408" s="2291"/>
      <c r="E408" s="2291"/>
      <c r="F408" s="2291"/>
      <c r="G408" s="2291"/>
      <c r="H408" s="2291"/>
      <c r="I408" s="2291"/>
      <c r="J408" s="2291"/>
      <c r="K408" s="2291"/>
      <c r="L408" s="2291"/>
      <c r="M408" s="2291"/>
      <c r="Q408" s="896"/>
    </row>
    <row r="409" spans="1:31" ht="13.95" customHeight="1">
      <c r="A409" s="2285" t="s">
        <v>4107</v>
      </c>
      <c r="B409" s="3" t="s">
        <v>2667</v>
      </c>
      <c r="C409" s="3"/>
      <c r="D409" s="3"/>
      <c r="E409" s="2291"/>
      <c r="G409" s="139" t="s">
        <v>700</v>
      </c>
      <c r="H409" s="2291"/>
      <c r="I409" s="2291"/>
      <c r="J409" s="2291"/>
      <c r="K409" s="2291"/>
      <c r="L409" s="2291"/>
      <c r="M409" s="2291"/>
      <c r="O409" s="131" t="s">
        <v>1866</v>
      </c>
      <c r="P409" s="3490"/>
      <c r="Q409" s="3528"/>
    </row>
    <row r="410" spans="1:31" ht="12" customHeight="1">
      <c r="A410" s="46" t="s">
        <v>1982</v>
      </c>
      <c r="B410" s="51" t="s">
        <v>2672</v>
      </c>
      <c r="D410" s="898"/>
      <c r="E410" s="898"/>
      <c r="H410" s="139"/>
      <c r="O410" s="463" t="s">
        <v>1982</v>
      </c>
      <c r="P410" s="2671" t="s">
        <v>2988</v>
      </c>
      <c r="Q410" s="534"/>
    </row>
    <row r="411" spans="1:31" ht="12" customHeight="1">
      <c r="A411" s="46" t="s">
        <v>1984</v>
      </c>
      <c r="B411" s="51" t="s">
        <v>3580</v>
      </c>
      <c r="D411" s="898"/>
      <c r="E411" s="898"/>
      <c r="O411" s="463" t="s">
        <v>1984</v>
      </c>
      <c r="P411" s="2672" t="s">
        <v>2991</v>
      </c>
      <c r="Q411" s="535"/>
    </row>
    <row r="412" spans="1:31" ht="12" customHeight="1">
      <c r="A412" s="46" t="s">
        <v>748</v>
      </c>
      <c r="B412" s="51" t="s">
        <v>4076</v>
      </c>
      <c r="D412" s="898"/>
      <c r="E412" s="898"/>
      <c r="O412" s="463" t="s">
        <v>748</v>
      </c>
      <c r="P412" s="2672" t="s">
        <v>2991</v>
      </c>
      <c r="Q412" s="535"/>
    </row>
    <row r="413" spans="1:31" ht="12" customHeight="1">
      <c r="A413" s="46" t="s">
        <v>2114</v>
      </c>
      <c r="B413" s="51" t="s">
        <v>3581</v>
      </c>
      <c r="E413" s="139"/>
      <c r="O413" s="463" t="s">
        <v>2114</v>
      </c>
      <c r="P413" s="2672" t="s">
        <v>2991</v>
      </c>
      <c r="Q413" s="535"/>
    </row>
    <row r="414" spans="1:31" ht="12" customHeight="1">
      <c r="A414" s="46" t="s">
        <v>1734</v>
      </c>
      <c r="B414" s="51" t="s">
        <v>2078</v>
      </c>
      <c r="E414" s="139"/>
      <c r="G414" s="463" t="s">
        <v>1734</v>
      </c>
      <c r="H414" s="3729"/>
      <c r="I414" s="3730"/>
      <c r="J414" s="3730"/>
      <c r="K414" s="3730"/>
      <c r="L414" s="3730"/>
      <c r="M414" s="3730"/>
      <c r="N414" s="3730"/>
      <c r="O414" s="3731"/>
      <c r="P414" s="2673" t="s">
        <v>2991</v>
      </c>
      <c r="Q414" s="536"/>
    </row>
    <row r="415" spans="1:31" ht="11.25" customHeight="1">
      <c r="B415" s="140" t="s">
        <v>3751</v>
      </c>
      <c r="D415" s="140"/>
      <c r="E415" s="140"/>
      <c r="F415" s="140"/>
      <c r="G415" s="140"/>
      <c r="H415" s="39"/>
      <c r="I415" s="2300"/>
      <c r="J415" s="2300"/>
      <c r="K415" s="2300"/>
      <c r="L415" s="2288"/>
      <c r="M415" s="2288"/>
      <c r="N415" s="2288"/>
      <c r="O415" s="2288"/>
      <c r="P415" s="2288"/>
      <c r="Q415" s="896"/>
    </row>
    <row r="416" spans="1:31" ht="11.7" customHeight="1">
      <c r="A416" s="3531" t="s">
        <v>5236</v>
      </c>
      <c r="B416" s="3532"/>
      <c r="C416" s="3532"/>
      <c r="D416" s="3532"/>
      <c r="E416" s="3532"/>
      <c r="F416" s="3532"/>
      <c r="G416" s="3532"/>
      <c r="H416" s="3532"/>
      <c r="I416" s="3532"/>
      <c r="J416" s="3532"/>
      <c r="K416" s="3532"/>
      <c r="L416" s="3532"/>
      <c r="M416" s="3532"/>
      <c r="N416" s="3532"/>
      <c r="O416" s="3532"/>
      <c r="P416" s="3532"/>
      <c r="Q416" s="3533"/>
      <c r="U416" s="135"/>
      <c r="V416" s="135"/>
      <c r="W416" s="135"/>
      <c r="X416" s="135"/>
      <c r="Y416" s="135"/>
      <c r="Z416" s="135"/>
      <c r="AA416" s="135"/>
      <c r="AB416" s="135"/>
      <c r="AC416" s="135"/>
      <c r="AD416" s="135"/>
      <c r="AE416" s="465"/>
    </row>
    <row r="417" spans="1:32" ht="11.25" customHeight="1">
      <c r="B417" s="136" t="s">
        <v>1865</v>
      </c>
      <c r="C417" s="137"/>
      <c r="D417" s="2291"/>
      <c r="E417" s="2291"/>
      <c r="F417" s="2291"/>
      <c r="G417" s="2291"/>
      <c r="H417" s="2291"/>
      <c r="I417" s="2291"/>
      <c r="J417" s="2291"/>
      <c r="K417" s="2291"/>
      <c r="L417" s="2291"/>
      <c r="M417" s="2291"/>
      <c r="N417" s="2291"/>
      <c r="O417" s="2291"/>
      <c r="P417" s="2291"/>
      <c r="Q417" s="2291"/>
    </row>
    <row r="418" spans="1:32" ht="11.7" customHeight="1">
      <c r="A418" s="3487"/>
      <c r="B418" s="3488"/>
      <c r="C418" s="3488"/>
      <c r="D418" s="3488"/>
      <c r="E418" s="3488"/>
      <c r="F418" s="3488"/>
      <c r="G418" s="3488"/>
      <c r="H418" s="3488"/>
      <c r="I418" s="3488"/>
      <c r="J418" s="3488"/>
      <c r="K418" s="3488"/>
      <c r="L418" s="3488"/>
      <c r="M418" s="3488"/>
      <c r="N418" s="3488"/>
      <c r="O418" s="3488"/>
      <c r="P418" s="3488"/>
      <c r="Q418" s="3489"/>
    </row>
    <row r="419" spans="1:32" ht="3" customHeight="1">
      <c r="A419" s="2288"/>
      <c r="B419" s="2300"/>
      <c r="C419" s="2291"/>
      <c r="D419" s="2291"/>
      <c r="E419" s="2291"/>
      <c r="F419" s="2291"/>
      <c r="G419" s="2291"/>
      <c r="H419" s="2291"/>
      <c r="I419" s="2291"/>
      <c r="J419" s="2291"/>
      <c r="K419" s="2291"/>
      <c r="L419" s="2291"/>
      <c r="M419" s="2291"/>
      <c r="N419" s="2291"/>
      <c r="O419" s="2291"/>
      <c r="P419" s="2291"/>
      <c r="Q419" s="2288"/>
    </row>
    <row r="420" spans="1:32" ht="13.95" customHeight="1">
      <c r="A420" s="2285" t="s">
        <v>4108</v>
      </c>
      <c r="B420" s="3" t="s">
        <v>2668</v>
      </c>
      <c r="C420" s="3"/>
      <c r="D420" s="3"/>
      <c r="E420" s="3"/>
      <c r="F420" s="3"/>
      <c r="G420" s="3"/>
      <c r="H420" s="2291"/>
      <c r="I420" s="2291"/>
      <c r="J420" s="2291"/>
      <c r="K420" s="2291"/>
      <c r="L420" s="2291"/>
      <c r="M420" s="2291"/>
      <c r="O420" s="131" t="s">
        <v>1866</v>
      </c>
      <c r="P420" s="3490"/>
      <c r="Q420" s="3528"/>
    </row>
    <row r="421" spans="1:32" ht="12" customHeight="1">
      <c r="A421" s="46" t="s">
        <v>1982</v>
      </c>
      <c r="B421" s="38" t="s">
        <v>751</v>
      </c>
      <c r="D421" s="41"/>
      <c r="E421" s="41"/>
      <c r="F421" s="41"/>
      <c r="G421" s="41"/>
      <c r="H421" s="41"/>
      <c r="I421" s="41"/>
      <c r="J421" s="41"/>
      <c r="K421" s="41"/>
      <c r="L421" s="41"/>
      <c r="M421" s="41"/>
      <c r="N421" s="41"/>
      <c r="O421" s="463" t="s">
        <v>1982</v>
      </c>
      <c r="P421" s="2671" t="s">
        <v>2988</v>
      </c>
      <c r="Q421" s="534"/>
    </row>
    <row r="422" spans="1:32" ht="12" customHeight="1">
      <c r="A422" s="46" t="s">
        <v>1984</v>
      </c>
      <c r="B422" s="35" t="s">
        <v>3474</v>
      </c>
      <c r="D422" s="41"/>
      <c r="E422" s="41"/>
      <c r="F422" s="41"/>
      <c r="G422" s="41"/>
      <c r="H422" s="41"/>
      <c r="I422" s="41"/>
      <c r="J422" s="41"/>
      <c r="K422" s="41"/>
      <c r="L422" s="41"/>
      <c r="M422" s="41"/>
      <c r="N422" s="41"/>
      <c r="O422" s="463" t="s">
        <v>1445</v>
      </c>
      <c r="P422" s="2673" t="s">
        <v>2991</v>
      </c>
      <c r="Q422" s="536"/>
    </row>
    <row r="423" spans="1:32" ht="12" customHeight="1">
      <c r="A423" s="46"/>
      <c r="C423" s="51" t="s">
        <v>1482</v>
      </c>
      <c r="D423" s="51"/>
      <c r="E423" s="51"/>
      <c r="F423" s="51"/>
      <c r="G423" s="51"/>
      <c r="H423" s="51"/>
      <c r="I423" s="51"/>
      <c r="J423" s="51"/>
      <c r="K423" s="51"/>
      <c r="L423" s="51"/>
      <c r="M423" s="51"/>
      <c r="N423" s="41"/>
    </row>
    <row r="424" spans="1:32" ht="12" customHeight="1">
      <c r="A424" s="46"/>
      <c r="B424" s="51" t="s">
        <v>1737</v>
      </c>
      <c r="C424" s="51" t="s">
        <v>3473</v>
      </c>
      <c r="E424" s="51"/>
      <c r="F424" s="51"/>
      <c r="G424" s="51"/>
      <c r="H424" s="51"/>
      <c r="I424" s="51"/>
      <c r="J424" s="51"/>
      <c r="K424" s="51"/>
      <c r="L424" s="51"/>
      <c r="M424" s="51"/>
      <c r="N424" s="41"/>
      <c r="O424" s="463" t="s">
        <v>1737</v>
      </c>
      <c r="P424" s="2671"/>
      <c r="Q424" s="534"/>
    </row>
    <row r="425" spans="1:32" s="147" customFormat="1" ht="12" customHeight="1">
      <c r="A425" s="46"/>
      <c r="B425" s="51" t="s">
        <v>3569</v>
      </c>
      <c r="C425" s="51" t="s">
        <v>3570</v>
      </c>
      <c r="E425" s="51"/>
      <c r="F425" s="51"/>
      <c r="G425" s="51"/>
      <c r="H425" s="51"/>
      <c r="I425" s="51"/>
      <c r="J425" s="51"/>
      <c r="K425" s="51"/>
      <c r="L425" s="51"/>
      <c r="M425" s="51"/>
      <c r="N425" s="94"/>
      <c r="O425" s="463" t="s">
        <v>1738</v>
      </c>
      <c r="P425" s="2672" t="s">
        <v>2991</v>
      </c>
      <c r="Q425" s="535"/>
      <c r="AE425" s="467"/>
      <c r="AF425" s="467"/>
    </row>
    <row r="426" spans="1:32" ht="12" customHeight="1">
      <c r="A426" s="46" t="s">
        <v>748</v>
      </c>
      <c r="B426" s="51" t="s">
        <v>2200</v>
      </c>
      <c r="C426" s="51"/>
      <c r="E426" s="51"/>
      <c r="F426" s="51"/>
      <c r="G426" s="51"/>
      <c r="H426" s="51"/>
      <c r="I426" s="51"/>
      <c r="J426" s="51"/>
      <c r="K426" s="51"/>
      <c r="L426" s="51"/>
      <c r="M426" s="51"/>
      <c r="N426" s="51"/>
      <c r="O426" s="463" t="s">
        <v>748</v>
      </c>
      <c r="P426" s="2672" t="s">
        <v>2988</v>
      </c>
      <c r="Q426" s="535"/>
    </row>
    <row r="427" spans="1:32" ht="12" customHeight="1">
      <c r="A427" s="46" t="s">
        <v>2114</v>
      </c>
      <c r="B427" s="3486" t="s">
        <v>2813</v>
      </c>
      <c r="C427" s="3486"/>
      <c r="D427" s="3486"/>
      <c r="E427" s="3486"/>
      <c r="F427" s="897"/>
      <c r="G427" s="134" t="s">
        <v>2201</v>
      </c>
      <c r="J427" s="2697">
        <v>0</v>
      </c>
      <c r="K427" s="540"/>
      <c r="M427" s="134" t="s">
        <v>2204</v>
      </c>
      <c r="P427" s="2698">
        <v>0</v>
      </c>
      <c r="Q427" s="541"/>
    </row>
    <row r="428" spans="1:32" ht="12" customHeight="1">
      <c r="A428" s="46"/>
      <c r="B428" s="3486"/>
      <c r="C428" s="3486"/>
      <c r="D428" s="3486"/>
      <c r="E428" s="3486"/>
      <c r="F428" s="897"/>
      <c r="G428" s="134" t="s">
        <v>2202</v>
      </c>
      <c r="J428" s="2698">
        <v>0</v>
      </c>
      <c r="K428" s="541"/>
      <c r="M428" s="134" t="s">
        <v>2205</v>
      </c>
      <c r="P428" s="2699">
        <v>0</v>
      </c>
      <c r="Q428" s="542"/>
    </row>
    <row r="429" spans="1:32" ht="12" customHeight="1">
      <c r="A429" s="46"/>
      <c r="B429" s="3486"/>
      <c r="C429" s="3486"/>
      <c r="D429" s="3486"/>
      <c r="E429" s="3486"/>
      <c r="F429" s="897"/>
      <c r="G429" s="134" t="s">
        <v>2203</v>
      </c>
      <c r="J429" s="2699">
        <v>10</v>
      </c>
      <c r="K429" s="542"/>
      <c r="L429" s="897"/>
      <c r="M429" s="41"/>
      <c r="N429" s="463"/>
    </row>
    <row r="430" spans="1:32" ht="12" customHeight="1">
      <c r="A430" s="46" t="s">
        <v>1734</v>
      </c>
      <c r="B430" s="897" t="s">
        <v>4928</v>
      </c>
      <c r="C430" s="897"/>
      <c r="E430" s="897"/>
      <c r="F430" s="897"/>
      <c r="G430" s="897"/>
      <c r="J430" s="41"/>
      <c r="K430" s="897"/>
      <c r="L430" s="897"/>
      <c r="M430" s="41"/>
      <c r="N430" s="463"/>
      <c r="P430" s="463"/>
      <c r="Q430" s="463"/>
    </row>
    <row r="431" spans="1:32" ht="12" customHeight="1">
      <c r="A431" s="46"/>
      <c r="B431" s="431" t="s">
        <v>1736</v>
      </c>
      <c r="C431" s="897" t="s">
        <v>4777</v>
      </c>
      <c r="E431" s="897"/>
      <c r="G431" s="431" t="s">
        <v>4772</v>
      </c>
      <c r="H431" s="897"/>
      <c r="I431" s="897"/>
      <c r="J431" s="2671" t="s">
        <v>2988</v>
      </c>
      <c r="K431" s="534"/>
      <c r="L431" s="897"/>
      <c r="M431" s="431" t="s">
        <v>4775</v>
      </c>
    </row>
    <row r="432" spans="1:32" ht="12" customHeight="1">
      <c r="A432" s="41"/>
      <c r="G432" s="431" t="s">
        <v>4773</v>
      </c>
      <c r="H432" s="897"/>
      <c r="I432" s="897"/>
      <c r="J432" s="2672" t="s">
        <v>2988</v>
      </c>
      <c r="K432" s="535"/>
      <c r="M432" s="3721"/>
      <c r="N432" s="3722"/>
      <c r="O432" s="3722"/>
      <c r="P432" s="3722"/>
      <c r="Q432" s="3723"/>
    </row>
    <row r="433" spans="1:32" ht="12" customHeight="1">
      <c r="A433" s="41"/>
      <c r="G433" s="431" t="s">
        <v>4774</v>
      </c>
      <c r="H433" s="897"/>
      <c r="J433" s="2673" t="s">
        <v>2988</v>
      </c>
      <c r="K433" s="536"/>
      <c r="M433" s="3724"/>
      <c r="N433" s="3725"/>
      <c r="O433" s="3725"/>
      <c r="P433" s="3725"/>
      <c r="Q433" s="3726"/>
    </row>
    <row r="434" spans="1:32" ht="12" customHeight="1">
      <c r="A434" s="46"/>
      <c r="B434" s="431" t="s">
        <v>1737</v>
      </c>
      <c r="C434" s="897" t="s">
        <v>4776</v>
      </c>
      <c r="D434" s="147"/>
      <c r="E434" s="897"/>
      <c r="F434" s="897"/>
      <c r="L434" s="897"/>
      <c r="M434" s="897"/>
      <c r="O434" s="463" t="s">
        <v>1737</v>
      </c>
      <c r="P434" s="2674" t="s">
        <v>5268</v>
      </c>
      <c r="Q434" s="533" t="s">
        <v>1770</v>
      </c>
    </row>
    <row r="435" spans="1:32" ht="12" customHeight="1">
      <c r="A435" s="41"/>
      <c r="B435" s="147"/>
      <c r="C435" s="431" t="s">
        <v>2434</v>
      </c>
      <c r="D435" s="431" t="s">
        <v>4784</v>
      </c>
      <c r="E435" s="897"/>
      <c r="F435" s="897"/>
      <c r="G435" s="3495" t="s">
        <v>5252</v>
      </c>
      <c r="H435" s="3496"/>
      <c r="I435" s="3496"/>
      <c r="J435" s="3496"/>
      <c r="K435" s="3497"/>
      <c r="L435" s="2094"/>
    </row>
    <row r="436" spans="1:32" ht="12" customHeight="1">
      <c r="A436" s="41"/>
      <c r="B436" s="147"/>
      <c r="C436" s="431" t="s">
        <v>2435</v>
      </c>
      <c r="D436" s="431" t="s">
        <v>4785</v>
      </c>
      <c r="E436" s="897"/>
      <c r="F436" s="2094"/>
      <c r="G436" s="3703" t="s">
        <v>5269</v>
      </c>
      <c r="H436" s="3704"/>
      <c r="I436" s="3705"/>
      <c r="J436" s="431" t="s">
        <v>4786</v>
      </c>
      <c r="K436" s="147"/>
      <c r="M436" s="3495"/>
      <c r="N436" s="3496"/>
      <c r="O436" s="3496"/>
      <c r="P436" s="3496"/>
      <c r="Q436" s="3497"/>
    </row>
    <row r="437" spans="1:32" ht="12" customHeight="1">
      <c r="A437" s="41"/>
      <c r="B437" s="147"/>
      <c r="C437" s="431" t="s">
        <v>4989</v>
      </c>
      <c r="D437" s="147"/>
      <c r="E437" s="897"/>
      <c r="F437" s="897"/>
      <c r="G437" s="897"/>
      <c r="H437" s="897"/>
      <c r="I437" s="897"/>
      <c r="J437" s="897"/>
      <c r="K437" s="897"/>
      <c r="L437" s="897"/>
      <c r="M437" s="897"/>
      <c r="N437" s="897"/>
      <c r="O437" s="897"/>
      <c r="P437" s="897"/>
      <c r="Q437" s="897"/>
    </row>
    <row r="438" spans="1:32" ht="51" customHeight="1">
      <c r="B438" s="3711" t="s">
        <v>5270</v>
      </c>
      <c r="C438" s="3712"/>
      <c r="D438" s="3712"/>
      <c r="E438" s="3712"/>
      <c r="F438" s="3712"/>
      <c r="G438" s="3712"/>
      <c r="H438" s="3712"/>
      <c r="I438" s="3712"/>
      <c r="J438" s="3712"/>
      <c r="K438" s="3712"/>
      <c r="L438" s="3712"/>
      <c r="M438" s="3712"/>
      <c r="N438" s="3712"/>
      <c r="O438" s="3712"/>
      <c r="P438" s="3712"/>
      <c r="Q438" s="3713"/>
      <c r="R438" s="445" t="s">
        <v>4778</v>
      </c>
      <c r="U438" s="135"/>
      <c r="V438" s="135"/>
      <c r="W438" s="135"/>
      <c r="X438" s="135"/>
      <c r="Y438" s="135"/>
      <c r="Z438" s="135"/>
      <c r="AA438" s="135"/>
      <c r="AB438" s="135"/>
      <c r="AC438" s="135"/>
      <c r="AD438" s="135"/>
      <c r="AE438" s="465"/>
    </row>
    <row r="439" spans="1:32" ht="12" customHeight="1">
      <c r="B439" s="140" t="s">
        <v>3751</v>
      </c>
      <c r="D439" s="140"/>
      <c r="E439" s="140"/>
      <c r="F439" s="140"/>
      <c r="G439" s="140"/>
      <c r="H439" s="39"/>
      <c r="I439" s="2300"/>
      <c r="J439" s="2300"/>
      <c r="K439" s="2300"/>
    </row>
    <row r="440" spans="1:32" ht="30.75" customHeight="1">
      <c r="A440" s="3531" t="s">
        <v>5261</v>
      </c>
      <c r="B440" s="3532"/>
      <c r="C440" s="3532"/>
      <c r="D440" s="3532"/>
      <c r="E440" s="3532"/>
      <c r="F440" s="3532"/>
      <c r="G440" s="3532"/>
      <c r="H440" s="3532"/>
      <c r="I440" s="3532"/>
      <c r="J440" s="3532"/>
      <c r="K440" s="3532"/>
      <c r="L440" s="3532"/>
      <c r="M440" s="3532"/>
      <c r="N440" s="3532"/>
      <c r="O440" s="3532"/>
      <c r="P440" s="3532"/>
      <c r="Q440" s="3533"/>
      <c r="U440" s="135"/>
      <c r="V440" s="135"/>
      <c r="W440" s="135"/>
      <c r="X440" s="135"/>
      <c r="Y440" s="135"/>
      <c r="Z440" s="135"/>
      <c r="AA440" s="135"/>
      <c r="AB440" s="135"/>
      <c r="AC440" s="135"/>
      <c r="AD440" s="135"/>
      <c r="AE440" s="465"/>
    </row>
    <row r="441" spans="1:32" ht="12" customHeight="1">
      <c r="B441" s="136" t="s">
        <v>1865</v>
      </c>
      <c r="C441" s="137"/>
      <c r="D441" s="2291"/>
      <c r="E441" s="2291"/>
      <c r="F441" s="2291"/>
      <c r="G441" s="2291"/>
      <c r="H441" s="2291"/>
      <c r="I441" s="2291"/>
      <c r="J441" s="2291"/>
      <c r="K441" s="2291"/>
      <c r="L441" s="2291"/>
      <c r="M441" s="2291"/>
      <c r="N441" s="2291"/>
      <c r="O441" s="2291"/>
      <c r="P441" s="2291"/>
      <c r="Q441" s="2291"/>
    </row>
    <row r="442" spans="1:32" ht="12" customHeight="1">
      <c r="A442" s="3487"/>
      <c r="B442" s="3488"/>
      <c r="C442" s="3488"/>
      <c r="D442" s="3488"/>
      <c r="E442" s="3488"/>
      <c r="F442" s="3488"/>
      <c r="G442" s="3488"/>
      <c r="H442" s="3488"/>
      <c r="I442" s="3488"/>
      <c r="J442" s="3488"/>
      <c r="K442" s="3488"/>
      <c r="L442" s="3488"/>
      <c r="M442" s="3488"/>
      <c r="N442" s="3488"/>
      <c r="O442" s="3488"/>
      <c r="P442" s="3488"/>
      <c r="Q442" s="3489"/>
    </row>
    <row r="443" spans="1:32" ht="3" customHeight="1">
      <c r="A443" s="2288"/>
      <c r="B443" s="2300"/>
      <c r="C443" s="2291"/>
      <c r="D443" s="2291"/>
      <c r="E443" s="2291"/>
      <c r="F443" s="2291"/>
      <c r="G443" s="2291"/>
      <c r="H443" s="2291"/>
      <c r="I443" s="2291"/>
      <c r="J443" s="2291"/>
      <c r="K443" s="2291"/>
      <c r="L443" s="2291"/>
      <c r="M443" s="2291"/>
      <c r="Q443" s="896"/>
    </row>
    <row r="444" spans="1:32" ht="13.95" customHeight="1">
      <c r="A444" s="2285" t="s">
        <v>4109</v>
      </c>
      <c r="B444" s="3" t="s">
        <v>2814</v>
      </c>
      <c r="C444" s="3"/>
      <c r="D444" s="86"/>
      <c r="E444" s="2291"/>
      <c r="F444" s="2291"/>
      <c r="G444" s="2291"/>
      <c r="H444" s="2291"/>
      <c r="O444" s="131" t="s">
        <v>1866</v>
      </c>
      <c r="P444" s="3490"/>
      <c r="Q444" s="3491"/>
    </row>
    <row r="445" spans="1:32" ht="13.95" customHeight="1">
      <c r="B445" s="86" t="s">
        <v>5046</v>
      </c>
      <c r="C445" s="3"/>
      <c r="D445" s="86"/>
      <c r="E445" s="2291"/>
      <c r="F445" s="2291"/>
      <c r="G445" s="2291"/>
      <c r="H445" s="2291"/>
    </row>
    <row r="446" spans="1:32" s="132" customFormat="1" ht="21.75" customHeight="1">
      <c r="A446" s="141" t="s">
        <v>1982</v>
      </c>
      <c r="B446" s="3549" t="s">
        <v>3934</v>
      </c>
      <c r="C446" s="3549"/>
      <c r="D446" s="3549"/>
      <c r="E446" s="3549"/>
      <c r="F446" s="3549"/>
      <c r="G446" s="3549"/>
      <c r="H446" s="3549"/>
      <c r="I446" s="3549"/>
      <c r="J446" s="3549"/>
      <c r="K446" s="3549"/>
      <c r="L446" s="3549"/>
      <c r="M446" s="3549"/>
      <c r="N446" s="3549"/>
      <c r="O446" s="160" t="s">
        <v>1982</v>
      </c>
      <c r="P446" s="2683" t="s">
        <v>5199</v>
      </c>
      <c r="Q446" s="1149"/>
      <c r="AE446" s="466"/>
      <c r="AF446" s="466"/>
    </row>
    <row r="447" spans="1:32" s="132" customFormat="1" ht="22.5" customHeight="1">
      <c r="A447" s="141" t="s">
        <v>1984</v>
      </c>
      <c r="B447" s="3549" t="s">
        <v>3932</v>
      </c>
      <c r="C447" s="3549"/>
      <c r="D447" s="3549"/>
      <c r="E447" s="3549"/>
      <c r="F447" s="3549"/>
      <c r="G447" s="3549"/>
      <c r="H447" s="3549"/>
      <c r="I447" s="3549"/>
      <c r="J447" s="3549"/>
      <c r="K447" s="3549"/>
      <c r="L447" s="3549"/>
      <c r="M447" s="3549"/>
      <c r="N447" s="3549"/>
      <c r="O447" s="160" t="s">
        <v>1984</v>
      </c>
      <c r="P447" s="2681" t="s">
        <v>5199</v>
      </c>
      <c r="Q447" s="2294"/>
      <c r="AE447" s="466"/>
      <c r="AF447" s="466"/>
    </row>
    <row r="448" spans="1:32" s="132" customFormat="1" ht="22.5" customHeight="1">
      <c r="B448" s="2162" t="s">
        <v>1736</v>
      </c>
      <c r="C448" s="3549" t="s">
        <v>4990</v>
      </c>
      <c r="D448" s="3549"/>
      <c r="E448" s="3549"/>
      <c r="F448" s="3549"/>
      <c r="G448" s="3549"/>
      <c r="H448" s="3549"/>
      <c r="I448" s="3549"/>
      <c r="J448" s="3549"/>
      <c r="K448" s="3549"/>
      <c r="L448" s="3549"/>
      <c r="M448" s="3549"/>
      <c r="N448" s="3549"/>
      <c r="O448" s="160" t="s">
        <v>1736</v>
      </c>
      <c r="P448" s="2681" t="s">
        <v>5199</v>
      </c>
      <c r="Q448" s="2294"/>
      <c r="AE448" s="466"/>
      <c r="AF448" s="466"/>
    </row>
    <row r="449" spans="1:32" s="41" customFormat="1" ht="12" customHeight="1">
      <c r="B449" s="2162" t="s">
        <v>1737</v>
      </c>
      <c r="C449" s="35" t="s">
        <v>4991</v>
      </c>
      <c r="D449" s="1115"/>
      <c r="E449" s="1115"/>
      <c r="F449" s="1115"/>
      <c r="G449" s="1115"/>
      <c r="H449" s="1115"/>
      <c r="I449" s="1115"/>
      <c r="J449" s="1115"/>
      <c r="K449" s="1115"/>
      <c r="L449" s="1115"/>
      <c r="M449" s="1115"/>
      <c r="N449" s="1115"/>
      <c r="O449" s="463" t="s">
        <v>1737</v>
      </c>
      <c r="P449" s="2672" t="s">
        <v>5199</v>
      </c>
      <c r="Q449" s="535"/>
      <c r="AE449" s="49"/>
      <c r="AF449" s="49"/>
    </row>
    <row r="450" spans="1:32" s="132" customFormat="1" ht="33" customHeight="1">
      <c r="B450" s="477" t="s">
        <v>1738</v>
      </c>
      <c r="C450" s="3549" t="s">
        <v>4992</v>
      </c>
      <c r="D450" s="3549"/>
      <c r="E450" s="3549"/>
      <c r="F450" s="3549"/>
      <c r="G450" s="3549"/>
      <c r="H450" s="3549"/>
      <c r="I450" s="3549"/>
      <c r="J450" s="3549"/>
      <c r="K450" s="3549"/>
      <c r="L450" s="3549"/>
      <c r="M450" s="3549"/>
      <c r="N450" s="3549"/>
      <c r="O450" s="160" t="s">
        <v>1738</v>
      </c>
      <c r="P450" s="2681" t="s">
        <v>5199</v>
      </c>
      <c r="Q450" s="2294"/>
      <c r="AE450" s="466"/>
      <c r="AF450" s="466"/>
    </row>
    <row r="451" spans="1:32" s="132" customFormat="1" ht="22.5" customHeight="1">
      <c r="B451" s="477" t="s">
        <v>2364</v>
      </c>
      <c r="C451" s="3549" t="s">
        <v>4993</v>
      </c>
      <c r="D451" s="3549"/>
      <c r="E451" s="3549"/>
      <c r="F451" s="3549"/>
      <c r="G451" s="3549"/>
      <c r="H451" s="3549"/>
      <c r="I451" s="3549"/>
      <c r="J451" s="3549"/>
      <c r="K451" s="3549"/>
      <c r="L451" s="3549"/>
      <c r="M451" s="3549"/>
      <c r="N451" s="3549"/>
      <c r="O451" s="160" t="s">
        <v>2364</v>
      </c>
      <c r="P451" s="2681" t="s">
        <v>5199</v>
      </c>
      <c r="Q451" s="2294"/>
      <c r="AE451" s="466"/>
      <c r="AF451" s="466"/>
    </row>
    <row r="452" spans="1:32" s="132" customFormat="1" ht="22.5" customHeight="1">
      <c r="A452" s="141" t="s">
        <v>748</v>
      </c>
      <c r="B452" s="3549" t="s">
        <v>3938</v>
      </c>
      <c r="C452" s="3549"/>
      <c r="D452" s="3549"/>
      <c r="E452" s="3549"/>
      <c r="F452" s="3549"/>
      <c r="G452" s="3549"/>
      <c r="H452" s="3549"/>
      <c r="I452" s="3549"/>
      <c r="J452" s="3549"/>
      <c r="K452" s="3549"/>
      <c r="L452" s="3549"/>
      <c r="M452" s="3549"/>
      <c r="N452" s="3549"/>
      <c r="O452" s="160" t="s">
        <v>748</v>
      </c>
      <c r="P452" s="2681" t="s">
        <v>5199</v>
      </c>
      <c r="Q452" s="2294"/>
      <c r="AE452" s="466"/>
      <c r="AF452" s="466"/>
    </row>
    <row r="453" spans="1:32" s="132" customFormat="1" ht="22.5" customHeight="1">
      <c r="A453" s="141" t="s">
        <v>2114</v>
      </c>
      <c r="B453" s="3549" t="s">
        <v>3939</v>
      </c>
      <c r="C453" s="3549"/>
      <c r="D453" s="3549"/>
      <c r="E453" s="3549"/>
      <c r="F453" s="3549"/>
      <c r="G453" s="3549"/>
      <c r="H453" s="3549"/>
      <c r="I453" s="3549"/>
      <c r="J453" s="3549"/>
      <c r="K453" s="3549"/>
      <c r="L453" s="3549"/>
      <c r="M453" s="3549"/>
      <c r="N453" s="3549"/>
      <c r="O453" s="160" t="s">
        <v>2114</v>
      </c>
      <c r="P453" s="2681" t="s">
        <v>5199</v>
      </c>
      <c r="Q453" s="2294"/>
      <c r="AE453" s="466"/>
      <c r="AF453" s="466"/>
    </row>
    <row r="454" spans="1:32" s="132" customFormat="1" ht="21.75" customHeight="1">
      <c r="A454" s="141" t="s">
        <v>1734</v>
      </c>
      <c r="B454" s="3549" t="s">
        <v>3940</v>
      </c>
      <c r="C454" s="3549"/>
      <c r="D454" s="3549"/>
      <c r="E454" s="3549"/>
      <c r="F454" s="3549"/>
      <c r="G454" s="3549"/>
      <c r="H454" s="3549"/>
      <c r="I454" s="3549"/>
      <c r="J454" s="3549"/>
      <c r="K454" s="3549"/>
      <c r="L454" s="3549"/>
      <c r="M454" s="3549"/>
      <c r="N454" s="3549"/>
      <c r="O454" s="160" t="s">
        <v>1734</v>
      </c>
      <c r="P454" s="2681" t="s">
        <v>5199</v>
      </c>
      <c r="Q454" s="2294"/>
      <c r="AE454" s="466"/>
      <c r="AF454" s="466"/>
    </row>
    <row r="455" spans="1:32" s="414" customFormat="1" ht="21.75" customHeight="1">
      <c r="A455" s="141" t="s">
        <v>1735</v>
      </c>
      <c r="B455" s="3549" t="s">
        <v>3475</v>
      </c>
      <c r="C455" s="3549"/>
      <c r="D455" s="3549"/>
      <c r="E455" s="3549"/>
      <c r="F455" s="3549"/>
      <c r="G455" s="3549"/>
      <c r="H455" s="3549"/>
      <c r="I455" s="3549"/>
      <c r="J455" s="3549"/>
      <c r="K455" s="3549"/>
      <c r="L455" s="3549"/>
      <c r="M455" s="3549"/>
      <c r="N455" s="3549"/>
      <c r="O455" s="160" t="s">
        <v>1735</v>
      </c>
      <c r="P455" s="2684" t="s">
        <v>5199</v>
      </c>
      <c r="Q455" s="2303"/>
      <c r="AE455" s="468"/>
      <c r="AF455" s="468"/>
    </row>
    <row r="456" spans="1:32" ht="11.25" customHeight="1">
      <c r="B456" s="140" t="s">
        <v>3751</v>
      </c>
      <c r="D456" s="140"/>
      <c r="E456" s="140"/>
      <c r="F456" s="140"/>
      <c r="G456" s="140"/>
      <c r="H456" s="39"/>
      <c r="I456" s="2300"/>
      <c r="J456" s="2300"/>
      <c r="K456" s="2300"/>
      <c r="L456" s="2288"/>
      <c r="M456" s="2288"/>
      <c r="N456" s="2288"/>
      <c r="O456" s="2288"/>
      <c r="P456" s="2288"/>
      <c r="Q456" s="896"/>
    </row>
    <row r="457" spans="1:32" ht="22.5" customHeight="1">
      <c r="A457" s="3531" t="s">
        <v>5237</v>
      </c>
      <c r="B457" s="3532"/>
      <c r="C457" s="3532"/>
      <c r="D457" s="3532"/>
      <c r="E457" s="3532"/>
      <c r="F457" s="3532"/>
      <c r="G457" s="3532"/>
      <c r="H457" s="3532"/>
      <c r="I457" s="3532"/>
      <c r="J457" s="3532"/>
      <c r="K457" s="3532"/>
      <c r="L457" s="3532"/>
      <c r="M457" s="3532"/>
      <c r="N457" s="3532"/>
      <c r="O457" s="3532"/>
      <c r="P457" s="3532"/>
      <c r="Q457" s="3533"/>
      <c r="R457" s="445" t="s">
        <v>1253</v>
      </c>
      <c r="S457" s="446"/>
      <c r="U457" s="135"/>
      <c r="V457" s="135"/>
      <c r="W457" s="135"/>
      <c r="X457" s="135"/>
      <c r="Y457" s="135"/>
      <c r="Z457" s="135"/>
      <c r="AA457" s="135"/>
      <c r="AB457" s="135"/>
      <c r="AC457" s="135"/>
      <c r="AD457" s="135"/>
      <c r="AE457" s="465"/>
    </row>
    <row r="458" spans="1:32" ht="11.25" customHeight="1">
      <c r="B458" s="136" t="s">
        <v>1865</v>
      </c>
      <c r="C458" s="137"/>
      <c r="D458" s="2291"/>
      <c r="E458" s="2291"/>
      <c r="F458" s="2291"/>
      <c r="G458" s="2291"/>
      <c r="H458" s="2291"/>
      <c r="I458" s="2291"/>
      <c r="J458" s="2291"/>
      <c r="K458" s="2291"/>
      <c r="L458" s="2291"/>
      <c r="M458" s="2291"/>
      <c r="N458" s="2291"/>
      <c r="O458" s="2291"/>
      <c r="P458" s="2291"/>
      <c r="Q458" s="2291"/>
    </row>
    <row r="459" spans="1:32" ht="22.5" customHeight="1">
      <c r="A459" s="3487"/>
      <c r="B459" s="3488"/>
      <c r="C459" s="3488"/>
      <c r="D459" s="3488"/>
      <c r="E459" s="3488"/>
      <c r="F459" s="3488"/>
      <c r="G459" s="3488"/>
      <c r="H459" s="3488"/>
      <c r="I459" s="3488"/>
      <c r="J459" s="3488"/>
      <c r="K459" s="3488"/>
      <c r="L459" s="3488"/>
      <c r="M459" s="3488"/>
      <c r="N459" s="3488"/>
      <c r="O459" s="3488"/>
      <c r="P459" s="3488"/>
      <c r="Q459" s="3489"/>
    </row>
    <row r="460" spans="1:32" ht="3" customHeight="1">
      <c r="A460" s="2288"/>
      <c r="B460" s="2300"/>
      <c r="C460" s="2291"/>
      <c r="D460" s="2291"/>
      <c r="E460" s="2291"/>
      <c r="F460" s="2291"/>
      <c r="G460" s="2291"/>
      <c r="H460" s="2291"/>
      <c r="I460" s="2291"/>
      <c r="J460" s="2291"/>
      <c r="K460" s="2291"/>
      <c r="L460" s="2291"/>
      <c r="M460" s="2291"/>
      <c r="Q460" s="896"/>
    </row>
    <row r="461" spans="1:32" s="42" customFormat="1" ht="12.75" customHeight="1">
      <c r="A461" s="2285" t="s">
        <v>4787</v>
      </c>
      <c r="C461" s="9" t="s">
        <v>2718</v>
      </c>
      <c r="D461" s="57"/>
      <c r="E461" s="51"/>
      <c r="J461" s="60"/>
      <c r="M461" s="2287"/>
      <c r="N461" s="5"/>
      <c r="O461" s="131" t="s">
        <v>1866</v>
      </c>
      <c r="P461" s="3490"/>
      <c r="Q461" s="3491"/>
    </row>
    <row r="462" spans="1:32" s="147" customFormat="1" ht="12" customHeight="1">
      <c r="A462" s="620"/>
      <c r="B462" s="620" t="s">
        <v>4795</v>
      </c>
      <c r="C462" s="620"/>
      <c r="D462" s="620"/>
      <c r="E462" s="620"/>
      <c r="F462" s="620"/>
      <c r="G462" s="620"/>
      <c r="H462" s="620"/>
      <c r="I462" s="620"/>
      <c r="J462" s="620"/>
      <c r="K462" s="620"/>
      <c r="L462" s="620"/>
      <c r="M462" s="620"/>
      <c r="N462" s="620"/>
      <c r="O462" s="620"/>
      <c r="P462" s="2671" t="s">
        <v>2991</v>
      </c>
      <c r="Q462" s="534"/>
      <c r="AE462" s="467"/>
      <c r="AF462" s="467"/>
    </row>
    <row r="463" spans="1:32" s="147" customFormat="1" ht="12" customHeight="1">
      <c r="A463" s="620"/>
      <c r="B463" s="620" t="s">
        <v>4796</v>
      </c>
      <c r="C463" s="620"/>
      <c r="D463" s="620"/>
      <c r="E463" s="620"/>
      <c r="F463" s="620"/>
      <c r="G463" s="620"/>
      <c r="H463" s="620"/>
      <c r="I463" s="620"/>
      <c r="J463" s="620"/>
      <c r="K463" s="620"/>
      <c r="L463" s="620"/>
      <c r="M463" s="620"/>
      <c r="N463" s="620"/>
      <c r="O463" s="620"/>
      <c r="P463" s="2673" t="s">
        <v>5153</v>
      </c>
      <c r="Q463" s="536"/>
      <c r="AE463" s="467"/>
      <c r="AF463" s="467"/>
    </row>
    <row r="464" spans="1:32" s="42" customFormat="1" ht="12" customHeight="1" thickBot="1">
      <c r="A464" s="46" t="s">
        <v>1982</v>
      </c>
      <c r="B464" s="86" t="s">
        <v>4788</v>
      </c>
      <c r="D464" s="32"/>
      <c r="E464" s="32"/>
      <c r="F464" s="32"/>
      <c r="O464" s="463" t="s">
        <v>1982</v>
      </c>
    </row>
    <row r="465" spans="1:31" s="412" customFormat="1" ht="15" customHeight="1" thickBot="1">
      <c r="A465" s="141"/>
      <c r="B465" s="440" t="s">
        <v>1985</v>
      </c>
      <c r="C465" s="3549" t="s">
        <v>4915</v>
      </c>
      <c r="D465" s="3549"/>
      <c r="E465" s="3549"/>
      <c r="F465" s="3549"/>
      <c r="G465" s="3549"/>
      <c r="H465" s="3549"/>
      <c r="I465" s="3549"/>
      <c r="J465" s="3549"/>
      <c r="K465" s="3492" t="s">
        <v>5041</v>
      </c>
      <c r="L465" s="2199" t="s">
        <v>4790</v>
      </c>
      <c r="M465" s="2205"/>
      <c r="N465" s="2200">
        <f>ROUNDUP('Part VI-Revenues &amp; Expenses'!$O$63*0.1,0)</f>
        <v>4</v>
      </c>
      <c r="O465" s="390" t="s">
        <v>1985</v>
      </c>
      <c r="P465" s="3720" t="s">
        <v>5199</v>
      </c>
      <c r="Q465" s="3719"/>
      <c r="R465" s="2197"/>
      <c r="S465" s="2197"/>
    </row>
    <row r="466" spans="1:31" s="412" customFormat="1" ht="15" customHeight="1">
      <c r="A466" s="141"/>
      <c r="B466" s="440"/>
      <c r="C466" s="3549"/>
      <c r="D466" s="3549"/>
      <c r="E466" s="3549"/>
      <c r="F466" s="3549"/>
      <c r="G466" s="3549"/>
      <c r="H466" s="3549"/>
      <c r="I466" s="3549"/>
      <c r="J466" s="3549"/>
      <c r="K466" s="3493"/>
      <c r="L466" s="2194" t="s">
        <v>5042</v>
      </c>
      <c r="M466" s="2206"/>
      <c r="N466" s="2198">
        <f>'Part VI-Revenues &amp; Expenses'!$O$63</f>
        <v>39</v>
      </c>
      <c r="P466" s="3551"/>
      <c r="Q466" s="3550"/>
      <c r="R466" s="2197"/>
      <c r="S466" s="2197"/>
    </row>
    <row r="467" spans="1:31" s="412" customFormat="1" ht="15" customHeight="1">
      <c r="A467" s="141"/>
      <c r="B467" s="440"/>
      <c r="C467" s="3549"/>
      <c r="D467" s="3549"/>
      <c r="E467" s="3549"/>
      <c r="F467" s="3549"/>
      <c r="G467" s="3549"/>
      <c r="H467" s="3549"/>
      <c r="I467" s="3549"/>
      <c r="J467" s="3549"/>
      <c r="K467" s="2196">
        <f>'Part VI-Revenues &amp; Expenses'!$O$88</f>
        <v>0</v>
      </c>
      <c r="L467" s="1208" t="s">
        <v>4792</v>
      </c>
      <c r="M467" s="2207"/>
      <c r="N467" s="2129">
        <f>'Part VI-Revenues &amp; Expenses'!$O$67</f>
        <v>40</v>
      </c>
      <c r="P467" s="3551"/>
      <c r="Q467" s="3550"/>
    </row>
    <row r="468" spans="1:31" s="436" customFormat="1" ht="22.5" customHeight="1">
      <c r="A468" s="525"/>
      <c r="B468" s="440" t="s">
        <v>1987</v>
      </c>
      <c r="C468" s="3549" t="s">
        <v>4916</v>
      </c>
      <c r="D468" s="3549"/>
      <c r="E468" s="3549"/>
      <c r="F468" s="3549"/>
      <c r="G468" s="3549"/>
      <c r="H468" s="3549"/>
      <c r="I468" s="3549"/>
      <c r="J468" s="3549"/>
      <c r="K468" s="587"/>
      <c r="L468" s="587"/>
      <c r="M468" s="587"/>
      <c r="O468" s="390" t="s">
        <v>1987</v>
      </c>
      <c r="P468" s="2681" t="s">
        <v>2988</v>
      </c>
      <c r="Q468" s="2294"/>
    </row>
    <row r="469" spans="1:31" s="436" customFormat="1" ht="12" customHeight="1" thickBot="1">
      <c r="A469" s="525"/>
      <c r="B469" s="440" t="s">
        <v>2533</v>
      </c>
      <c r="C469" s="3549" t="s">
        <v>4917</v>
      </c>
      <c r="D469" s="3549"/>
      <c r="E469" s="3549"/>
      <c r="F469" s="3549"/>
      <c r="G469" s="3549"/>
      <c r="H469" s="3549"/>
      <c r="I469" s="587"/>
      <c r="J469" s="1115" t="s">
        <v>4793</v>
      </c>
      <c r="K469" s="2130">
        <f>'Part VI-Revenues &amp; Expenses'!$O$103</f>
        <v>0</v>
      </c>
      <c r="L469" s="1207" t="s">
        <v>4791</v>
      </c>
      <c r="M469" s="2202"/>
      <c r="N469" s="2195">
        <f>ROUNDUP(N467*0.1,0)</f>
        <v>4</v>
      </c>
      <c r="O469" s="390" t="s">
        <v>2533</v>
      </c>
      <c r="P469" s="3551" t="s">
        <v>5153</v>
      </c>
      <c r="Q469" s="3550"/>
      <c r="R469" s="2197"/>
      <c r="S469" s="2197"/>
    </row>
    <row r="470" spans="1:31" s="436" customFormat="1" ht="12" customHeight="1" thickBot="1">
      <c r="A470" s="525"/>
      <c r="B470" s="440"/>
      <c r="C470" s="3549"/>
      <c r="D470" s="3549"/>
      <c r="E470" s="3549"/>
      <c r="F470" s="3549"/>
      <c r="G470" s="3549"/>
      <c r="H470" s="3549"/>
      <c r="I470" s="587"/>
      <c r="J470" s="1115" t="s">
        <v>4794</v>
      </c>
      <c r="K470" s="2131">
        <f>IF(N467=0,"",K469/N467)</f>
        <v>0</v>
      </c>
      <c r="L470" s="2203" t="s">
        <v>5040</v>
      </c>
      <c r="M470" s="2204"/>
      <c r="N470" s="2201">
        <f>'Part VI-Revenues &amp; Expenses'!$K$67/'Part VI-Revenues &amp; Expenses'!$O$67</f>
        <v>0.3</v>
      </c>
      <c r="O470" s="390" t="str">
        <f>IF(AND(N470&lt;0.1,P469="Yes"), "Check!","")</f>
        <v/>
      </c>
      <c r="P470" s="3715"/>
      <c r="Q470" s="3714"/>
      <c r="R470" s="2197"/>
      <c r="S470" s="2197"/>
    </row>
    <row r="471" spans="1:31" s="42" customFormat="1" ht="12" customHeight="1">
      <c r="A471" s="46" t="s">
        <v>1984</v>
      </c>
      <c r="B471" s="86" t="s">
        <v>4918</v>
      </c>
      <c r="D471" s="39"/>
      <c r="G471" s="35"/>
      <c r="M471" s="5"/>
      <c r="R471" s="376"/>
    </row>
    <row r="472" spans="1:31" s="412" customFormat="1" ht="21.75" customHeight="1">
      <c r="A472" s="141"/>
      <c r="B472" s="3549" t="s">
        <v>4919</v>
      </c>
      <c r="C472" s="3549"/>
      <c r="D472" s="3549"/>
      <c r="E472" s="3549"/>
      <c r="F472" s="3549"/>
      <c r="G472" s="3549"/>
      <c r="H472" s="3549"/>
      <c r="I472" s="3549"/>
      <c r="J472" s="3549"/>
      <c r="K472" s="3549"/>
      <c r="L472" s="3549"/>
      <c r="M472" s="3549"/>
      <c r="N472" s="3549"/>
      <c r="O472" s="160" t="s">
        <v>1984</v>
      </c>
      <c r="P472" s="2691" t="s">
        <v>5239</v>
      </c>
      <c r="Q472" s="1150"/>
      <c r="R472" s="511"/>
    </row>
    <row r="473" spans="1:31" s="42" customFormat="1" ht="11.25" customHeight="1">
      <c r="A473" s="41"/>
      <c r="B473" s="95" t="s">
        <v>3751</v>
      </c>
      <c r="C473" s="41"/>
      <c r="D473" s="47"/>
      <c r="E473" s="47"/>
      <c r="F473" s="47"/>
      <c r="G473" s="47"/>
      <c r="H473" s="35"/>
      <c r="I473" s="35"/>
      <c r="J473" s="35"/>
      <c r="K473" s="35"/>
      <c r="M473" s="45"/>
      <c r="N473" s="61"/>
      <c r="O473" s="2"/>
      <c r="P473" s="2290"/>
    </row>
    <row r="474" spans="1:31" s="42" customFormat="1" ht="21.75" customHeight="1">
      <c r="A474" s="3531" t="s">
        <v>5240</v>
      </c>
      <c r="B474" s="3532"/>
      <c r="C474" s="3532"/>
      <c r="D474" s="3532"/>
      <c r="E474" s="3532"/>
      <c r="F474" s="3532"/>
      <c r="G474" s="3532"/>
      <c r="H474" s="3532"/>
      <c r="I474" s="3532"/>
      <c r="J474" s="3532"/>
      <c r="K474" s="3532"/>
      <c r="L474" s="3532"/>
      <c r="M474" s="3532"/>
      <c r="N474" s="3532"/>
      <c r="O474" s="3532"/>
      <c r="P474" s="3532"/>
      <c r="Q474" s="3533"/>
      <c r="R474" s="1074" t="s">
        <v>1253</v>
      </c>
    </row>
    <row r="475" spans="1:31" s="42" customFormat="1" ht="10.5" customHeight="1">
      <c r="B475" s="85" t="s">
        <v>1865</v>
      </c>
      <c r="C475" s="98"/>
      <c r="D475" s="85"/>
      <c r="E475" s="99"/>
      <c r="F475" s="2291"/>
      <c r="G475" s="2291"/>
      <c r="H475" s="2291"/>
      <c r="I475" s="2291"/>
      <c r="J475" s="2291"/>
      <c r="K475" s="2291"/>
      <c r="L475" s="2291"/>
      <c r="M475" s="2291"/>
      <c r="N475" s="74"/>
      <c r="O475" s="70"/>
      <c r="P475" s="2287"/>
      <c r="Q475" s="426"/>
    </row>
    <row r="476" spans="1:31" s="42" customFormat="1" ht="11.25" customHeight="1">
      <c r="A476" s="3487"/>
      <c r="B476" s="3488"/>
      <c r="C476" s="3488"/>
      <c r="D476" s="3488"/>
      <c r="E476" s="3488"/>
      <c r="F476" s="3488"/>
      <c r="G476" s="3488"/>
      <c r="H476" s="3488"/>
      <c r="I476" s="3488"/>
      <c r="J476" s="3488"/>
      <c r="K476" s="3488"/>
      <c r="L476" s="3488"/>
      <c r="M476" s="3488"/>
      <c r="N476" s="3488"/>
      <c r="O476" s="3488"/>
      <c r="P476" s="3488"/>
      <c r="Q476" s="3489"/>
    </row>
    <row r="477" spans="1:31" ht="3" customHeight="1">
      <c r="A477" s="2288"/>
      <c r="B477" s="2300"/>
      <c r="C477" s="2291"/>
      <c r="D477" s="2291"/>
      <c r="E477" s="2291"/>
      <c r="F477" s="2291"/>
      <c r="G477" s="2291"/>
      <c r="H477" s="2291"/>
      <c r="I477" s="2291"/>
      <c r="J477" s="2291"/>
      <c r="K477" s="2291"/>
      <c r="L477" s="2291"/>
      <c r="M477" s="2291"/>
      <c r="N477" s="2291"/>
      <c r="O477" s="2291"/>
      <c r="P477" s="2291"/>
      <c r="Q477" s="2288"/>
    </row>
    <row r="478" spans="1:31" ht="13.95" customHeight="1">
      <c r="A478" s="2285" t="s">
        <v>4789</v>
      </c>
      <c r="B478" s="3"/>
      <c r="C478" s="3" t="s">
        <v>2669</v>
      </c>
      <c r="D478" s="86"/>
      <c r="E478" s="2291"/>
      <c r="F478" s="2291"/>
      <c r="G478" s="2291"/>
      <c r="H478" s="2291"/>
      <c r="I478" s="2291"/>
      <c r="J478" s="2291"/>
      <c r="K478" s="2291"/>
      <c r="L478" s="2291"/>
      <c r="M478" s="2291"/>
      <c r="O478" s="131" t="s">
        <v>1866</v>
      </c>
      <c r="P478" s="3490"/>
      <c r="Q478" s="3491"/>
    </row>
    <row r="479" spans="1:31" ht="11.25" customHeight="1">
      <c r="A479" s="2285"/>
      <c r="B479" s="140" t="s">
        <v>3751</v>
      </c>
      <c r="D479" s="140"/>
      <c r="E479" s="140"/>
      <c r="F479" s="140"/>
      <c r="G479" s="140"/>
      <c r="H479" s="39"/>
      <c r="I479" s="2300"/>
      <c r="J479" s="2300"/>
      <c r="K479" s="2300"/>
      <c r="L479" s="2288"/>
      <c r="M479" s="2288"/>
      <c r="N479" s="2288"/>
      <c r="O479" s="2288"/>
      <c r="P479" s="2288"/>
      <c r="Q479" s="896"/>
    </row>
    <row r="480" spans="1:31" ht="57" customHeight="1">
      <c r="A480" s="3531" t="s">
        <v>5238</v>
      </c>
      <c r="B480" s="3532"/>
      <c r="C480" s="3532"/>
      <c r="D480" s="3532"/>
      <c r="E480" s="3532"/>
      <c r="F480" s="3532"/>
      <c r="G480" s="3532"/>
      <c r="H480" s="3532"/>
      <c r="I480" s="3532"/>
      <c r="J480" s="3532"/>
      <c r="K480" s="3532"/>
      <c r="L480" s="3532"/>
      <c r="M480" s="3532"/>
      <c r="N480" s="3532"/>
      <c r="O480" s="3532"/>
      <c r="P480" s="3532"/>
      <c r="Q480" s="3533"/>
      <c r="R480" s="445" t="s">
        <v>1253</v>
      </c>
      <c r="S480" s="446"/>
      <c r="U480" s="135"/>
      <c r="V480" s="135"/>
      <c r="W480" s="135"/>
      <c r="X480" s="135"/>
      <c r="Y480" s="135"/>
      <c r="Z480" s="135"/>
      <c r="AA480" s="135"/>
      <c r="AB480" s="135"/>
      <c r="AC480" s="135"/>
      <c r="AD480" s="135"/>
      <c r="AE480" s="465"/>
    </row>
    <row r="481" spans="1:32" ht="11.25" customHeight="1">
      <c r="B481" s="136" t="s">
        <v>1865</v>
      </c>
      <c r="C481" s="137"/>
      <c r="D481" s="2291"/>
      <c r="E481" s="2291"/>
      <c r="F481" s="2291"/>
      <c r="G481" s="2291"/>
      <c r="H481" s="2291"/>
      <c r="I481" s="2291"/>
      <c r="J481" s="2291"/>
      <c r="K481" s="2291"/>
      <c r="L481" s="2291"/>
      <c r="M481" s="2291"/>
      <c r="N481" s="2291"/>
      <c r="O481" s="2291"/>
      <c r="P481" s="2291"/>
      <c r="Q481" s="2291"/>
    </row>
    <row r="482" spans="1:32" ht="22.5" customHeight="1">
      <c r="A482" s="3487"/>
      <c r="B482" s="3488"/>
      <c r="C482" s="3488"/>
      <c r="D482" s="3488"/>
      <c r="E482" s="3488"/>
      <c r="F482" s="3488"/>
      <c r="G482" s="3488"/>
      <c r="H482" s="3488"/>
      <c r="I482" s="3488"/>
      <c r="J482" s="3488"/>
      <c r="K482" s="3488"/>
      <c r="L482" s="3488"/>
      <c r="M482" s="3488"/>
      <c r="N482" s="3488"/>
      <c r="O482" s="3488"/>
      <c r="P482" s="3488"/>
      <c r="Q482" s="3489"/>
    </row>
    <row r="483" spans="1:32" ht="3" customHeight="1">
      <c r="A483" s="2288"/>
      <c r="B483" s="2300"/>
      <c r="C483" s="2291"/>
      <c r="D483" s="2291"/>
      <c r="E483" s="2291"/>
      <c r="F483" s="2291"/>
      <c r="G483" s="2291"/>
      <c r="H483" s="2291"/>
      <c r="I483" s="2291"/>
      <c r="J483" s="2291"/>
      <c r="K483" s="2291"/>
      <c r="L483" s="2291"/>
      <c r="M483" s="2291"/>
      <c r="N483" s="2291"/>
      <c r="O483" s="2291"/>
      <c r="P483" s="2291"/>
      <c r="Q483" s="2288"/>
    </row>
    <row r="484" spans="1:32" ht="3" customHeight="1">
      <c r="A484" s="2288"/>
      <c r="B484" s="2300"/>
      <c r="C484" s="2291"/>
      <c r="D484" s="2291"/>
      <c r="E484" s="2291"/>
      <c r="F484" s="2291"/>
      <c r="G484" s="2291"/>
      <c r="H484" s="2291"/>
      <c r="I484" s="2291"/>
      <c r="J484" s="2291"/>
      <c r="K484" s="2291"/>
      <c r="L484" s="2291"/>
      <c r="M484" s="2291"/>
      <c r="N484" s="2291"/>
      <c r="O484" s="2291"/>
      <c r="P484" s="2291"/>
      <c r="Q484" s="2288"/>
    </row>
    <row r="485" spans="1:32" ht="13.95" customHeight="1">
      <c r="A485" s="2285" t="s">
        <v>4797</v>
      </c>
      <c r="B485" s="3"/>
      <c r="C485" s="3" t="s">
        <v>4967</v>
      </c>
      <c r="D485" s="86"/>
      <c r="E485" s="2291"/>
      <c r="F485" s="2291"/>
      <c r="G485" s="2291"/>
      <c r="H485" s="2291"/>
      <c r="I485" s="2291"/>
      <c r="J485" s="2291"/>
      <c r="K485" s="2291"/>
      <c r="L485" s="2291"/>
      <c r="M485" s="2291"/>
      <c r="O485" s="131" t="s">
        <v>1866</v>
      </c>
      <c r="P485" s="3490"/>
      <c r="Q485" s="3491"/>
    </row>
    <row r="486" spans="1:32" s="102" customFormat="1" ht="11.25" customHeight="1">
      <c r="B486" s="179" t="s">
        <v>4798</v>
      </c>
      <c r="D486" s="60"/>
      <c r="E486" s="60"/>
      <c r="F486" s="43"/>
      <c r="G486" s="26"/>
      <c r="L486" s="376"/>
      <c r="M486" s="376"/>
      <c r="N486" s="376"/>
      <c r="O486" s="376"/>
      <c r="P486" s="376"/>
      <c r="Q486" s="376"/>
      <c r="R486" s="376"/>
      <c r="T486" s="1070"/>
      <c r="U486" s="1070"/>
    </row>
    <row r="487" spans="1:32" s="102" customFormat="1" ht="10.5" customHeight="1">
      <c r="A487" s="138"/>
      <c r="B487" s="39" t="s">
        <v>4920</v>
      </c>
      <c r="D487" s="60"/>
      <c r="E487" s="60"/>
      <c r="F487" s="43"/>
      <c r="G487" s="26"/>
      <c r="K487" s="463"/>
      <c r="M487" s="6"/>
      <c r="N487" s="463"/>
      <c r="P487" s="2674"/>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0.199999999999999">
      <c r="B501" s="1043"/>
      <c r="C501" s="1042" t="s">
        <v>1648</v>
      </c>
      <c r="D501" s="1042"/>
      <c r="E501" s="1042"/>
      <c r="F501" s="1042"/>
      <c r="G501" s="1042"/>
      <c r="H501" s="1042"/>
      <c r="I501" s="1042"/>
      <c r="J501" s="1042" t="s">
        <v>1013</v>
      </c>
      <c r="K501" s="1042"/>
      <c r="L501" s="1043"/>
      <c r="M501" s="1043"/>
      <c r="N501" s="1044"/>
      <c r="O501" s="1043" t="s">
        <v>2883</v>
      </c>
      <c r="P501" s="1045"/>
      <c r="AE501" s="438"/>
      <c r="AF501" s="438"/>
    </row>
    <row r="502" spans="1:32" s="431" customFormat="1" ht="10.199999999999999">
      <c r="B502" s="1043"/>
      <c r="C502" s="1043" t="s">
        <v>2088</v>
      </c>
      <c r="D502" s="1043"/>
      <c r="E502" s="1043"/>
      <c r="F502" s="1043"/>
      <c r="G502" s="1043"/>
      <c r="H502" s="1043"/>
      <c r="I502" s="1043"/>
      <c r="J502" s="1043" t="s">
        <v>1770</v>
      </c>
      <c r="K502" s="1043"/>
      <c r="L502" s="1043"/>
      <c r="M502" s="1043"/>
      <c r="N502" s="1044"/>
      <c r="O502" s="1043" t="s">
        <v>3831</v>
      </c>
      <c r="P502" s="1045"/>
      <c r="AE502" s="438"/>
      <c r="AF502" s="438"/>
    </row>
    <row r="503" spans="1:32" s="431" customFormat="1" ht="10.199999999999999">
      <c r="B503" s="1043"/>
      <c r="C503" s="1042" t="s">
        <v>2543</v>
      </c>
      <c r="D503" s="1042"/>
      <c r="E503" s="1042"/>
      <c r="F503" s="1042"/>
      <c r="G503" s="1042"/>
      <c r="H503" s="1042"/>
      <c r="I503" s="1042"/>
      <c r="J503" s="2132" t="s">
        <v>1723</v>
      </c>
      <c r="K503" s="1042"/>
      <c r="L503" s="1043"/>
      <c r="M503" s="1043"/>
      <c r="N503" s="1044"/>
      <c r="O503" s="1043" t="s">
        <v>3832</v>
      </c>
      <c r="P503" s="1045"/>
      <c r="AE503" s="438"/>
      <c r="AF503" s="438"/>
    </row>
    <row r="504" spans="1:32" s="431" customFormat="1" ht="10.199999999999999">
      <c r="B504" s="1043"/>
      <c r="C504" s="1042" t="s">
        <v>2089</v>
      </c>
      <c r="D504" s="1042"/>
      <c r="E504" s="1042"/>
      <c r="F504" s="1042"/>
      <c r="G504" s="1042"/>
      <c r="H504" s="1042"/>
      <c r="I504" s="1042"/>
      <c r="J504" s="2132" t="s">
        <v>230</v>
      </c>
      <c r="K504" s="1042"/>
      <c r="L504" s="1043"/>
      <c r="M504" s="1043"/>
      <c r="N504" s="1044"/>
      <c r="O504" s="1043" t="s">
        <v>3833</v>
      </c>
      <c r="P504" s="1045"/>
      <c r="AE504" s="438"/>
      <c r="AF504" s="438"/>
    </row>
    <row r="505" spans="1:32" s="431" customFormat="1" ht="10.199999999999999">
      <c r="B505" s="1043"/>
      <c r="C505" s="1042" t="s">
        <v>2090</v>
      </c>
      <c r="D505" s="1042"/>
      <c r="E505" s="1042"/>
      <c r="F505" s="1042"/>
      <c r="G505" s="1042"/>
      <c r="H505" s="1042"/>
      <c r="I505" s="1042"/>
      <c r="J505" s="1043" t="s">
        <v>1185</v>
      </c>
      <c r="K505" s="1042"/>
      <c r="L505" s="1043"/>
      <c r="M505" s="1043"/>
      <c r="N505" s="1044"/>
      <c r="O505" s="1043" t="s">
        <v>3834</v>
      </c>
      <c r="P505" s="1045"/>
      <c r="AE505" s="438"/>
      <c r="AF505" s="438"/>
    </row>
    <row r="506" spans="1:32" s="431" customFormat="1" ht="10.199999999999999">
      <c r="B506" s="1043"/>
      <c r="C506" s="1050" t="s">
        <v>2091</v>
      </c>
      <c r="D506" s="1042"/>
      <c r="E506" s="1042"/>
      <c r="F506" s="1042"/>
      <c r="G506" s="1042"/>
      <c r="H506" s="1042"/>
      <c r="I506" s="1042"/>
      <c r="J506" s="2133" t="s">
        <v>2103</v>
      </c>
      <c r="K506" s="1042"/>
      <c r="L506" s="1043"/>
      <c r="M506" s="1043"/>
      <c r="N506" s="1044"/>
      <c r="O506" s="1043" t="s">
        <v>3864</v>
      </c>
      <c r="P506" s="1045"/>
      <c r="AE506" s="438"/>
      <c r="AF506" s="438"/>
    </row>
    <row r="507" spans="1:32" s="431" customFormat="1" ht="10.199999999999999">
      <c r="B507" s="1043"/>
      <c r="C507" s="1050" t="s">
        <v>2092</v>
      </c>
      <c r="D507" s="1042"/>
      <c r="E507" s="1042"/>
      <c r="F507" s="1042"/>
      <c r="G507" s="1042"/>
      <c r="H507" s="1042"/>
      <c r="I507" s="1042"/>
      <c r="J507" s="2132" t="s">
        <v>1660</v>
      </c>
      <c r="K507" s="1042"/>
      <c r="L507" s="1043"/>
      <c r="M507" s="1043"/>
      <c r="N507" s="1044"/>
      <c r="O507" s="1043" t="s">
        <v>3835</v>
      </c>
      <c r="P507" s="1045"/>
      <c r="AE507" s="438"/>
      <c r="AF507" s="438"/>
    </row>
    <row r="508" spans="1:32" s="431" customFormat="1" ht="10.199999999999999">
      <c r="B508" s="1043"/>
      <c r="C508" s="1050"/>
      <c r="D508" s="1042"/>
      <c r="E508" s="1042"/>
      <c r="F508" s="1042"/>
      <c r="G508" s="1042"/>
      <c r="H508" s="1042"/>
      <c r="I508" s="1042"/>
      <c r="J508" s="2132" t="s">
        <v>1192</v>
      </c>
      <c r="K508" s="1042"/>
      <c r="L508" s="1043"/>
      <c r="M508" s="1043"/>
      <c r="N508" s="1044"/>
      <c r="O508" s="1043" t="s">
        <v>3836</v>
      </c>
      <c r="P508" s="1045"/>
      <c r="AE508" s="438"/>
      <c r="AF508" s="438"/>
    </row>
    <row r="509" spans="1:32" s="431" customFormat="1" ht="10.199999999999999">
      <c r="B509" s="1043"/>
      <c r="C509" s="1043" t="s">
        <v>1770</v>
      </c>
      <c r="D509" s="1042"/>
      <c r="E509" s="1042"/>
      <c r="F509" s="1042"/>
      <c r="G509" s="1042"/>
      <c r="H509" s="1042"/>
      <c r="I509" s="1042"/>
      <c r="J509" s="2132" t="s">
        <v>1657</v>
      </c>
      <c r="K509" s="1042"/>
      <c r="L509" s="1043"/>
      <c r="M509" s="1043"/>
      <c r="N509" s="1044"/>
      <c r="O509" s="1043" t="s">
        <v>3837</v>
      </c>
      <c r="P509" s="1045"/>
      <c r="AE509" s="438"/>
      <c r="AF509" s="438"/>
    </row>
    <row r="510" spans="1:32" s="431" customFormat="1" ht="10.199999999999999">
      <c r="B510" s="1043"/>
      <c r="C510" s="1046" t="s">
        <v>1389</v>
      </c>
      <c r="D510" s="1042"/>
      <c r="E510" s="1042"/>
      <c r="F510" s="1042"/>
      <c r="G510" s="1042"/>
      <c r="H510" s="1042"/>
      <c r="I510" s="1042"/>
      <c r="J510" s="2132" t="s">
        <v>2104</v>
      </c>
      <c r="K510" s="1042"/>
      <c r="L510" s="1043"/>
      <c r="M510" s="1043"/>
      <c r="N510" s="1044"/>
      <c r="O510" s="1043" t="s">
        <v>3838</v>
      </c>
      <c r="P510" s="1045"/>
      <c r="AE510" s="438"/>
      <c r="AF510" s="438"/>
    </row>
    <row r="511" spans="1:32" s="431" customFormat="1" ht="10.199999999999999">
      <c r="B511" s="1043"/>
      <c r="C511" s="1046" t="s">
        <v>1390</v>
      </c>
      <c r="D511" s="1042"/>
      <c r="E511" s="1042"/>
      <c r="F511" s="1042"/>
      <c r="G511" s="1042"/>
      <c r="H511" s="1042"/>
      <c r="I511" s="1042"/>
      <c r="J511" s="2132" t="s">
        <v>1650</v>
      </c>
      <c r="K511" s="1042"/>
      <c r="L511" s="1043"/>
      <c r="M511" s="1043"/>
      <c r="N511" s="1044"/>
      <c r="O511" s="1045"/>
      <c r="P511" s="1045"/>
      <c r="AE511" s="438"/>
      <c r="AF511" s="438"/>
    </row>
    <row r="512" spans="1:32" s="431" customFormat="1" ht="10.199999999999999">
      <c r="B512" s="1043"/>
      <c r="C512" s="2134" t="s">
        <v>2132</v>
      </c>
      <c r="D512" s="1042"/>
      <c r="E512" s="1042"/>
      <c r="F512" s="1042"/>
      <c r="G512" s="1042"/>
      <c r="H512" s="1042"/>
      <c r="I512" s="1042"/>
      <c r="J512" s="2132" t="s">
        <v>1193</v>
      </c>
      <c r="K512" s="1042"/>
      <c r="L512" s="1043"/>
      <c r="M512" s="1043"/>
      <c r="N512" s="1044"/>
      <c r="O512" s="1045"/>
      <c r="P512" s="1045"/>
      <c r="AE512" s="438"/>
      <c r="AF512" s="438"/>
    </row>
    <row r="513" spans="2:32" s="431" customFormat="1" ht="10.199999999999999">
      <c r="B513" s="1043"/>
      <c r="C513" s="2134" t="s">
        <v>1386</v>
      </c>
      <c r="D513" s="1042"/>
      <c r="E513" s="1042"/>
      <c r="F513" s="1042"/>
      <c r="G513" s="1042"/>
      <c r="H513" s="1042"/>
      <c r="I513" s="1042"/>
      <c r="J513" s="2132" t="s">
        <v>590</v>
      </c>
      <c r="K513" s="1042"/>
      <c r="L513" s="1043"/>
      <c r="M513" s="1043"/>
      <c r="N513" s="1044"/>
      <c r="O513" s="1045"/>
      <c r="P513" s="1045"/>
      <c r="AE513" s="438"/>
      <c r="AF513" s="438"/>
    </row>
    <row r="514" spans="2:32" s="431" customFormat="1" ht="10.199999999999999">
      <c r="B514" s="1043"/>
      <c r="C514" s="2134" t="s">
        <v>1387</v>
      </c>
      <c r="D514" s="1042"/>
      <c r="E514" s="1042"/>
      <c r="F514" s="1042"/>
      <c r="G514" s="1042"/>
      <c r="H514" s="1042"/>
      <c r="I514" s="1042"/>
      <c r="J514" s="2132" t="s">
        <v>1656</v>
      </c>
      <c r="K514" s="1042"/>
      <c r="L514" s="1043"/>
      <c r="M514" s="1043"/>
      <c r="N514" s="1044"/>
      <c r="O514" s="1045"/>
      <c r="P514" s="1045"/>
      <c r="AE514" s="438"/>
      <c r="AF514" s="438"/>
    </row>
    <row r="515" spans="2:32" s="431" customFormat="1" ht="10.199999999999999">
      <c r="B515" s="1043"/>
      <c r="C515" s="1046" t="s">
        <v>2127</v>
      </c>
      <c r="D515" s="1042"/>
      <c r="E515" s="1042"/>
      <c r="F515" s="1042"/>
      <c r="G515" s="1042"/>
      <c r="H515" s="1042"/>
      <c r="I515" s="1042"/>
      <c r="J515" s="2132" t="s">
        <v>1187</v>
      </c>
      <c r="K515" s="1042"/>
      <c r="L515" s="1043"/>
      <c r="M515" s="1043"/>
      <c r="N515" s="1044"/>
      <c r="O515" s="1045"/>
      <c r="P515" s="1045"/>
      <c r="AE515" s="438"/>
      <c r="AF515" s="438"/>
    </row>
    <row r="516" spans="2:32" s="431" customFormat="1" ht="10.199999999999999">
      <c r="B516" s="1043"/>
      <c r="C516" s="1046" t="s">
        <v>2128</v>
      </c>
      <c r="D516" s="1042"/>
      <c r="E516" s="1042"/>
      <c r="F516" s="1042"/>
      <c r="G516" s="1042"/>
      <c r="H516" s="1042"/>
      <c r="I516" s="1042"/>
      <c r="J516" s="2132" t="s">
        <v>1186</v>
      </c>
      <c r="K516" s="1043"/>
      <c r="L516" s="1043"/>
      <c r="M516" s="1043"/>
      <c r="N516" s="1044"/>
      <c r="O516" s="1045"/>
      <c r="P516" s="1045"/>
      <c r="AE516" s="438"/>
      <c r="AF516" s="438"/>
    </row>
    <row r="517" spans="2:32" s="431" customFormat="1" ht="10.199999999999999">
      <c r="B517" s="1043"/>
      <c r="C517" s="1046" t="s">
        <v>2129</v>
      </c>
      <c r="D517" s="1043"/>
      <c r="E517" s="1043"/>
      <c r="F517" s="1043"/>
      <c r="G517" s="1043"/>
      <c r="H517" s="1043"/>
      <c r="I517" s="1043"/>
      <c r="J517" s="2132" t="s">
        <v>1724</v>
      </c>
      <c r="K517" s="1043"/>
      <c r="L517" s="1043"/>
      <c r="M517" s="1043"/>
      <c r="N517" s="1044"/>
      <c r="O517" s="1045"/>
      <c r="P517" s="1045"/>
      <c r="AE517" s="438"/>
      <c r="AF517" s="438"/>
    </row>
    <row r="518" spans="2:32" s="431" customFormat="1" ht="10.199999999999999">
      <c r="B518" s="1043"/>
      <c r="C518" s="1046" t="s">
        <v>2130</v>
      </c>
      <c r="D518" s="1043"/>
      <c r="E518" s="1043"/>
      <c r="F518" s="1043"/>
      <c r="G518" s="1043"/>
      <c r="H518" s="1043"/>
      <c r="I518" s="1043"/>
      <c r="J518" s="2132" t="s">
        <v>1659</v>
      </c>
      <c r="K518" s="1043"/>
      <c r="L518" s="1043"/>
      <c r="M518" s="1043"/>
      <c r="N518" s="1044"/>
      <c r="O518" s="1045"/>
      <c r="P518" s="1045"/>
      <c r="AE518" s="438"/>
      <c r="AF518" s="438"/>
    </row>
    <row r="519" spans="2:32" s="431" customFormat="1" ht="10.199999999999999">
      <c r="B519" s="1043"/>
      <c r="C519" s="1046" t="s">
        <v>2131</v>
      </c>
      <c r="D519" s="1043"/>
      <c r="E519" s="1043"/>
      <c r="F519" s="1043"/>
      <c r="G519" s="1043"/>
      <c r="H519" s="1043"/>
      <c r="I519" s="1043"/>
      <c r="J519" s="2132" t="s">
        <v>1651</v>
      </c>
      <c r="K519" s="1043"/>
      <c r="L519" s="1043"/>
      <c r="M519" s="1043"/>
      <c r="N519" s="1044"/>
      <c r="O519" s="1045"/>
      <c r="P519" s="1045"/>
      <c r="AE519" s="438"/>
      <c r="AF519" s="438"/>
    </row>
    <row r="520" spans="2:32" s="431" customFormat="1" ht="10.199999999999999">
      <c r="B520" s="1043"/>
      <c r="C520" s="1046" t="s">
        <v>1388</v>
      </c>
      <c r="D520" s="1043"/>
      <c r="E520" s="1043"/>
      <c r="F520" s="1043"/>
      <c r="G520" s="1043"/>
      <c r="H520" s="1043"/>
      <c r="I520" s="1043"/>
      <c r="J520" s="2132" t="s">
        <v>2102</v>
      </c>
      <c r="K520" s="1043"/>
      <c r="L520" s="1043"/>
      <c r="M520" s="1043"/>
      <c r="N520" s="1044"/>
      <c r="O520" s="1045"/>
      <c r="P520" s="1045"/>
      <c r="AE520" s="438"/>
      <c r="AF520" s="438"/>
    </row>
    <row r="521" spans="2:32" s="431" customFormat="1" ht="10.199999999999999">
      <c r="B521" s="1043"/>
      <c r="C521" s="1046" t="s">
        <v>2281</v>
      </c>
      <c r="D521" s="1043"/>
      <c r="E521" s="1043"/>
      <c r="F521" s="1043"/>
      <c r="G521" s="1043"/>
      <c r="H521" s="1043"/>
      <c r="I521" s="1043"/>
      <c r="J521" s="1043"/>
      <c r="K521" s="1043"/>
      <c r="L521" s="1043"/>
      <c r="M521" s="1043"/>
      <c r="N521" s="1044"/>
      <c r="O521" s="1045"/>
      <c r="P521" s="1045"/>
      <c r="AE521" s="438"/>
      <c r="AF521" s="438"/>
    </row>
    <row r="522" spans="2:32" s="431" customFormat="1" ht="10.199999999999999">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0.199999999999999">
      <c r="B523" s="1042"/>
      <c r="C523" s="1048" t="s">
        <v>1588</v>
      </c>
      <c r="D523" s="1042"/>
      <c r="E523" s="1042"/>
      <c r="F523" s="1042"/>
      <c r="G523" s="1042"/>
      <c r="H523" s="1042"/>
      <c r="I523" s="1042"/>
      <c r="J523" s="1048" t="s">
        <v>3775</v>
      </c>
      <c r="K523" s="1042"/>
      <c r="L523" s="1042"/>
      <c r="M523" s="1042"/>
      <c r="N523" s="1042"/>
      <c r="O523" s="1045"/>
      <c r="P523" s="1042"/>
      <c r="AE523" s="415"/>
      <c r="AF523" s="415"/>
    </row>
    <row r="524" spans="2:32" s="54" customFormat="1" ht="10.199999999999999">
      <c r="B524" s="1042"/>
      <c r="C524" s="1042" t="s">
        <v>1770</v>
      </c>
      <c r="D524" s="1042"/>
      <c r="E524" s="1042"/>
      <c r="F524" s="1042"/>
      <c r="G524" s="1042"/>
      <c r="H524" s="1042"/>
      <c r="I524" s="1042"/>
      <c r="J524" s="1042" t="s">
        <v>4771</v>
      </c>
      <c r="K524" s="1042"/>
      <c r="L524" s="1042"/>
      <c r="M524" s="1042"/>
      <c r="N524" s="1042"/>
      <c r="O524" s="1042"/>
      <c r="P524" s="1042"/>
      <c r="AE524" s="415"/>
      <c r="AF524" s="415"/>
    </row>
    <row r="525" spans="2:32" s="54" customFormat="1" ht="10.199999999999999">
      <c r="B525" s="1042"/>
      <c r="C525" s="1042" t="s">
        <v>2088</v>
      </c>
      <c r="D525" s="1042"/>
      <c r="E525" s="1043"/>
      <c r="F525" s="1043"/>
      <c r="G525" s="1043"/>
      <c r="H525" s="1043"/>
      <c r="I525" s="1043"/>
      <c r="J525" s="1043" t="s">
        <v>3768</v>
      </c>
      <c r="K525" s="1043"/>
      <c r="L525" s="1043"/>
      <c r="M525" s="1043"/>
      <c r="N525" s="1042"/>
      <c r="O525" s="1042"/>
      <c r="P525" s="1042"/>
      <c r="AE525" s="415"/>
      <c r="AF525" s="415"/>
    </row>
    <row r="526" spans="2:32" s="54" customFormat="1" ht="10.199999999999999">
      <c r="B526" s="1042"/>
      <c r="C526" s="1042" t="s">
        <v>2543</v>
      </c>
      <c r="D526" s="1043"/>
      <c r="E526" s="1043"/>
      <c r="F526" s="1043"/>
      <c r="G526" s="1043"/>
      <c r="H526" s="1042"/>
      <c r="I526" s="1043"/>
      <c r="J526" s="1043" t="s">
        <v>3769</v>
      </c>
      <c r="K526" s="1043"/>
      <c r="L526" s="1043"/>
      <c r="M526" s="1043"/>
      <c r="N526" s="1042"/>
      <c r="O526" s="1042"/>
      <c r="P526" s="1042"/>
      <c r="AE526" s="415"/>
      <c r="AF526" s="415"/>
    </row>
    <row r="527" spans="2:32" s="54" customFormat="1" ht="10.199999999999999">
      <c r="B527" s="1042"/>
      <c r="C527" s="1042" t="s">
        <v>2089</v>
      </c>
      <c r="D527" s="1043"/>
      <c r="E527" s="1043"/>
      <c r="F527" s="1043"/>
      <c r="G527" s="1043"/>
      <c r="H527" s="1043"/>
      <c r="I527" s="1043"/>
      <c r="J527" s="1043" t="s">
        <v>4769</v>
      </c>
      <c r="K527" s="1043"/>
      <c r="L527" s="1043"/>
      <c r="M527" s="1043"/>
      <c r="N527" s="1042"/>
      <c r="O527" s="1042"/>
      <c r="P527" s="1042"/>
      <c r="AE527" s="415"/>
      <c r="AF527" s="415"/>
    </row>
    <row r="528" spans="2:32" s="54" customFormat="1" ht="10.199999999999999">
      <c r="B528" s="1042"/>
      <c r="C528" s="1042" t="s">
        <v>1649</v>
      </c>
      <c r="D528" s="1043"/>
      <c r="E528" s="1043"/>
      <c r="F528" s="1043"/>
      <c r="G528" s="1043"/>
      <c r="H528" s="1042"/>
      <c r="I528" s="1043"/>
      <c r="J528" s="1042" t="s">
        <v>3973</v>
      </c>
      <c r="K528" s="1043"/>
      <c r="L528" s="1043"/>
      <c r="M528" s="1043"/>
      <c r="N528" s="1042"/>
      <c r="O528" s="1042"/>
      <c r="P528" s="1042"/>
      <c r="AE528" s="415"/>
      <c r="AF528" s="415"/>
    </row>
    <row r="529" spans="2:32" s="54" customFormat="1" ht="10.199999999999999">
      <c r="B529" s="1042"/>
      <c r="C529" s="1050" t="s">
        <v>2010</v>
      </c>
      <c r="D529" s="1043"/>
      <c r="E529" s="1043"/>
      <c r="F529" s="1043"/>
      <c r="G529" s="1043"/>
      <c r="H529" s="1042"/>
      <c r="I529" s="1043"/>
      <c r="J529" s="1043" t="s">
        <v>4770</v>
      </c>
      <c r="K529" s="1043"/>
      <c r="L529" s="1043"/>
      <c r="M529" s="1043"/>
      <c r="N529" s="1042"/>
      <c r="O529" s="1042"/>
      <c r="P529" s="1042"/>
      <c r="AE529" s="415"/>
      <c r="AF529" s="415"/>
    </row>
    <row r="530" spans="2:32" s="54" customFormat="1" ht="10.199999999999999">
      <c r="B530" s="1042"/>
      <c r="C530" s="1042" t="s">
        <v>230</v>
      </c>
      <c r="D530" s="1043"/>
      <c r="E530" s="1043"/>
      <c r="F530" s="1043"/>
      <c r="G530" s="1043"/>
      <c r="H530" s="1042"/>
      <c r="I530" s="1043"/>
      <c r="J530" s="1043" t="s">
        <v>3974</v>
      </c>
      <c r="K530" s="1043"/>
      <c r="L530" s="1043"/>
      <c r="M530" s="1043"/>
      <c r="N530" s="1042"/>
      <c r="O530" s="1042"/>
      <c r="P530" s="1042"/>
      <c r="AE530" s="415"/>
      <c r="AF530" s="415"/>
    </row>
    <row r="531" spans="2:32" s="54" customFormat="1" ht="10.199999999999999">
      <c r="B531" s="1042"/>
      <c r="C531" s="1042" t="s">
        <v>1650</v>
      </c>
      <c r="D531" s="1043"/>
      <c r="E531" s="1043"/>
      <c r="F531" s="1043"/>
      <c r="G531" s="1043"/>
      <c r="H531" s="1042"/>
      <c r="I531" s="1043"/>
      <c r="J531" s="1043"/>
      <c r="K531" s="1043"/>
      <c r="L531" s="1043"/>
      <c r="M531" s="1043"/>
      <c r="N531" s="1042"/>
      <c r="O531" s="1042"/>
      <c r="P531" s="1042"/>
      <c r="AE531" s="415"/>
      <c r="AF531" s="415"/>
    </row>
    <row r="532" spans="2:32" s="54" customFormat="1" ht="10.199999999999999">
      <c r="B532" s="1042"/>
      <c r="C532" s="1042" t="s">
        <v>1651</v>
      </c>
      <c r="D532" s="1043"/>
      <c r="E532" s="1043"/>
      <c r="F532" s="1043"/>
      <c r="G532" s="1043"/>
      <c r="H532" s="1042"/>
      <c r="I532" s="1043"/>
      <c r="J532" s="1043"/>
      <c r="K532" s="1043"/>
      <c r="L532" s="1043"/>
      <c r="M532" s="1043"/>
      <c r="N532" s="1042"/>
      <c r="O532" s="1042"/>
      <c r="P532" s="1042"/>
      <c r="AE532" s="415"/>
      <c r="AF532" s="415"/>
    </row>
    <row r="533" spans="2:32" s="54" customFormat="1" ht="10.199999999999999">
      <c r="B533" s="1042"/>
      <c r="C533" s="1042" t="s">
        <v>2504</v>
      </c>
      <c r="D533" s="1043"/>
      <c r="E533" s="1043"/>
      <c r="F533" s="1043"/>
      <c r="G533" s="1043"/>
      <c r="H533" s="1043"/>
      <c r="I533" s="1043"/>
      <c r="J533" s="1043"/>
      <c r="K533" s="1043"/>
      <c r="L533" s="1043"/>
      <c r="M533" s="1043"/>
      <c r="N533" s="1042"/>
      <c r="O533" s="1042"/>
      <c r="P533" s="1042"/>
      <c r="AE533" s="415"/>
      <c r="AF533" s="415"/>
    </row>
    <row r="534" spans="2:32" s="54" customFormat="1" ht="10.199999999999999">
      <c r="B534" s="1042"/>
      <c r="C534" s="1042" t="s">
        <v>1589</v>
      </c>
      <c r="D534" s="1043"/>
      <c r="E534" s="1043"/>
      <c r="F534" s="1043"/>
      <c r="G534" s="1043"/>
      <c r="H534" s="1043"/>
      <c r="I534" s="1043"/>
      <c r="J534" s="1042"/>
      <c r="K534" s="1043"/>
      <c r="L534" s="1043"/>
      <c r="M534" s="1043"/>
      <c r="N534" s="1042"/>
      <c r="O534" s="1042"/>
      <c r="P534" s="1042"/>
      <c r="AE534" s="415"/>
      <c r="AF534" s="415"/>
    </row>
    <row r="535" spans="2:32" s="54" customFormat="1" ht="10.199999999999999">
      <c r="B535" s="1042"/>
      <c r="C535" s="1042" t="s">
        <v>1653</v>
      </c>
      <c r="D535" s="1043"/>
      <c r="E535" s="1043"/>
      <c r="F535" s="1043"/>
      <c r="G535" s="1043"/>
      <c r="H535" s="1043"/>
      <c r="I535" s="1043"/>
      <c r="J535" s="1042"/>
      <c r="K535" s="1043"/>
      <c r="L535" s="1043"/>
      <c r="M535" s="1043"/>
      <c r="N535" s="1042"/>
      <c r="O535" s="1042"/>
      <c r="P535" s="1042"/>
      <c r="AE535" s="415"/>
      <c r="AF535" s="415"/>
    </row>
    <row r="536" spans="2:32" s="54" customFormat="1" ht="10.199999999999999">
      <c r="B536" s="1042"/>
      <c r="C536" s="1042" t="s">
        <v>2506</v>
      </c>
      <c r="D536" s="1043"/>
      <c r="E536" s="1043"/>
      <c r="F536" s="1043"/>
      <c r="G536" s="1043"/>
      <c r="H536" s="1043"/>
      <c r="I536" s="1043"/>
      <c r="J536" s="1042"/>
      <c r="K536" s="1043"/>
      <c r="L536" s="1043"/>
      <c r="M536" s="1043"/>
      <c r="N536" s="1042"/>
      <c r="O536" s="1042"/>
      <c r="P536" s="1042"/>
      <c r="AE536" s="415"/>
      <c r="AF536" s="415"/>
    </row>
    <row r="537" spans="2:32" s="54" customFormat="1" ht="10.199999999999999">
      <c r="B537" s="1042"/>
      <c r="C537" s="1042" t="s">
        <v>1655</v>
      </c>
      <c r="D537" s="1043"/>
      <c r="E537" s="1043"/>
      <c r="F537" s="1043"/>
      <c r="G537" s="1043"/>
      <c r="H537" s="1043"/>
      <c r="I537" s="1043"/>
      <c r="J537" s="1042"/>
      <c r="K537" s="1043"/>
      <c r="L537" s="1043"/>
      <c r="M537" s="1043"/>
      <c r="N537" s="1042" t="s">
        <v>2505</v>
      </c>
      <c r="O537" s="1042"/>
      <c r="P537" s="1042"/>
      <c r="AE537" s="415"/>
      <c r="AF537" s="415"/>
    </row>
    <row r="538" spans="2:32" s="54" customFormat="1" ht="10.199999999999999">
      <c r="B538" s="1042"/>
      <c r="C538" s="1042" t="s">
        <v>1656</v>
      </c>
      <c r="D538" s="1043"/>
      <c r="E538" s="1043"/>
      <c r="F538" s="1043"/>
      <c r="G538" s="1043"/>
      <c r="H538" s="1043"/>
      <c r="I538" s="1043"/>
      <c r="J538" s="1043"/>
      <c r="K538" s="1043"/>
      <c r="L538" s="1043"/>
      <c r="M538" s="1043"/>
      <c r="N538" s="1042"/>
      <c r="O538" s="1042"/>
      <c r="P538" s="1042"/>
      <c r="AE538" s="415"/>
      <c r="AF538" s="415"/>
    </row>
    <row r="539" spans="2:32" s="54" customFormat="1" ht="10.199999999999999">
      <c r="B539" s="1042"/>
      <c r="C539" s="1042" t="s">
        <v>1657</v>
      </c>
      <c r="D539" s="1043"/>
      <c r="E539" s="1043"/>
      <c r="F539" s="1043"/>
      <c r="G539" s="1043"/>
      <c r="H539" s="1043"/>
      <c r="I539" s="1043"/>
      <c r="J539" s="1043"/>
      <c r="K539" s="1043"/>
      <c r="L539" s="1043"/>
      <c r="M539" s="1043"/>
      <c r="N539" s="1042"/>
      <c r="O539" s="1042"/>
      <c r="P539" s="1042"/>
      <c r="AE539" s="415"/>
      <c r="AF539" s="415"/>
    </row>
    <row r="540" spans="2:32" s="54" customFormat="1" ht="10.199999999999999">
      <c r="B540" s="1042"/>
      <c r="C540" s="1042" t="s">
        <v>590</v>
      </c>
      <c r="D540" s="1043"/>
      <c r="E540" s="1043"/>
      <c r="F540" s="1043"/>
      <c r="G540" s="1043"/>
      <c r="H540" s="1043"/>
      <c r="I540" s="1043"/>
      <c r="J540" s="1043"/>
      <c r="K540" s="1043"/>
      <c r="L540" s="1043"/>
      <c r="M540" s="1043"/>
      <c r="N540" s="1042"/>
      <c r="O540" s="1042"/>
      <c r="P540" s="1042"/>
      <c r="AE540" s="415"/>
      <c r="AF540" s="415"/>
    </row>
    <row r="541" spans="2:32" s="54" customFormat="1" ht="10.199999999999999">
      <c r="B541" s="1042"/>
      <c r="C541" s="1042" t="s">
        <v>1658</v>
      </c>
      <c r="D541" s="1043"/>
      <c r="E541" s="1043"/>
      <c r="F541" s="1043"/>
      <c r="G541" s="1043"/>
      <c r="H541" s="1043"/>
      <c r="I541" s="1043"/>
      <c r="J541" s="1043"/>
      <c r="K541" s="1043"/>
      <c r="L541" s="1043"/>
      <c r="M541" s="1043"/>
      <c r="N541" s="1042"/>
      <c r="O541" s="1042"/>
      <c r="P541" s="1042"/>
      <c r="AE541" s="415"/>
      <c r="AF541" s="415"/>
    </row>
    <row r="542" spans="2:32" s="54" customFormat="1" ht="10.199999999999999">
      <c r="B542" s="1042"/>
      <c r="C542" s="1042" t="s">
        <v>1874</v>
      </c>
      <c r="D542" s="1043"/>
      <c r="E542" s="1043"/>
      <c r="F542" s="1043"/>
      <c r="G542" s="1043"/>
      <c r="H542" s="1043"/>
      <c r="I542" s="1043"/>
      <c r="J542" s="1043"/>
      <c r="K542" s="1043"/>
      <c r="L542" s="1043"/>
      <c r="M542" s="1043"/>
      <c r="N542" s="1042"/>
      <c r="O542" s="1042"/>
      <c r="P542" s="1042"/>
      <c r="AE542" s="415"/>
      <c r="AF542" s="415"/>
    </row>
    <row r="543" spans="2:32" s="54" customFormat="1" ht="10.199999999999999">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0.199999999999999">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0.199999999999999">
      <c r="B545" s="1042"/>
      <c r="C545" s="1048" t="s">
        <v>1788</v>
      </c>
      <c r="D545" s="1042"/>
      <c r="E545" s="1042"/>
      <c r="F545" s="1042"/>
      <c r="G545" s="1042"/>
      <c r="H545" s="1042"/>
      <c r="I545" s="1042"/>
      <c r="J545" s="1042"/>
      <c r="K545" s="1042"/>
      <c r="L545" s="1042"/>
      <c r="M545" s="1042"/>
      <c r="N545" s="1042"/>
      <c r="O545" s="1042"/>
      <c r="P545" s="1042"/>
      <c r="AE545" s="415"/>
      <c r="AF545" s="415"/>
    </row>
    <row r="546" spans="2:32" s="54" customFormat="1" ht="10.199999999999999">
      <c r="B546" s="1042"/>
      <c r="C546" s="1042" t="s">
        <v>926</v>
      </c>
      <c r="D546" s="1042"/>
      <c r="E546" s="1042"/>
      <c r="F546" s="1042"/>
      <c r="G546" s="1042"/>
      <c r="H546" s="1042"/>
      <c r="I546" s="1042"/>
      <c r="J546" s="1042"/>
      <c r="K546" s="1042"/>
      <c r="L546" s="1042"/>
      <c r="M546" s="1042"/>
      <c r="N546" s="1042"/>
      <c r="O546" s="1042"/>
      <c r="P546" s="1042"/>
      <c r="AE546" s="415"/>
      <c r="AF546" s="415"/>
    </row>
    <row r="547" spans="2:32" s="54" customFormat="1" ht="10.199999999999999">
      <c r="B547" s="1042"/>
      <c r="C547" s="1046" t="s">
        <v>1628</v>
      </c>
      <c r="D547" s="1042"/>
      <c r="E547" s="1042"/>
      <c r="F547" s="1042"/>
      <c r="G547" s="1042"/>
      <c r="H547" s="1042"/>
      <c r="I547" s="1042"/>
      <c r="J547" s="1042"/>
      <c r="K547" s="1042"/>
      <c r="L547" s="1042"/>
      <c r="M547" s="1042"/>
      <c r="N547" s="1042"/>
      <c r="O547" s="1042"/>
      <c r="P547" s="1042"/>
      <c r="AE547" s="415"/>
      <c r="AF547" s="415"/>
    </row>
    <row r="548" spans="2:32" s="54" customFormat="1" ht="10.199999999999999">
      <c r="B548" s="1042"/>
      <c r="C548" s="1046" t="s">
        <v>718</v>
      </c>
      <c r="D548" s="1042"/>
      <c r="E548" s="1042"/>
      <c r="F548" s="1042"/>
      <c r="G548" s="1042"/>
      <c r="H548" s="1042"/>
      <c r="I548" s="1042"/>
      <c r="J548" s="1042"/>
      <c r="K548" s="1042"/>
      <c r="L548" s="1046"/>
      <c r="M548" s="1042"/>
      <c r="N548" s="1042"/>
      <c r="O548" s="1042"/>
      <c r="P548" s="1042"/>
      <c r="AE548" s="415"/>
      <c r="AF548" s="415"/>
    </row>
    <row r="549" spans="2:32" s="54" customFormat="1" ht="10.199999999999999">
      <c r="B549" s="1042"/>
      <c r="C549" s="1046" t="s">
        <v>719</v>
      </c>
      <c r="D549" s="1042"/>
      <c r="E549" s="1042"/>
      <c r="F549" s="1042"/>
      <c r="G549" s="1042"/>
      <c r="H549" s="1042"/>
      <c r="I549" s="1042"/>
      <c r="J549" s="1042"/>
      <c r="K549" s="1042"/>
      <c r="L549" s="1046"/>
      <c r="M549" s="1042"/>
      <c r="N549" s="1042"/>
      <c r="O549" s="1042"/>
      <c r="P549" s="1042"/>
      <c r="AE549" s="415"/>
      <c r="AF549" s="415"/>
    </row>
    <row r="550" spans="2:32" s="54" customFormat="1" ht="10.199999999999999">
      <c r="B550" s="1042"/>
      <c r="C550" s="1046" t="s">
        <v>2155</v>
      </c>
      <c r="D550" s="1042"/>
      <c r="E550" s="1042"/>
      <c r="F550" s="1042"/>
      <c r="G550" s="1042"/>
      <c r="H550" s="1042"/>
      <c r="I550" s="1042"/>
      <c r="J550" s="1042"/>
      <c r="K550" s="1042"/>
      <c r="L550" s="1046"/>
      <c r="M550" s="1042"/>
      <c r="N550" s="1042"/>
      <c r="O550" s="1042"/>
      <c r="P550" s="1042"/>
      <c r="AE550" s="415"/>
      <c r="AF550" s="415"/>
    </row>
    <row r="551" spans="2:32" s="54" customFormat="1" ht="10.199999999999999">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0.199999999999999">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0.199999999999999">
      <c r="B553" s="1042"/>
      <c r="C553" s="1051" t="s">
        <v>1879</v>
      </c>
      <c r="D553" s="1042"/>
      <c r="E553" s="1042"/>
      <c r="F553" s="1042"/>
      <c r="G553" s="1042"/>
      <c r="H553" s="1042"/>
      <c r="I553" s="1042"/>
      <c r="J553" s="1042"/>
      <c r="K553" s="1042"/>
      <c r="L553" s="1042"/>
      <c r="M553" s="1042"/>
      <c r="N553" s="1042"/>
      <c r="O553" s="1042"/>
      <c r="P553" s="1042"/>
      <c r="AE553" s="415"/>
      <c r="AF553" s="415"/>
    </row>
    <row r="554" spans="2:32" s="54" customFormat="1" ht="10.199999999999999">
      <c r="B554" s="1042"/>
      <c r="C554" s="1046" t="s">
        <v>946</v>
      </c>
      <c r="D554" s="1042"/>
      <c r="E554" s="1042"/>
      <c r="F554" s="1042"/>
      <c r="G554" s="1042"/>
      <c r="H554" s="1042"/>
      <c r="I554" s="1042"/>
      <c r="J554" s="1042"/>
      <c r="K554" s="1042"/>
      <c r="L554" s="1046"/>
      <c r="M554" s="1042"/>
      <c r="N554" s="1042"/>
      <c r="O554" s="1042"/>
      <c r="P554" s="1042"/>
      <c r="AE554" s="415"/>
      <c r="AF554" s="415"/>
    </row>
    <row r="555" spans="2:32" s="54" customFormat="1" ht="10.199999999999999">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0.199999999999999">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0.199999999999999">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0.199999999999999">
      <c r="B558" s="1042"/>
      <c r="C558" s="1051" t="s">
        <v>2673</v>
      </c>
      <c r="D558" s="1042"/>
      <c r="E558" s="1042"/>
      <c r="F558" s="1042"/>
      <c r="G558" s="1042"/>
      <c r="H558" s="1042"/>
      <c r="I558" s="1042"/>
      <c r="J558" s="1042"/>
      <c r="K558" s="1042"/>
      <c r="L558" s="1042"/>
      <c r="M558" s="1042"/>
      <c r="N558" s="1042"/>
      <c r="O558" s="1042"/>
      <c r="P558" s="1042"/>
      <c r="AE558" s="415"/>
      <c r="AF558" s="415"/>
    </row>
    <row r="559" spans="2:32" s="54" customFormat="1" ht="10.199999999999999">
      <c r="B559" s="1042"/>
      <c r="C559" s="1046" t="s">
        <v>2009</v>
      </c>
      <c r="D559" s="1042"/>
      <c r="E559" s="1042"/>
      <c r="F559" s="1042"/>
      <c r="G559" s="1042"/>
      <c r="H559" s="1042"/>
      <c r="I559" s="1042"/>
      <c r="J559" s="1042"/>
      <c r="K559" s="1042"/>
      <c r="L559" s="1046"/>
      <c r="M559" s="1042"/>
      <c r="N559" s="1042"/>
      <c r="O559" s="1042"/>
      <c r="P559" s="1042"/>
      <c r="AE559" s="415"/>
      <c r="AF559" s="415"/>
    </row>
    <row r="560" spans="2:32" s="54" customFormat="1" ht="10.199999999999999">
      <c r="B560" s="1042"/>
      <c r="C560" s="1051" t="s">
        <v>2674</v>
      </c>
      <c r="D560" s="1042"/>
      <c r="E560" s="1042"/>
      <c r="F560" s="1042"/>
      <c r="G560" s="1042"/>
      <c r="H560" s="1042"/>
      <c r="I560" s="1042"/>
      <c r="J560" s="1042"/>
      <c r="K560" s="1042"/>
      <c r="L560" s="1046"/>
      <c r="M560" s="1042"/>
      <c r="N560" s="1042"/>
      <c r="O560" s="1042"/>
      <c r="P560" s="1042"/>
      <c r="AE560" s="415"/>
      <c r="AF560" s="415"/>
    </row>
    <row r="561" spans="2:32" s="54" customFormat="1" ht="10.199999999999999">
      <c r="B561" s="1042"/>
      <c r="C561" s="1051" t="s">
        <v>1381</v>
      </c>
      <c r="D561" s="1042"/>
      <c r="E561" s="1042"/>
      <c r="F561" s="1042"/>
      <c r="G561" s="1042"/>
      <c r="H561" s="1042"/>
      <c r="I561" s="1042"/>
      <c r="J561" s="1042"/>
      <c r="K561" s="1042"/>
      <c r="L561" s="1046"/>
      <c r="M561" s="1042"/>
      <c r="N561" s="1042"/>
      <c r="O561" s="1042"/>
      <c r="P561" s="1042"/>
      <c r="AE561" s="415"/>
      <c r="AF561" s="415"/>
    </row>
    <row r="562" spans="2:32" s="54" customFormat="1" ht="10.199999999999999">
      <c r="B562" s="1042"/>
      <c r="C562" s="1051" t="s">
        <v>1587</v>
      </c>
      <c r="D562" s="1042"/>
      <c r="E562" s="1042"/>
      <c r="F562" s="1042"/>
      <c r="G562" s="1042"/>
      <c r="H562" s="1042"/>
      <c r="I562" s="1042"/>
      <c r="J562" s="1042"/>
      <c r="K562" s="1047" t="s">
        <v>461</v>
      </c>
      <c r="L562" s="1046"/>
      <c r="M562" s="1042"/>
      <c r="N562" s="1042"/>
      <c r="O562" s="1042"/>
      <c r="P562" s="1042"/>
      <c r="AE562" s="415"/>
      <c r="AF562" s="415"/>
    </row>
    <row r="563" spans="2:32" s="54" customFormat="1" ht="10.199999999999999">
      <c r="B563" s="1042"/>
      <c r="C563" s="1051" t="s">
        <v>2675</v>
      </c>
      <c r="D563" s="1042"/>
      <c r="E563" s="1042"/>
      <c r="F563" s="1042"/>
      <c r="G563" s="1042"/>
      <c r="H563" s="1042"/>
      <c r="I563" s="1042"/>
      <c r="J563" s="1042"/>
      <c r="K563" s="1042" t="s">
        <v>1082</v>
      </c>
      <c r="L563" s="1046"/>
      <c r="M563" s="1042"/>
      <c r="N563" s="1042"/>
      <c r="O563" s="1042"/>
      <c r="P563" s="1042"/>
      <c r="AE563" s="415"/>
      <c r="AF563" s="415"/>
    </row>
    <row r="564" spans="2:32" s="54" customFormat="1" ht="10.199999999999999">
      <c r="B564" s="1042"/>
      <c r="C564" s="1051" t="s">
        <v>2676</v>
      </c>
      <c r="D564" s="1042"/>
      <c r="E564" s="1042"/>
      <c r="F564" s="1042"/>
      <c r="G564" s="1042"/>
      <c r="H564" s="1042"/>
      <c r="I564" s="1042"/>
      <c r="J564" s="1042"/>
      <c r="K564" s="1042" t="s">
        <v>3763</v>
      </c>
      <c r="L564" s="1042"/>
      <c r="M564" s="1042"/>
      <c r="N564" s="1042"/>
      <c r="O564" s="1042"/>
      <c r="P564" s="1042"/>
      <c r="AE564" s="415"/>
      <c r="AF564" s="415"/>
    </row>
    <row r="565" spans="2:32" s="54" customFormat="1" ht="10.199999999999999">
      <c r="B565" s="1042"/>
      <c r="C565" s="1046" t="s">
        <v>1203</v>
      </c>
      <c r="D565" s="1042"/>
      <c r="E565" s="1042"/>
      <c r="F565" s="1042"/>
      <c r="G565" s="1042"/>
      <c r="H565" s="1042"/>
      <c r="I565" s="1042"/>
      <c r="J565" s="1042"/>
      <c r="K565" s="1042" t="s">
        <v>2649</v>
      </c>
      <c r="L565" s="1042"/>
      <c r="M565" s="1042"/>
      <c r="N565" s="1042"/>
      <c r="O565" s="1042"/>
      <c r="P565" s="1042"/>
      <c r="AE565" s="415"/>
      <c r="AF565" s="415"/>
    </row>
    <row r="566" spans="2:32" s="54" customFormat="1" ht="10.199999999999999">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0.199999999999999">
      <c r="B567" s="1042"/>
      <c r="C567" s="1048" t="s">
        <v>255</v>
      </c>
      <c r="D567" s="1042"/>
      <c r="E567" s="1042"/>
      <c r="F567" s="1042"/>
      <c r="G567" s="1042"/>
      <c r="H567" s="1042"/>
      <c r="I567" s="1042"/>
      <c r="J567" s="1042"/>
      <c r="K567" s="1047" t="s">
        <v>2240</v>
      </c>
      <c r="L567" s="1042"/>
      <c r="M567" s="1042"/>
      <c r="N567" s="1042"/>
      <c r="O567" s="1042"/>
      <c r="P567" s="1042"/>
      <c r="AE567" s="415"/>
      <c r="AF567" s="415"/>
    </row>
    <row r="568" spans="2:32" s="54" customFormat="1" ht="10.199999999999999">
      <c r="B568" s="1042"/>
      <c r="C568" s="1042" t="s">
        <v>1083</v>
      </c>
      <c r="D568" s="1042"/>
      <c r="E568" s="1042"/>
      <c r="F568" s="1042"/>
      <c r="G568" s="1042"/>
      <c r="H568" s="1042"/>
      <c r="I568" s="1042"/>
      <c r="J568" s="1042"/>
      <c r="K568" s="1042" t="s">
        <v>2326</v>
      </c>
      <c r="L568" s="1042"/>
      <c r="M568" s="1042"/>
      <c r="N568" s="1042"/>
      <c r="O568" s="1042"/>
      <c r="P568" s="1042"/>
      <c r="AE568" s="415"/>
      <c r="AF568" s="415"/>
    </row>
    <row r="569" spans="2:32" s="54" customFormat="1" ht="10.199999999999999">
      <c r="B569" s="1042"/>
      <c r="C569" s="1042" t="s">
        <v>170</v>
      </c>
      <c r="D569" s="1042"/>
      <c r="E569" s="1042"/>
      <c r="F569" s="1042"/>
      <c r="G569" s="1042"/>
      <c r="H569" s="1042"/>
      <c r="I569" s="1042"/>
      <c r="J569" s="1042"/>
      <c r="K569" s="2135" t="s">
        <v>4922</v>
      </c>
      <c r="L569" s="1042"/>
      <c r="M569" s="1042"/>
      <c r="N569" s="1042"/>
      <c r="O569" s="1042"/>
      <c r="P569" s="1042"/>
      <c r="AE569" s="415"/>
      <c r="AF569" s="415"/>
    </row>
    <row r="570" spans="2:32" s="54" customFormat="1" ht="10.199999999999999">
      <c r="B570" s="1042"/>
      <c r="C570" s="1042" t="s">
        <v>1525</v>
      </c>
      <c r="D570" s="1042"/>
      <c r="E570" s="1042"/>
      <c r="F570" s="1042"/>
      <c r="G570" s="1042"/>
      <c r="H570" s="1042"/>
      <c r="I570" s="1042"/>
      <c r="J570" s="1042"/>
      <c r="K570" s="1042" t="s">
        <v>3909</v>
      </c>
      <c r="L570" s="1042"/>
      <c r="M570" s="1042"/>
      <c r="N570" s="1042"/>
      <c r="O570" s="1042"/>
      <c r="P570" s="1042"/>
      <c r="AE570" s="415"/>
      <c r="AF570" s="415"/>
    </row>
    <row r="571" spans="2:32" s="54" customFormat="1" ht="10.199999999999999">
      <c r="B571" s="1042"/>
      <c r="C571" s="1042" t="s">
        <v>2117</v>
      </c>
      <c r="D571" s="1042"/>
      <c r="E571" s="1042"/>
      <c r="F571" s="1042"/>
      <c r="G571" s="1042"/>
      <c r="H571" s="1042"/>
      <c r="I571" s="1042"/>
      <c r="J571" s="1042"/>
      <c r="K571" s="1042" t="s">
        <v>4923</v>
      </c>
      <c r="L571" s="1042"/>
      <c r="M571" s="1042"/>
      <c r="N571" s="1042"/>
      <c r="O571" s="1042"/>
      <c r="P571" s="1042"/>
      <c r="AE571" s="415"/>
      <c r="AF571" s="415"/>
    </row>
    <row r="572" spans="2:32" s="54" customFormat="1" ht="10.199999999999999">
      <c r="B572" s="1042"/>
      <c r="C572" s="1042" t="s">
        <v>169</v>
      </c>
      <c r="D572" s="1042"/>
      <c r="E572" s="1042"/>
      <c r="F572" s="1042"/>
      <c r="G572" s="1042"/>
      <c r="H572" s="1042"/>
      <c r="I572" s="1042"/>
      <c r="J572" s="1042"/>
      <c r="K572" s="1042" t="s">
        <v>2726</v>
      </c>
      <c r="L572" s="1042"/>
      <c r="M572" s="1042"/>
      <c r="N572" s="1042"/>
      <c r="O572" s="1042"/>
      <c r="P572" s="1042"/>
      <c r="AE572" s="415"/>
      <c r="AF572" s="415"/>
    </row>
    <row r="573" spans="2:32" s="54" customFormat="1" ht="10.199999999999999">
      <c r="B573" s="1042"/>
      <c r="C573" s="1042"/>
      <c r="D573" s="1042"/>
      <c r="E573" s="1042"/>
      <c r="F573" s="1042"/>
      <c r="G573" s="1042"/>
      <c r="H573" s="1042"/>
      <c r="I573" s="1042"/>
      <c r="J573" s="1042"/>
      <c r="K573" s="1047" t="s">
        <v>1947</v>
      </c>
      <c r="L573" s="1042"/>
      <c r="M573" s="1042"/>
      <c r="N573" s="1042"/>
      <c r="O573" s="1042"/>
      <c r="P573" s="1042"/>
      <c r="AE573" s="415"/>
      <c r="AF573" s="415"/>
    </row>
    <row r="574" spans="2:32" s="54" customFormat="1" ht="10.199999999999999">
      <c r="B574" s="1042"/>
      <c r="C574" s="1042"/>
      <c r="D574" s="1042"/>
      <c r="E574" s="1042"/>
      <c r="F574" s="1042"/>
      <c r="G574" s="1042"/>
      <c r="H574" s="1042"/>
      <c r="I574" s="1042"/>
      <c r="J574" s="1042"/>
      <c r="K574" s="1042" t="s">
        <v>1081</v>
      </c>
      <c r="L574" s="1042"/>
      <c r="M574" s="1042"/>
      <c r="N574" s="1042"/>
      <c r="O574" s="1042"/>
      <c r="P574" s="1042"/>
      <c r="AE574" s="415"/>
      <c r="AF574" s="415"/>
    </row>
    <row r="575" spans="2:32" s="54" customFormat="1" ht="10.199999999999999">
      <c r="B575" s="1042"/>
      <c r="C575" s="1042"/>
      <c r="D575" s="1042"/>
      <c r="E575" s="1042"/>
      <c r="F575" s="1042"/>
      <c r="G575" s="1042"/>
      <c r="H575" s="1042"/>
      <c r="I575" s="1042"/>
      <c r="J575" s="1042"/>
      <c r="K575" s="1042" t="s">
        <v>1750</v>
      </c>
      <c r="L575" s="1042"/>
      <c r="M575" s="1042"/>
      <c r="N575" s="1042"/>
      <c r="O575" s="1042"/>
      <c r="P575" s="1042"/>
      <c r="AE575" s="415"/>
      <c r="AF575" s="415"/>
    </row>
    <row r="576" spans="2:32" s="54" customFormat="1" ht="10.199999999999999">
      <c r="B576" s="1042"/>
      <c r="C576" s="1042"/>
      <c r="D576" s="1042"/>
      <c r="E576" s="1042"/>
      <c r="F576" s="1042"/>
      <c r="G576" s="1042"/>
      <c r="H576" s="1042"/>
      <c r="I576" s="1042"/>
      <c r="J576" s="1042"/>
      <c r="K576" s="1042" t="s">
        <v>1132</v>
      </c>
      <c r="L576" s="1042"/>
      <c r="M576" s="1042"/>
      <c r="N576" s="1042"/>
      <c r="O576" s="1042"/>
      <c r="P576" s="1042"/>
      <c r="AE576" s="415"/>
      <c r="AF576" s="415"/>
    </row>
    <row r="577" spans="2:32" s="54" customFormat="1" ht="10.199999999999999">
      <c r="B577" s="1042"/>
      <c r="C577" s="1042"/>
      <c r="D577" s="1042"/>
      <c r="E577" s="1042"/>
      <c r="F577" s="1042"/>
      <c r="G577" s="1042"/>
      <c r="H577" s="1042"/>
      <c r="I577" s="1042"/>
      <c r="J577" s="1042"/>
      <c r="K577" s="1042" t="s">
        <v>1751</v>
      </c>
      <c r="L577" s="1042"/>
      <c r="M577" s="1042"/>
      <c r="N577" s="1042"/>
      <c r="O577" s="1042"/>
      <c r="P577" s="1042"/>
      <c r="AE577" s="415"/>
      <c r="AF577" s="415"/>
    </row>
    <row r="578" spans="2:32" s="54" customFormat="1" ht="10.199999999999999">
      <c r="B578" s="1042"/>
      <c r="C578" s="1042"/>
      <c r="D578" s="1042"/>
      <c r="E578" s="1042"/>
      <c r="F578" s="1042"/>
      <c r="G578" s="1042"/>
      <c r="H578" s="1042"/>
      <c r="I578" s="1042"/>
      <c r="J578" s="1042"/>
      <c r="K578" s="1042" t="s">
        <v>2367</v>
      </c>
      <c r="L578" s="1042"/>
      <c r="M578" s="1042"/>
      <c r="N578" s="1042"/>
      <c r="O578" s="1042"/>
      <c r="P578" s="1042"/>
      <c r="AE578" s="415"/>
      <c r="AF578" s="415"/>
    </row>
    <row r="579" spans="2:32" s="54" customFormat="1" ht="10.199999999999999">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0.199999999999999">
      <c r="B580" s="1042"/>
      <c r="C580" s="1048" t="s">
        <v>1014</v>
      </c>
      <c r="D580" s="1042"/>
      <c r="E580" s="1042"/>
      <c r="F580" s="1042"/>
      <c r="G580" s="1042"/>
      <c r="H580" s="1042"/>
      <c r="I580" s="1042"/>
      <c r="J580" s="1042"/>
      <c r="K580" s="1042"/>
      <c r="L580" s="1042"/>
      <c r="M580" s="1048" t="s">
        <v>4974</v>
      </c>
      <c r="N580" s="1042"/>
      <c r="O580" s="1042"/>
      <c r="P580" s="1042"/>
      <c r="AE580" s="415"/>
      <c r="AF580" s="415"/>
    </row>
    <row r="581" spans="2:32" s="54" customFormat="1" ht="10.199999999999999">
      <c r="B581" s="1042"/>
      <c r="C581" s="1042" t="s">
        <v>1013</v>
      </c>
      <c r="D581" s="1042"/>
      <c r="E581" s="1042"/>
      <c r="F581" s="1042"/>
      <c r="G581" s="1042"/>
      <c r="H581" s="1042"/>
      <c r="I581" s="1042"/>
      <c r="J581" s="1042"/>
      <c r="K581" s="1042"/>
      <c r="L581" s="1042"/>
      <c r="M581" s="1042" t="s">
        <v>1013</v>
      </c>
      <c r="N581" s="1042"/>
      <c r="O581" s="1042"/>
      <c r="P581" s="1042"/>
      <c r="AE581" s="415"/>
      <c r="AF581" s="415"/>
    </row>
    <row r="582" spans="2:32" s="54" customFormat="1" ht="10.199999999999999">
      <c r="B582" s="1042"/>
      <c r="C582" s="1042" t="s">
        <v>2088</v>
      </c>
      <c r="D582" s="1042"/>
      <c r="E582" s="1042"/>
      <c r="F582" s="1042"/>
      <c r="G582" s="1042"/>
      <c r="H582" s="1042"/>
      <c r="I582" s="1042"/>
      <c r="J582" s="1042"/>
      <c r="K582" s="1042"/>
      <c r="L582" s="1042"/>
      <c r="M582" s="1042" t="s">
        <v>4971</v>
      </c>
      <c r="N582" s="1042"/>
      <c r="O582" s="1042"/>
      <c r="P582" s="1042"/>
      <c r="AE582" s="415"/>
      <c r="AF582" s="415"/>
    </row>
    <row r="583" spans="2:32" s="54" customFormat="1" ht="10.199999999999999">
      <c r="B583" s="1042"/>
      <c r="C583" s="1042" t="s">
        <v>2543</v>
      </c>
      <c r="D583" s="1042"/>
      <c r="E583" s="1042"/>
      <c r="F583" s="1042"/>
      <c r="G583" s="1042"/>
      <c r="H583" s="1042"/>
      <c r="I583" s="1042"/>
      <c r="J583" s="1042"/>
      <c r="K583" s="1042"/>
      <c r="L583" s="1042"/>
      <c r="M583" s="1042" t="s">
        <v>5008</v>
      </c>
      <c r="N583" s="1042"/>
      <c r="O583" s="1042"/>
      <c r="P583" s="1042"/>
      <c r="AE583" s="415"/>
      <c r="AF583" s="415"/>
    </row>
    <row r="584" spans="2:32" s="54" customFormat="1" ht="10.199999999999999">
      <c r="B584" s="1042"/>
      <c r="C584" s="1042" t="s">
        <v>2089</v>
      </c>
      <c r="D584" s="1042"/>
      <c r="E584" s="1042"/>
      <c r="F584" s="1042"/>
      <c r="G584" s="1042"/>
      <c r="H584" s="1042"/>
      <c r="I584" s="1042"/>
      <c r="J584" s="1042"/>
      <c r="K584" s="1042"/>
      <c r="L584" s="1042"/>
      <c r="M584" s="1042" t="s">
        <v>1653</v>
      </c>
      <c r="N584" s="1042"/>
      <c r="O584" s="1042"/>
      <c r="P584" s="1042"/>
      <c r="AE584" s="415"/>
      <c r="AF584" s="415"/>
    </row>
    <row r="585" spans="2:32" s="54" customFormat="1" ht="10.199999999999999">
      <c r="B585" s="1042"/>
      <c r="C585" s="1042" t="s">
        <v>1948</v>
      </c>
      <c r="D585" s="1042"/>
      <c r="E585" s="1042"/>
      <c r="F585" s="1042"/>
      <c r="G585" s="1042"/>
      <c r="H585" s="1042"/>
      <c r="I585" s="1042"/>
      <c r="J585" s="1042"/>
      <c r="K585" s="1042"/>
      <c r="L585" s="1042"/>
      <c r="M585" s="1042" t="s">
        <v>4972</v>
      </c>
      <c r="N585" s="1042"/>
      <c r="O585" s="1042"/>
      <c r="P585" s="1042"/>
      <c r="AE585" s="415"/>
      <c r="AF585" s="415"/>
    </row>
    <row r="586" spans="2:32" s="54" customFormat="1" ht="10.199999999999999">
      <c r="B586" s="1042"/>
      <c r="C586" s="1042" t="s">
        <v>589</v>
      </c>
      <c r="D586" s="1042"/>
      <c r="E586" s="1042"/>
      <c r="F586" s="1042"/>
      <c r="G586" s="1042"/>
      <c r="H586" s="1042"/>
      <c r="I586" s="1042"/>
      <c r="J586" s="1042"/>
      <c r="K586" s="1042"/>
      <c r="L586" s="1042"/>
      <c r="M586" s="2135" t="s">
        <v>5071</v>
      </c>
      <c r="N586" s="1042"/>
      <c r="O586" s="1042"/>
      <c r="P586" s="1042"/>
      <c r="AE586" s="415"/>
      <c r="AF586" s="415"/>
    </row>
    <row r="587" spans="2:32" s="54" customFormat="1" ht="10.199999999999999">
      <c r="B587" s="1042"/>
      <c r="C587" s="1042" t="s">
        <v>2194</v>
      </c>
      <c r="D587" s="1042"/>
      <c r="E587" s="1042"/>
      <c r="F587" s="1042"/>
      <c r="G587" s="1042"/>
      <c r="H587" s="1042"/>
      <c r="I587" s="1042"/>
      <c r="J587" s="1042"/>
      <c r="K587" s="1042"/>
      <c r="L587" s="1042"/>
      <c r="M587" s="2135" t="s">
        <v>5072</v>
      </c>
      <c r="N587" s="1042"/>
      <c r="O587" s="1042"/>
      <c r="P587" s="1042"/>
      <c r="AE587" s="415"/>
      <c r="AF587" s="415"/>
    </row>
    <row r="588" spans="2:32" s="54" customFormat="1" ht="10.199999999999999">
      <c r="B588" s="1042"/>
      <c r="C588" s="1050" t="s">
        <v>33</v>
      </c>
      <c r="D588" s="1042"/>
      <c r="E588" s="1042"/>
      <c r="F588" s="1042"/>
      <c r="G588" s="1042"/>
      <c r="H588" s="1042"/>
      <c r="I588" s="1042"/>
      <c r="J588" s="1042"/>
      <c r="K588" s="1042"/>
      <c r="L588" s="1042"/>
      <c r="M588" s="1042" t="s">
        <v>4973</v>
      </c>
      <c r="N588" s="1042"/>
      <c r="O588" s="1042"/>
      <c r="P588" s="1042"/>
      <c r="AE588" s="415"/>
      <c r="AF588" s="415"/>
    </row>
    <row r="589" spans="2:32" s="54" customFormat="1" ht="10.199999999999999">
      <c r="B589" s="1042"/>
      <c r="C589" s="1042"/>
      <c r="D589" s="1042"/>
      <c r="E589" s="1042"/>
      <c r="F589" s="1042"/>
      <c r="G589" s="1042"/>
      <c r="H589" s="1042"/>
      <c r="I589" s="1042"/>
      <c r="J589" s="1042"/>
      <c r="K589" s="1042"/>
      <c r="L589" s="1042"/>
      <c r="M589" s="1043" t="s">
        <v>2102</v>
      </c>
      <c r="N589" s="1042"/>
      <c r="O589" s="1042"/>
      <c r="P589" s="1042"/>
      <c r="AE589" s="415"/>
      <c r="AF589" s="415"/>
    </row>
    <row r="590" spans="2:32" s="54" customFormat="1" ht="10.199999999999999">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0.199999999999999">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0.199999999999999">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0.199999999999999">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0.199999999999999">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0.199999999999999">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0.199999999999999">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0.199999999999999">
      <c r="B597" s="1042"/>
      <c r="C597" s="1042"/>
      <c r="D597" s="1049" t="s">
        <v>2036</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9rkgeynAX5I5mbMNfwsSc89pFFX6f/kmw3ogcEz1sa61/C/Rk7jOI3zlaoZXmurPBefeSAs5VwNdzWfx9qdxxA==" saltValue="rD14gh3N7FO7Dm7cX05FEQ==" spinCount="100000" sheet="1" object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214" zoomScaleNormal="100" workbookViewId="0">
      <selection activeCell="A214" sqref="A1:XFD1048576"/>
    </sheetView>
  </sheetViews>
  <sheetFormatPr defaultColWidth="9.33203125" defaultRowHeight="13.2"/>
  <cols>
    <col min="1" max="1" width="4.33203125" style="26" customWidth="1"/>
    <col min="2" max="2" width="3.44140625" style="26" customWidth="1"/>
    <col min="3" max="3" width="10.5546875" style="26" customWidth="1"/>
    <col min="4" max="4" width="10.33203125" style="26" customWidth="1"/>
    <col min="5" max="5" width="6.33203125" style="26" customWidth="1"/>
    <col min="6" max="6" width="9.33203125" style="26" customWidth="1"/>
    <col min="7" max="9" width="11.5546875" style="26" customWidth="1"/>
    <col min="10" max="10" width="9.33203125" style="26" customWidth="1"/>
    <col min="11" max="11" width="11.6640625" style="26" customWidth="1"/>
    <col min="12" max="12" width="14.6640625" style="26" customWidth="1"/>
    <col min="13" max="13" width="6.6640625" style="26" customWidth="1"/>
    <col min="14" max="14" width="2.6640625" style="75" customWidth="1"/>
    <col min="15" max="16" width="5.6640625" style="2283" customWidth="1"/>
    <col min="17" max="17" width="6" style="26" customWidth="1"/>
    <col min="18" max="21" width="9.33203125" style="26" customWidth="1"/>
    <col min="22" max="22" width="8.6640625" style="26" customWidth="1"/>
    <col min="23" max="16384" width="9.33203125" style="26"/>
  </cols>
  <sheetData>
    <row r="1" spans="1:22" s="34" customFormat="1" ht="13.95" customHeight="1">
      <c r="A1" s="3172" t="str">
        <f>CONCATENATE("PART NINE - SCORING CRITERIA","  -  ",'Part I-Project Information'!$O$6," ",'Part I-Project Information'!$F$34,", ",'Part I-Project Information'!F38,", ",'Part I-Project Information'!J39," County")</f>
        <v>PART NINE - SCORING CRITERIA  -  2019-049 Woodstone Apartments II, Leesburg, Lee County</v>
      </c>
      <c r="B1" s="3173"/>
      <c r="C1" s="3173"/>
      <c r="D1" s="3173"/>
      <c r="E1" s="3173"/>
      <c r="F1" s="3173"/>
      <c r="G1" s="3173"/>
      <c r="H1" s="3173"/>
      <c r="I1" s="3173"/>
      <c r="J1" s="3173"/>
      <c r="K1" s="3173"/>
      <c r="L1" s="3173"/>
      <c r="M1" s="3173"/>
      <c r="N1" s="3173"/>
      <c r="O1" s="3173"/>
      <c r="P1" s="3174"/>
      <c r="Q1" s="2159"/>
      <c r="R1" s="2159"/>
      <c r="S1" s="2159"/>
    </row>
    <row r="2" spans="1:22" s="34" customFormat="1" ht="4.2" customHeight="1">
      <c r="A2" s="35"/>
      <c r="B2" s="35"/>
      <c r="C2" s="36"/>
      <c r="D2" s="35"/>
      <c r="E2" s="35"/>
      <c r="F2" s="35"/>
      <c r="G2" s="35"/>
      <c r="H2" s="35"/>
      <c r="I2" s="35"/>
      <c r="J2" s="35"/>
      <c r="K2" s="35"/>
      <c r="L2" s="35"/>
      <c r="M2" s="37"/>
      <c r="N2" s="72"/>
      <c r="O2" s="2287"/>
      <c r="P2" s="2287"/>
      <c r="Q2" s="2159"/>
      <c r="R2" s="2159"/>
      <c r="S2" s="2159"/>
    </row>
    <row r="3" spans="1:22" s="41" customFormat="1" ht="12" customHeight="1">
      <c r="A3" s="3914" t="s">
        <v>4942</v>
      </c>
      <c r="B3" s="3914"/>
      <c r="C3" s="3914"/>
      <c r="D3" s="3914"/>
      <c r="E3" s="3914"/>
      <c r="F3" s="3914"/>
      <c r="G3" s="3914"/>
      <c r="H3" s="3914"/>
      <c r="I3" s="3914"/>
      <c r="J3" s="3914"/>
      <c r="K3" s="3914"/>
      <c r="L3" s="3914"/>
      <c r="M3" s="1157" t="s">
        <v>2218</v>
      </c>
      <c r="N3" s="73"/>
      <c r="O3" s="83" t="s">
        <v>2217</v>
      </c>
      <c r="P3" s="1158" t="s">
        <v>256</v>
      </c>
      <c r="Q3" s="2159"/>
      <c r="R3" s="2159"/>
      <c r="S3" s="2159"/>
    </row>
    <row r="4" spans="1:22" s="43" customFormat="1" ht="12" customHeight="1">
      <c r="A4" s="3914"/>
      <c r="B4" s="3914"/>
      <c r="C4" s="3914"/>
      <c r="D4" s="3914"/>
      <c r="E4" s="3914"/>
      <c r="F4" s="3914"/>
      <c r="G4" s="3914"/>
      <c r="H4" s="3914"/>
      <c r="I4" s="3914"/>
      <c r="J4" s="3914"/>
      <c r="K4" s="3914"/>
      <c r="L4" s="3914"/>
      <c r="M4" s="1159" t="s">
        <v>93</v>
      </c>
      <c r="N4" s="84"/>
      <c r="O4" s="173" t="s">
        <v>2218</v>
      </c>
      <c r="P4" s="173" t="s">
        <v>2218</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3903" t="str">
        <f>'Part I-Project Information'!$B$6</f>
        <v>April 2019 Final</v>
      </c>
      <c r="C6" s="3903"/>
      <c r="D6" s="3903"/>
      <c r="E6" s="3903"/>
      <c r="F6" s="3903"/>
      <c r="G6" s="469"/>
      <c r="H6" s="41"/>
      <c r="I6" s="41"/>
      <c r="J6" s="41"/>
      <c r="L6" s="69" t="s">
        <v>1225</v>
      </c>
      <c r="M6" s="268">
        <f>M448</f>
        <v>92</v>
      </c>
      <c r="N6" s="8"/>
      <c r="O6" s="1142">
        <f>O448</f>
        <v>31</v>
      </c>
      <c r="P6" s="1142">
        <f>P448</f>
        <v>20</v>
      </c>
      <c r="Q6" s="2159"/>
      <c r="R6" s="2159"/>
      <c r="S6" s="2159"/>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4807</v>
      </c>
      <c r="D8" s="51"/>
      <c r="E8" s="51"/>
      <c r="F8" s="51"/>
      <c r="G8" s="66"/>
      <c r="H8" s="172" t="s">
        <v>4905</v>
      </c>
      <c r="I8" s="66"/>
      <c r="J8" s="66"/>
      <c r="K8" s="66"/>
      <c r="L8" s="66"/>
      <c r="M8" s="2081" t="s">
        <v>4904</v>
      </c>
      <c r="N8" s="66"/>
      <c r="O8" s="2700"/>
      <c r="P8" s="2079">
        <f>IF(P10&lt;2,0,IF(AND(P10&gt;1,P10&lt;5),1,IF(P10&gt;4,P10-3)))</f>
        <v>0</v>
      </c>
      <c r="Q8" s="35" t="s">
        <v>4906</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4143</v>
      </c>
      <c r="B10" s="2122" t="s">
        <v>4144</v>
      </c>
      <c r="C10" s="1192"/>
      <c r="D10" s="1192"/>
      <c r="E10" s="964" t="s">
        <v>4171</v>
      </c>
      <c r="F10" s="3939" t="s">
        <v>4170</v>
      </c>
      <c r="G10" s="3939"/>
      <c r="H10" s="3939"/>
      <c r="I10" s="3939"/>
      <c r="J10" s="3939"/>
      <c r="K10" s="3939"/>
      <c r="L10" s="3939"/>
      <c r="M10" s="3939"/>
      <c r="N10" s="3939"/>
      <c r="O10" s="2123" t="s">
        <v>4805</v>
      </c>
      <c r="P10" s="2124">
        <f>SUM(P11:P20)</f>
        <v>0</v>
      </c>
      <c r="Q10" s="3978" t="s">
        <v>5018</v>
      </c>
      <c r="R10" s="3978"/>
      <c r="S10" s="3978"/>
      <c r="T10" s="3978"/>
      <c r="U10" s="3978"/>
      <c r="V10" s="3978"/>
    </row>
    <row r="11" spans="1:22" s="41" customFormat="1" ht="11.25" customHeight="1">
      <c r="A11" s="1175" t="s">
        <v>741</v>
      </c>
      <c r="B11" s="1176" t="s">
        <v>4145</v>
      </c>
      <c r="C11" s="1177"/>
      <c r="D11" s="1178"/>
      <c r="E11" s="2113">
        <f>$O$61</f>
        <v>10</v>
      </c>
      <c r="F11" s="3940" t="str">
        <f>$A$67</f>
        <v xml:space="preserve">Although this section is not required for the Rural HOME Preservations Set Aside, we wanted to show that the project is in a great location within the Leesburg Community. Residents have opportunity to access services and activities within 2 miles of Woodstone Apartments II. </v>
      </c>
      <c r="G11" s="3941"/>
      <c r="H11" s="3941"/>
      <c r="I11" s="3941"/>
      <c r="J11" s="3941"/>
      <c r="K11" s="3941"/>
      <c r="L11" s="3941"/>
      <c r="M11" s="3941"/>
      <c r="N11" s="3941"/>
      <c r="O11" s="3941"/>
      <c r="P11" s="2142"/>
      <c r="Q11" s="3978"/>
      <c r="R11" s="3978"/>
      <c r="S11" s="3978"/>
      <c r="T11" s="3978"/>
      <c r="U11" s="3978"/>
      <c r="V11" s="3978"/>
    </row>
    <row r="12" spans="1:22" s="41" customFormat="1" ht="11.25" customHeight="1">
      <c r="A12" s="1179" t="s">
        <v>529</v>
      </c>
      <c r="B12" s="965" t="s">
        <v>4147</v>
      </c>
      <c r="C12" s="1085"/>
      <c r="D12" s="1180"/>
      <c r="E12" s="2114">
        <f>$O$153</f>
        <v>0</v>
      </c>
      <c r="F12" s="3900">
        <f>$A$185</f>
        <v>0</v>
      </c>
      <c r="G12" s="3901"/>
      <c r="H12" s="3901"/>
      <c r="I12" s="3901"/>
      <c r="J12" s="3901"/>
      <c r="K12" s="3901"/>
      <c r="L12" s="3901"/>
      <c r="M12" s="3901"/>
      <c r="N12" s="3901"/>
      <c r="O12" s="3902"/>
      <c r="P12" s="2143"/>
      <c r="Q12" s="3989" t="str">
        <f>IF(OR($A$67="",$A$302="",$A$185="",$A$224="",$A$273="",$A$325="",$A$365="",$A$380="",$A$416="",$A$436=""),"Some Applicant Scoring Justification boxes are empty! Check to see if points claimed.","")</f>
        <v>Some Applicant Scoring Justification boxes are empty! Check to see if points claimed.</v>
      </c>
      <c r="R12" s="3990"/>
      <c r="S12" s="3990"/>
    </row>
    <row r="13" spans="1:22" s="41" customFormat="1" ht="11.25" customHeight="1">
      <c r="A13" s="1179" t="s">
        <v>771</v>
      </c>
      <c r="B13" s="965" t="s">
        <v>4148</v>
      </c>
      <c r="C13" s="1085"/>
      <c r="D13" s="1180"/>
      <c r="E13" s="2115">
        <f>$O$189</f>
        <v>0</v>
      </c>
      <c r="F13" s="3900">
        <f>$A$224</f>
        <v>0</v>
      </c>
      <c r="G13" s="3901"/>
      <c r="H13" s="3901"/>
      <c r="I13" s="3901"/>
      <c r="J13" s="3901"/>
      <c r="K13" s="3901"/>
      <c r="L13" s="3901"/>
      <c r="M13" s="3901"/>
      <c r="N13" s="3901"/>
      <c r="O13" s="3902"/>
      <c r="P13" s="2143"/>
      <c r="Q13" s="3989"/>
      <c r="R13" s="3990"/>
      <c r="S13" s="3990"/>
    </row>
    <row r="14" spans="1:22" s="41" customFormat="1" ht="11.25" customHeight="1">
      <c r="A14" s="1185" t="s">
        <v>292</v>
      </c>
      <c r="B14" s="1186" t="s">
        <v>4149</v>
      </c>
      <c r="C14" s="1187"/>
      <c r="D14" s="1188"/>
      <c r="E14" s="2116" t="s">
        <v>1732</v>
      </c>
      <c r="F14" s="3942">
        <f>$A$273</f>
        <v>0</v>
      </c>
      <c r="G14" s="3943"/>
      <c r="H14" s="3943"/>
      <c r="I14" s="3943"/>
      <c r="J14" s="3943"/>
      <c r="K14" s="3943"/>
      <c r="L14" s="3943"/>
      <c r="M14" s="3943"/>
      <c r="N14" s="3943"/>
      <c r="O14" s="3944"/>
      <c r="P14" s="2143"/>
      <c r="Q14" s="3989"/>
      <c r="R14" s="3990"/>
      <c r="S14" s="3990"/>
    </row>
    <row r="15" spans="1:22" s="41" customFormat="1" ht="11.25" customHeight="1">
      <c r="A15" s="1179" t="s">
        <v>362</v>
      </c>
      <c r="B15" s="965" t="s">
        <v>3787</v>
      </c>
      <c r="C15" s="1085"/>
      <c r="D15" s="1180"/>
      <c r="E15" s="2114">
        <f>$O$298</f>
        <v>0</v>
      </c>
      <c r="F15" s="3900">
        <f>$A$302</f>
        <v>0</v>
      </c>
      <c r="G15" s="3901"/>
      <c r="H15" s="3901"/>
      <c r="I15" s="3901"/>
      <c r="J15" s="3901"/>
      <c r="K15" s="3901"/>
      <c r="L15" s="3901"/>
      <c r="M15" s="3901"/>
      <c r="N15" s="3901"/>
      <c r="O15" s="3902"/>
      <c r="P15" s="2143"/>
      <c r="Q15" s="3989"/>
      <c r="R15" s="3990"/>
      <c r="S15" s="3990"/>
    </row>
    <row r="16" spans="1:22" s="41" customFormat="1" ht="11.25" customHeight="1">
      <c r="A16" s="1179" t="s">
        <v>4898</v>
      </c>
      <c r="B16" s="965" t="s">
        <v>4455</v>
      </c>
      <c r="C16" s="1085"/>
      <c r="D16" s="1180"/>
      <c r="E16" s="2116">
        <f>$O$306</f>
        <v>0</v>
      </c>
      <c r="F16" s="3900">
        <f>$A$325</f>
        <v>0</v>
      </c>
      <c r="G16" s="3901"/>
      <c r="H16" s="3901"/>
      <c r="I16" s="3901"/>
      <c r="J16" s="3901"/>
      <c r="K16" s="3901"/>
      <c r="L16" s="3901"/>
      <c r="M16" s="3901"/>
      <c r="N16" s="3901"/>
      <c r="O16" s="3902"/>
      <c r="P16" s="2143"/>
      <c r="Q16" s="3989"/>
      <c r="R16" s="3990"/>
      <c r="S16" s="3990"/>
    </row>
    <row r="17" spans="1:19" s="41" customFormat="1" ht="11.25" customHeight="1">
      <c r="A17" s="1179" t="s">
        <v>2780</v>
      </c>
      <c r="B17" s="965" t="s">
        <v>4150</v>
      </c>
      <c r="C17" s="1085"/>
      <c r="D17" s="1180"/>
      <c r="E17" s="2116">
        <f>$O$359</f>
        <v>1</v>
      </c>
      <c r="F17" s="3897" t="str">
        <f>$A$365</f>
        <v>Woodstone Apartments II is the only project applied for by the project team.</v>
      </c>
      <c r="G17" s="3898"/>
      <c r="H17" s="3898"/>
      <c r="I17" s="3898"/>
      <c r="J17" s="3898"/>
      <c r="K17" s="3898"/>
      <c r="L17" s="3898"/>
      <c r="M17" s="3898"/>
      <c r="N17" s="3898"/>
      <c r="O17" s="3899"/>
      <c r="P17" s="2143"/>
      <c r="Q17" s="3989"/>
      <c r="R17" s="3990"/>
      <c r="S17" s="3990"/>
    </row>
    <row r="18" spans="1:19" s="41" customFormat="1" ht="11.25" customHeight="1">
      <c r="A18" s="1185" t="s">
        <v>2250</v>
      </c>
      <c r="B18" s="1186" t="s">
        <v>4151</v>
      </c>
      <c r="C18" s="1187"/>
      <c r="D18" s="1188"/>
      <c r="E18" s="2117">
        <f>O369</f>
        <v>0</v>
      </c>
      <c r="F18" s="3900">
        <f>$A$380</f>
        <v>0</v>
      </c>
      <c r="G18" s="3901"/>
      <c r="H18" s="3901"/>
      <c r="I18" s="3901"/>
      <c r="J18" s="3901"/>
      <c r="K18" s="3901"/>
      <c r="L18" s="3901"/>
      <c r="M18" s="3901"/>
      <c r="N18" s="3901"/>
      <c r="O18" s="3902"/>
      <c r="P18" s="2143"/>
      <c r="Q18" s="3989"/>
      <c r="R18" s="3990"/>
      <c r="S18" s="3990"/>
    </row>
    <row r="19" spans="1:19" s="41" customFormat="1" ht="11.25" customHeight="1">
      <c r="A19" s="1179" t="s">
        <v>4098</v>
      </c>
      <c r="B19" s="965" t="s">
        <v>4152</v>
      </c>
      <c r="C19" s="1085"/>
      <c r="D19" s="1180"/>
      <c r="E19" s="2114">
        <f>$O$384</f>
        <v>0</v>
      </c>
      <c r="F19" s="3900">
        <f>$A$416</f>
        <v>0</v>
      </c>
      <c r="G19" s="3901"/>
      <c r="H19" s="3901"/>
      <c r="I19" s="3901"/>
      <c r="J19" s="3901"/>
      <c r="K19" s="3901"/>
      <c r="L19" s="3901"/>
      <c r="M19" s="3901"/>
      <c r="N19" s="3901"/>
      <c r="O19" s="3902"/>
      <c r="P19" s="2143"/>
      <c r="Q19" s="3989"/>
      <c r="R19" s="3990"/>
      <c r="S19" s="3990"/>
    </row>
    <row r="20" spans="1:19" s="41" customFormat="1" ht="11.25" customHeight="1">
      <c r="A20" s="1181" t="s">
        <v>4099</v>
      </c>
      <c r="B20" s="1182" t="s">
        <v>4154</v>
      </c>
      <c r="C20" s="1183"/>
      <c r="D20" s="1184"/>
      <c r="E20" s="2118">
        <f>$O$420</f>
        <v>0</v>
      </c>
      <c r="F20" s="3936">
        <f>$A$436</f>
        <v>0</v>
      </c>
      <c r="G20" s="3937"/>
      <c r="H20" s="3937"/>
      <c r="I20" s="3937"/>
      <c r="J20" s="3937"/>
      <c r="K20" s="3937"/>
      <c r="L20" s="3937"/>
      <c r="M20" s="3937"/>
      <c r="N20" s="3937"/>
      <c r="O20" s="3938"/>
      <c r="P20" s="2144"/>
      <c r="Q20" s="3989"/>
      <c r="R20" s="3990"/>
      <c r="S20" s="3990"/>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615</v>
      </c>
      <c r="B22" s="106" t="s">
        <v>2782</v>
      </c>
      <c r="C22" s="3"/>
      <c r="D22" s="3"/>
      <c r="E22" s="3"/>
      <c r="F22" s="2305"/>
      <c r="H22" s="172" t="s">
        <v>4903</v>
      </c>
      <c r="M22" s="2287">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1982</v>
      </c>
      <c r="B24" s="165" t="s">
        <v>4800</v>
      </c>
      <c r="D24" s="47"/>
      <c r="E24" s="47"/>
      <c r="F24" s="2305"/>
      <c r="M24" s="5"/>
      <c r="N24" s="64" t="s">
        <v>1982</v>
      </c>
    </row>
    <row r="25" spans="1:19" s="42" customFormat="1" ht="11.25" customHeight="1">
      <c r="A25" s="178"/>
      <c r="B25" s="2084" t="s">
        <v>1985</v>
      </c>
      <c r="C25" s="110" t="s">
        <v>4803</v>
      </c>
      <c r="D25" s="47"/>
      <c r="E25" s="47"/>
      <c r="F25" s="2305"/>
      <c r="H25" s="172" t="s">
        <v>3646</v>
      </c>
      <c r="J25" s="48"/>
      <c r="M25" s="5"/>
      <c r="N25" s="390" t="s">
        <v>1985</v>
      </c>
      <c r="O25" s="2701"/>
      <c r="P25" s="1143">
        <f>F33</f>
        <v>0</v>
      </c>
    </row>
    <row r="26" spans="1:19" s="42" customFormat="1" ht="11.25" customHeight="1">
      <c r="A26" s="178"/>
      <c r="B26" s="2084" t="s">
        <v>1987</v>
      </c>
      <c r="C26" s="110" t="s">
        <v>5083</v>
      </c>
      <c r="D26" s="47"/>
      <c r="E26" s="47"/>
      <c r="F26" s="2305"/>
      <c r="H26" s="172" t="s">
        <v>4801</v>
      </c>
      <c r="J26" s="48"/>
      <c r="M26" s="5"/>
      <c r="N26" s="390" t="s">
        <v>1987</v>
      </c>
      <c r="O26" s="2702"/>
      <c r="P26" s="2077">
        <f>J33</f>
        <v>0</v>
      </c>
    </row>
    <row r="27" spans="1:19" s="42" customFormat="1" ht="11.25" customHeight="1">
      <c r="A27" s="178"/>
      <c r="B27" s="2084" t="s">
        <v>2533</v>
      </c>
      <c r="C27" s="110" t="s">
        <v>4802</v>
      </c>
      <c r="D27" s="47"/>
      <c r="E27" s="47"/>
      <c r="F27" s="2305"/>
      <c r="H27" s="172" t="s">
        <v>4806</v>
      </c>
      <c r="J27" s="48"/>
      <c r="M27" s="5"/>
      <c r="N27" s="390" t="s">
        <v>2533</v>
      </c>
      <c r="O27" s="2703"/>
      <c r="P27" s="2704"/>
    </row>
    <row r="28" spans="1:19" s="42" customFormat="1" ht="11.25" customHeight="1">
      <c r="C28" s="3907" t="s">
        <v>5044</v>
      </c>
      <c r="D28" s="3908"/>
      <c r="E28" s="3908"/>
      <c r="F28" s="3908"/>
      <c r="G28" s="3908"/>
      <c r="H28" s="3908"/>
      <c r="I28" s="3908"/>
      <c r="J28" s="3908"/>
      <c r="K28" s="3908"/>
      <c r="L28" s="3908"/>
      <c r="M28" s="3908"/>
      <c r="N28" s="3908"/>
      <c r="O28" s="3908"/>
      <c r="P28" s="3909"/>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1984</v>
      </c>
      <c r="B30" s="165" t="s">
        <v>725</v>
      </c>
      <c r="D30" s="47"/>
      <c r="E30" s="47"/>
      <c r="F30" s="2305"/>
      <c r="H30" s="172" t="s">
        <v>2727</v>
      </c>
      <c r="J30" s="48"/>
      <c r="M30" s="5"/>
      <c r="N30" s="64" t="s">
        <v>1984</v>
      </c>
      <c r="O30" s="2705"/>
      <c r="P30" s="2080">
        <f>O33</f>
        <v>0</v>
      </c>
    </row>
    <row r="31" spans="1:19" s="426" customFormat="1" ht="3" customHeight="1">
      <c r="A31" s="584"/>
      <c r="B31" s="578"/>
      <c r="C31" s="579"/>
      <c r="D31" s="139"/>
      <c r="K31" s="904"/>
      <c r="L31" s="904"/>
      <c r="M31" s="1038"/>
      <c r="N31" s="390"/>
      <c r="O31" s="909"/>
      <c r="P31" s="909"/>
    </row>
    <row r="32" spans="1:19" s="41" customFormat="1" ht="10.95" customHeight="1">
      <c r="A32" s="3924" t="s">
        <v>5013</v>
      </c>
      <c r="B32" s="3924"/>
      <c r="C32" s="3924"/>
      <c r="D32" s="3924"/>
      <c r="E32" s="3924"/>
      <c r="F32" s="2074" t="s">
        <v>4142</v>
      </c>
      <c r="G32" s="3928" t="s">
        <v>5014</v>
      </c>
      <c r="H32" s="3928"/>
      <c r="I32" s="3928"/>
      <c r="J32" s="2074" t="s">
        <v>4142</v>
      </c>
      <c r="K32" s="3932" t="s">
        <v>4799</v>
      </c>
      <c r="L32" s="3932"/>
      <c r="M32" s="3932"/>
      <c r="N32" s="3932"/>
      <c r="O32" s="3926" t="s">
        <v>4142</v>
      </c>
      <c r="P32" s="3927"/>
      <c r="R32" s="447"/>
      <c r="S32" s="157"/>
    </row>
    <row r="33" spans="1:20" s="41" customFormat="1" ht="11.25" customHeight="1">
      <c r="A33" s="3925"/>
      <c r="B33" s="3925"/>
      <c r="C33" s="3925"/>
      <c r="D33" s="3925"/>
      <c r="E33" s="3925"/>
      <c r="F33" s="76">
        <f>SUM(F34:F45)</f>
        <v>0</v>
      </c>
      <c r="G33" s="3929"/>
      <c r="H33" s="3930"/>
      <c r="I33" s="3931"/>
      <c r="J33" s="76">
        <f>SUM(J34:J45)</f>
        <v>0</v>
      </c>
      <c r="K33" s="3933"/>
      <c r="L33" s="3934"/>
      <c r="M33" s="3934"/>
      <c r="N33" s="3935"/>
      <c r="O33" s="3915">
        <f>SUM(O34:O45)</f>
        <v>0</v>
      </c>
      <c r="P33" s="3916"/>
      <c r="Q33" s="447"/>
      <c r="R33" s="157"/>
    </row>
    <row r="34" spans="1:20" s="41" customFormat="1" ht="24.75" customHeight="1">
      <c r="A34" s="3917">
        <v>1</v>
      </c>
      <c r="B34" s="3918"/>
      <c r="C34" s="3918"/>
      <c r="D34" s="3918"/>
      <c r="E34" s="3919"/>
      <c r="F34" s="881"/>
      <c r="G34" s="3917">
        <v>1</v>
      </c>
      <c r="H34" s="3918"/>
      <c r="I34" s="3919"/>
      <c r="J34" s="885" t="s">
        <v>1732</v>
      </c>
      <c r="K34" s="3920">
        <v>1</v>
      </c>
      <c r="L34" s="3921"/>
      <c r="M34" s="3921"/>
      <c r="N34" s="3921"/>
      <c r="O34" s="3922" t="s">
        <v>1732</v>
      </c>
      <c r="P34" s="3923"/>
      <c r="Q34" s="445" t="s">
        <v>1253</v>
      </c>
      <c r="R34" s="157"/>
    </row>
    <row r="35" spans="1:20" s="41" customFormat="1" ht="24.75" customHeight="1">
      <c r="A35" s="3766">
        <v>2</v>
      </c>
      <c r="B35" s="3767"/>
      <c r="C35" s="3767"/>
      <c r="D35" s="3767"/>
      <c r="E35" s="3768"/>
      <c r="F35" s="882"/>
      <c r="G35" s="3766">
        <v>2</v>
      </c>
      <c r="H35" s="3767"/>
      <c r="I35" s="3768"/>
      <c r="J35" s="882"/>
      <c r="K35" s="3769">
        <v>2</v>
      </c>
      <c r="L35" s="3770"/>
      <c r="M35" s="3770"/>
      <c r="N35" s="3770"/>
      <c r="O35" s="3771"/>
      <c r="P35" s="3772"/>
      <c r="Q35" s="446"/>
      <c r="R35" s="157"/>
    </row>
    <row r="36" spans="1:20" s="41" customFormat="1" ht="24.75" customHeight="1">
      <c r="A36" s="3766">
        <v>3</v>
      </c>
      <c r="B36" s="3767"/>
      <c r="C36" s="3767"/>
      <c r="D36" s="3767"/>
      <c r="E36" s="3768"/>
      <c r="F36" s="882"/>
      <c r="G36" s="3766">
        <v>3</v>
      </c>
      <c r="H36" s="3767"/>
      <c r="I36" s="3768"/>
      <c r="J36" s="1189" t="s">
        <v>2903</v>
      </c>
      <c r="K36" s="3769">
        <v>3</v>
      </c>
      <c r="L36" s="3770"/>
      <c r="M36" s="3770"/>
      <c r="N36" s="3770"/>
      <c r="O36" s="3773" t="s">
        <v>2903</v>
      </c>
      <c r="P36" s="3774"/>
      <c r="Q36" s="3737" t="s">
        <v>4804</v>
      </c>
      <c r="R36" s="3738"/>
      <c r="S36" s="2078"/>
      <c r="T36" s="2078"/>
    </row>
    <row r="37" spans="1:20" s="41" customFormat="1" ht="24.75" customHeight="1">
      <c r="A37" s="3766">
        <v>4</v>
      </c>
      <c r="B37" s="3767"/>
      <c r="C37" s="3767"/>
      <c r="D37" s="3767"/>
      <c r="E37" s="3768"/>
      <c r="F37" s="882"/>
      <c r="G37" s="3766">
        <v>4</v>
      </c>
      <c r="H37" s="3767"/>
      <c r="I37" s="3768"/>
      <c r="J37" s="882"/>
      <c r="K37" s="3769">
        <v>4</v>
      </c>
      <c r="L37" s="3770"/>
      <c r="M37" s="3770"/>
      <c r="N37" s="3770"/>
      <c r="O37" s="3773" t="s">
        <v>2903</v>
      </c>
      <c r="P37" s="3774"/>
      <c r="Q37" s="3737"/>
      <c r="R37" s="3738"/>
      <c r="S37" s="2078"/>
      <c r="T37" s="2078"/>
    </row>
    <row r="38" spans="1:20" s="41" customFormat="1" ht="24.75" customHeight="1">
      <c r="A38" s="3766">
        <v>5</v>
      </c>
      <c r="B38" s="3767"/>
      <c r="C38" s="3767"/>
      <c r="D38" s="3767"/>
      <c r="E38" s="3768"/>
      <c r="F38" s="882"/>
      <c r="G38" s="3766">
        <v>5</v>
      </c>
      <c r="H38" s="3767"/>
      <c r="I38" s="3768"/>
      <c r="J38" s="1189" t="s">
        <v>3583</v>
      </c>
      <c r="K38" s="3769">
        <v>5</v>
      </c>
      <c r="L38" s="3770"/>
      <c r="M38" s="3770"/>
      <c r="N38" s="3770"/>
      <c r="O38" s="3771"/>
      <c r="P38" s="3772"/>
      <c r="Q38" s="3737"/>
      <c r="R38" s="3738"/>
      <c r="S38" s="2078"/>
      <c r="T38" s="2078"/>
    </row>
    <row r="39" spans="1:20" s="41" customFormat="1" ht="24" customHeight="1">
      <c r="A39" s="3766">
        <v>6</v>
      </c>
      <c r="B39" s="3767"/>
      <c r="C39" s="3767"/>
      <c r="D39" s="3767"/>
      <c r="E39" s="3768"/>
      <c r="F39" s="882"/>
      <c r="G39" s="3766">
        <v>6</v>
      </c>
      <c r="H39" s="3767"/>
      <c r="I39" s="3768"/>
      <c r="J39" s="882"/>
      <c r="K39" s="3769">
        <v>6</v>
      </c>
      <c r="L39" s="3770"/>
      <c r="M39" s="3770"/>
      <c r="N39" s="3770"/>
      <c r="O39" s="3771"/>
      <c r="P39" s="3772"/>
      <c r="Q39" s="3737"/>
      <c r="R39" s="3738"/>
    </row>
    <row r="40" spans="1:20" s="41" customFormat="1" ht="10.5" customHeight="1">
      <c r="A40" s="3766">
        <v>7</v>
      </c>
      <c r="B40" s="3767"/>
      <c r="C40" s="3767"/>
      <c r="D40" s="3767"/>
      <c r="E40" s="3768"/>
      <c r="F40" s="882"/>
      <c r="G40" s="3766">
        <v>7</v>
      </c>
      <c r="H40" s="3767"/>
      <c r="I40" s="3768"/>
      <c r="J40" s="1189" t="s">
        <v>3584</v>
      </c>
      <c r="K40" s="3769">
        <v>7</v>
      </c>
      <c r="L40" s="3770"/>
      <c r="M40" s="3770"/>
      <c r="N40" s="3770"/>
      <c r="O40" s="3771"/>
      <c r="P40" s="3772"/>
      <c r="Q40" s="157"/>
      <c r="R40" s="157"/>
    </row>
    <row r="41" spans="1:20" s="41" customFormat="1" ht="10.5" customHeight="1">
      <c r="A41" s="3766">
        <v>8</v>
      </c>
      <c r="B41" s="3767"/>
      <c r="C41" s="3767"/>
      <c r="D41" s="3767"/>
      <c r="E41" s="3768"/>
      <c r="F41" s="882"/>
      <c r="G41" s="3766">
        <v>8</v>
      </c>
      <c r="H41" s="3767"/>
      <c r="I41" s="3768"/>
      <c r="J41" s="882"/>
      <c r="K41" s="3769">
        <v>8</v>
      </c>
      <c r="L41" s="3770"/>
      <c r="M41" s="3770"/>
      <c r="N41" s="3770"/>
      <c r="O41" s="3771"/>
      <c r="P41" s="3772"/>
      <c r="Q41" s="157"/>
      <c r="R41" s="157"/>
    </row>
    <row r="42" spans="1:20" s="41" customFormat="1" ht="11.25" customHeight="1">
      <c r="A42" s="3766">
        <v>9</v>
      </c>
      <c r="B42" s="3767"/>
      <c r="C42" s="3767"/>
      <c r="D42" s="3767"/>
      <c r="E42" s="3768"/>
      <c r="F42" s="882"/>
      <c r="G42" s="3766">
        <v>9</v>
      </c>
      <c r="H42" s="3767"/>
      <c r="I42" s="3768"/>
      <c r="J42" s="1189" t="s">
        <v>3585</v>
      </c>
      <c r="K42" s="3769">
        <v>9</v>
      </c>
      <c r="L42" s="3770"/>
      <c r="M42" s="3770"/>
      <c r="N42" s="3770"/>
      <c r="O42" s="3771"/>
      <c r="P42" s="3772"/>
      <c r="Q42" s="157"/>
      <c r="R42" s="157"/>
    </row>
    <row r="43" spans="1:20" s="41" customFormat="1" ht="11.25" customHeight="1">
      <c r="A43" s="3766">
        <v>10</v>
      </c>
      <c r="B43" s="3767"/>
      <c r="C43" s="3767"/>
      <c r="D43" s="3767"/>
      <c r="E43" s="3768"/>
      <c r="F43" s="882"/>
      <c r="G43" s="3766">
        <v>10</v>
      </c>
      <c r="H43" s="3767"/>
      <c r="I43" s="3768"/>
      <c r="J43" s="882"/>
      <c r="K43" s="3769">
        <v>10</v>
      </c>
      <c r="L43" s="3770"/>
      <c r="M43" s="3770"/>
      <c r="N43" s="3770"/>
      <c r="O43" s="3771"/>
      <c r="P43" s="3772"/>
      <c r="Q43" s="157"/>
    </row>
    <row r="44" spans="1:20" s="41" customFormat="1" ht="11.25" customHeight="1">
      <c r="A44" s="3766">
        <v>11</v>
      </c>
      <c r="B44" s="3767"/>
      <c r="C44" s="3767"/>
      <c r="D44" s="3767"/>
      <c r="E44" s="3768"/>
      <c r="F44" s="882"/>
      <c r="G44" s="3766">
        <v>11</v>
      </c>
      <c r="H44" s="3767"/>
      <c r="I44" s="3768"/>
      <c r="J44" s="1189" t="s">
        <v>3586</v>
      </c>
      <c r="K44" s="3766">
        <v>11</v>
      </c>
      <c r="L44" s="3767"/>
      <c r="M44" s="3767"/>
      <c r="N44" s="3768"/>
      <c r="O44" s="3771"/>
      <c r="P44" s="3772"/>
      <c r="Q44" s="157"/>
      <c r="R44" s="157"/>
    </row>
    <row r="45" spans="1:20" s="41" customFormat="1" ht="11.25" customHeight="1">
      <c r="A45" s="3946">
        <v>12</v>
      </c>
      <c r="B45" s="3947"/>
      <c r="C45" s="3947"/>
      <c r="D45" s="3947"/>
      <c r="E45" s="3948"/>
      <c r="F45" s="883"/>
      <c r="G45" s="3946">
        <v>12</v>
      </c>
      <c r="H45" s="3947"/>
      <c r="I45" s="3948"/>
      <c r="J45" s="883"/>
      <c r="K45" s="3946">
        <v>12</v>
      </c>
      <c r="L45" s="3947"/>
      <c r="M45" s="3947"/>
      <c r="N45" s="3948"/>
      <c r="O45" s="3949"/>
      <c r="P45" s="3950"/>
    </row>
    <row r="46" spans="1:20" s="42" customFormat="1" ht="3" customHeight="1" thickBot="1">
      <c r="D46" s="38"/>
      <c r="E46" s="35"/>
      <c r="F46" s="887"/>
      <c r="G46" s="887"/>
      <c r="H46" s="887"/>
      <c r="I46" s="887"/>
      <c r="J46" s="897"/>
      <c r="K46" s="897"/>
      <c r="L46" s="897"/>
      <c r="M46" s="59"/>
      <c r="N46" s="887"/>
      <c r="O46" s="2290"/>
      <c r="P46" s="2"/>
    </row>
    <row r="47" spans="1:20" s="102" customFormat="1" ht="12" customHeight="1" thickBot="1">
      <c r="A47" s="152" t="s">
        <v>739</v>
      </c>
      <c r="B47" s="106" t="s">
        <v>3587</v>
      </c>
      <c r="E47" s="56"/>
      <c r="G47" s="214"/>
      <c r="H47" s="51"/>
      <c r="I47" s="44" t="s">
        <v>3487</v>
      </c>
      <c r="M47" s="887">
        <v>3</v>
      </c>
      <c r="N47" s="6"/>
      <c r="O47" s="1090">
        <f>IF(AND(O51&gt;0,O55&gt;0),"AorB?",MIN($M$47,O51+O55))</f>
        <v>0</v>
      </c>
      <c r="P47" s="1090">
        <f>IF(AND(P51&gt;0,P55&gt;0),"AorB?",MIN($M$47,P51+P55))</f>
        <v>0</v>
      </c>
      <c r="Q47" s="109" t="s">
        <v>441</v>
      </c>
      <c r="R47" s="376" t="str">
        <f>IF(OR($O47=$M47,$O47=0,$O47=""),"","* * Check Score! * *")</f>
        <v/>
      </c>
    </row>
    <row r="48" spans="1:20" s="42" customFormat="1" ht="2.25" customHeight="1">
      <c r="A48" s="441"/>
      <c r="B48" s="112"/>
      <c r="E48" s="56"/>
      <c r="F48" s="42" t="s">
        <v>4814</v>
      </c>
      <c r="G48" s="87"/>
      <c r="H48" s="51"/>
      <c r="I48" s="44"/>
      <c r="K48" s="519"/>
      <c r="L48" s="886"/>
      <c r="M48" s="887"/>
      <c r="N48" s="6"/>
      <c r="O48" s="2"/>
      <c r="P48" s="2"/>
      <c r="Q48" s="109"/>
      <c r="R48" s="376"/>
    </row>
    <row r="49" spans="1:18" s="42" customFormat="1" ht="13.5" customHeight="1">
      <c r="A49" s="138" t="s">
        <v>1982</v>
      </c>
      <c r="B49" s="905" t="s">
        <v>2624</v>
      </c>
      <c r="E49" s="56"/>
      <c r="G49" s="87"/>
      <c r="H49" s="54" t="s">
        <v>5015</v>
      </c>
      <c r="J49" s="2181"/>
      <c r="K49" s="2181" t="str">
        <f>'Part I-Project Information'!$K$94</f>
        <v>40% of Units at 60% of AMI</v>
      </c>
      <c r="M49" s="887"/>
      <c r="N49" s="6"/>
      <c r="Q49" s="6"/>
      <c r="R49" s="376"/>
    </row>
    <row r="50" spans="1:18" s="102" customFormat="1" ht="9" customHeight="1">
      <c r="A50" s="138"/>
      <c r="B50" s="3739" t="s">
        <v>4808</v>
      </c>
      <c r="C50" s="3739"/>
      <c r="D50" s="3739"/>
      <c r="E50" s="3739"/>
      <c r="F50" s="3739"/>
      <c r="G50" s="3739"/>
      <c r="H50" s="3739"/>
      <c r="I50" s="3739"/>
      <c r="J50" s="3739"/>
      <c r="K50" s="3739"/>
      <c r="L50" s="3739"/>
      <c r="M50" s="887"/>
      <c r="N50" s="6"/>
      <c r="Q50" s="6"/>
      <c r="R50" s="376"/>
    </row>
    <row r="51" spans="1:18" s="102" customFormat="1" ht="13.5" customHeight="1">
      <c r="B51" s="3739"/>
      <c r="C51" s="3739"/>
      <c r="D51" s="3739"/>
      <c r="E51" s="3739"/>
      <c r="F51" s="3739"/>
      <c r="G51" s="3739"/>
      <c r="H51" s="3739"/>
      <c r="I51" s="3739"/>
      <c r="J51" s="3739"/>
      <c r="K51" s="3739"/>
      <c r="L51" s="3739"/>
      <c r="M51" s="896">
        <v>2</v>
      </c>
      <c r="N51" s="390" t="s">
        <v>1982</v>
      </c>
      <c r="O51" s="910">
        <f>MIN($M51, O52+O53)</f>
        <v>0</v>
      </c>
      <c r="P51" s="910">
        <f>MIN($M51, P52+P53)</f>
        <v>0</v>
      </c>
    </row>
    <row r="52" spans="1:18" s="102" customFormat="1" ht="13.5" customHeight="1">
      <c r="A52" s="138"/>
      <c r="B52" s="1226" t="s">
        <v>1985</v>
      </c>
      <c r="C52" s="2085" t="s">
        <v>4809</v>
      </c>
      <c r="D52" s="51"/>
      <c r="H52" s="51" t="s">
        <v>4810</v>
      </c>
      <c r="I52" s="2082"/>
      <c r="K52" s="2183">
        <f>'Part VI-Revenues &amp; Expenses'!B49</f>
        <v>54.871794871794869</v>
      </c>
      <c r="L52" s="3945" t="str">
        <f>IF(AND(O52&gt;0,O53&gt;0), "CHOOSE EITHER A OR B, NOT BOTH!", "")</f>
        <v/>
      </c>
      <c r="M52" s="1038">
        <v>2</v>
      </c>
      <c r="N52" s="174" t="s">
        <v>1985</v>
      </c>
      <c r="O52" s="2706"/>
      <c r="P52" s="529"/>
      <c r="Q52" s="2148" t="str">
        <f>IF(OR($O52=$M52,$O52=0,$O52=""),"","*CHECK!*")</f>
        <v/>
      </c>
      <c r="R52" s="984" t="s">
        <v>2705</v>
      </c>
    </row>
    <row r="53" spans="1:18" s="102" customFormat="1" ht="13.5" customHeight="1">
      <c r="A53" s="2083" t="s">
        <v>3342</v>
      </c>
      <c r="B53" s="1226" t="s">
        <v>1987</v>
      </c>
      <c r="C53" s="2085" t="s">
        <v>4811</v>
      </c>
      <c r="D53" s="51"/>
      <c r="I53" s="2082"/>
      <c r="K53" s="51"/>
      <c r="L53" s="3945"/>
      <c r="M53" s="1038">
        <v>2</v>
      </c>
      <c r="N53" s="174" t="s">
        <v>1987</v>
      </c>
      <c r="O53" s="2707"/>
      <c r="P53" s="530"/>
      <c r="Q53" s="2148" t="str">
        <f>IF(OR($O53=$M53,$O53=0,$O53=""),"","*CHECK!*")</f>
        <v/>
      </c>
      <c r="R53" s="984" t="s">
        <v>2705</v>
      </c>
    </row>
    <row r="54" spans="1:18" s="426" customFormat="1" ht="6.75" customHeight="1">
      <c r="A54" s="584"/>
      <c r="B54" s="578"/>
      <c r="C54" s="579"/>
      <c r="D54" s="139"/>
      <c r="K54" s="904"/>
      <c r="L54" s="904"/>
      <c r="M54" s="1038"/>
      <c r="N54" s="390"/>
      <c r="O54" s="909"/>
      <c r="P54" s="909"/>
    </row>
    <row r="55" spans="1:18" s="426" customFormat="1" ht="13.5" customHeight="1">
      <c r="A55" s="138" t="s">
        <v>1984</v>
      </c>
      <c r="B55" s="905" t="s">
        <v>3648</v>
      </c>
      <c r="E55" s="427"/>
      <c r="H55" s="3951" t="s">
        <v>4812</v>
      </c>
      <c r="I55" s="3952"/>
      <c r="J55" s="2088" t="s">
        <v>4813</v>
      </c>
      <c r="M55" s="896">
        <v>3</v>
      </c>
      <c r="N55" s="160" t="s">
        <v>1984</v>
      </c>
      <c r="O55" s="910">
        <f>IF(AND(O56="Yes", O57="Yes"),$M$55,0)</f>
        <v>0</v>
      </c>
      <c r="P55" s="910">
        <f>IF(AND(P56="Yes", P57="Yes"),$M$55,0)</f>
        <v>0</v>
      </c>
    </row>
    <row r="56" spans="1:18" s="426" customFormat="1" ht="13.5" customHeight="1">
      <c r="A56" s="425"/>
      <c r="B56" s="1226" t="s">
        <v>1985</v>
      </c>
      <c r="C56" s="2086">
        <v>0.3</v>
      </c>
      <c r="D56" s="965" t="s">
        <v>3649</v>
      </c>
      <c r="E56" s="427"/>
      <c r="F56" s="884"/>
      <c r="H56" s="2708"/>
      <c r="I56" s="1213"/>
      <c r="J56" s="2087">
        <f>'Part VI-Revenues &amp; Expenses'!O65</f>
        <v>39</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1985</v>
      </c>
      <c r="O56" s="906" t="str">
        <f>IF(AND(K56 &gt;= $C$56,O57="Yes"),"Yes","No")</f>
        <v>No</v>
      </c>
      <c r="P56" s="906" t="str">
        <f>IF(AND(L56 &gt;= $C$56,P57="Yes"),"Yes","No")</f>
        <v>No</v>
      </c>
    </row>
    <row r="57" spans="1:18" s="426" customFormat="1" ht="13.5" customHeight="1">
      <c r="A57" s="584"/>
      <c r="B57" s="1226" t="s">
        <v>1987</v>
      </c>
      <c r="C57" s="931" t="s">
        <v>3953</v>
      </c>
      <c r="E57" s="941"/>
      <c r="F57" s="884"/>
      <c r="I57" s="908"/>
      <c r="J57" s="908"/>
      <c r="K57" s="908"/>
      <c r="L57" s="908"/>
      <c r="M57" s="908"/>
      <c r="N57" s="390" t="s">
        <v>1987</v>
      </c>
      <c r="O57" s="2673"/>
      <c r="P57" s="536"/>
    </row>
    <row r="58" spans="1:18" s="42" customFormat="1" ht="10.5" customHeight="1">
      <c r="A58" s="41"/>
      <c r="B58" s="97" t="s">
        <v>1865</v>
      </c>
      <c r="C58" s="426"/>
      <c r="D58" s="85"/>
      <c r="E58" s="2291"/>
      <c r="F58" s="2291"/>
      <c r="G58" s="2291"/>
      <c r="H58" s="2291"/>
      <c r="I58" s="2291"/>
      <c r="J58" s="2291"/>
      <c r="K58" s="2291"/>
      <c r="L58" s="2291"/>
      <c r="M58" s="2291"/>
      <c r="N58" s="74"/>
      <c r="O58" s="70"/>
      <c r="P58" s="2287"/>
      <c r="Q58" s="426"/>
    </row>
    <row r="59" spans="1:18" s="42" customFormat="1" ht="22.5" customHeight="1">
      <c r="A59" s="3487"/>
      <c r="B59" s="3488"/>
      <c r="C59" s="3488"/>
      <c r="D59" s="3488"/>
      <c r="E59" s="3488"/>
      <c r="F59" s="3488"/>
      <c r="G59" s="3488"/>
      <c r="H59" s="3488"/>
      <c r="I59" s="3488"/>
      <c r="J59" s="3488"/>
      <c r="K59" s="3488"/>
      <c r="L59" s="3488"/>
      <c r="M59" s="3488"/>
      <c r="N59" s="3488"/>
      <c r="O59" s="3488"/>
      <c r="P59" s="3489"/>
      <c r="Q59" s="445"/>
    </row>
    <row r="60" spans="1:18" ht="7.5" customHeight="1" thickBot="1"/>
    <row r="61" spans="1:18" s="42" customFormat="1" ht="12.6" customHeight="1" thickBot="1">
      <c r="A61" s="152" t="s">
        <v>741</v>
      </c>
      <c r="B61" s="105" t="s">
        <v>4093</v>
      </c>
      <c r="D61" s="40"/>
      <c r="I61" s="3977" t="s">
        <v>3767</v>
      </c>
      <c r="J61" s="3977"/>
      <c r="K61" s="3977"/>
      <c r="L61" s="1022"/>
      <c r="M61" s="2287">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90"/>
      <c r="P62" s="2"/>
    </row>
    <row r="63" spans="1:18" s="102" customFormat="1" ht="12" customHeight="1">
      <c r="A63" s="138"/>
      <c r="B63" s="35" t="s">
        <v>3852</v>
      </c>
      <c r="D63" s="32"/>
      <c r="N63" s="463"/>
      <c r="O63" s="2671" t="s">
        <v>2988</v>
      </c>
      <c r="P63" s="534"/>
    </row>
    <row r="64" spans="1:18" s="102" customFormat="1" ht="12" customHeight="1">
      <c r="A64" s="138" t="s">
        <v>1982</v>
      </c>
      <c r="B64" s="165" t="s">
        <v>1873</v>
      </c>
      <c r="C64" s="3"/>
      <c r="D64" s="3"/>
      <c r="F64" s="296"/>
      <c r="H64" s="851" t="s">
        <v>2717</v>
      </c>
      <c r="I64" s="3914" t="s">
        <v>4173</v>
      </c>
      <c r="J64" s="3914"/>
      <c r="K64" s="3914"/>
      <c r="L64" s="3914"/>
      <c r="M64" s="72">
        <v>10</v>
      </c>
      <c r="N64" s="174" t="s">
        <v>1982</v>
      </c>
      <c r="O64" s="2706">
        <v>10</v>
      </c>
      <c r="P64" s="529"/>
      <c r="Q64" s="2148" t="str">
        <f>IF(OR($O64=$M64,$O64=0,$O64=""),"","*CHECK!*")</f>
        <v/>
      </c>
    </row>
    <row r="65" spans="1:21" s="102" customFormat="1" ht="12.6" customHeight="1">
      <c r="A65" s="138" t="s">
        <v>1984</v>
      </c>
      <c r="B65" s="165" t="s">
        <v>3841</v>
      </c>
      <c r="D65" s="1113"/>
      <c r="F65" s="2182"/>
      <c r="H65" s="851" t="s">
        <v>3982</v>
      </c>
      <c r="I65" s="3914"/>
      <c r="J65" s="3914"/>
      <c r="K65" s="3914"/>
      <c r="L65" s="3914"/>
      <c r="M65" s="2300" t="s">
        <v>1237</v>
      </c>
      <c r="N65" s="463" t="s">
        <v>1984</v>
      </c>
      <c r="O65" s="2707"/>
      <c r="P65" s="530"/>
    </row>
    <row r="66" spans="1:21" s="42" customFormat="1" ht="11.25" customHeight="1" thickBot="1">
      <c r="A66" s="41"/>
      <c r="B66" s="1206" t="s">
        <v>3752</v>
      </c>
      <c r="C66" s="41"/>
      <c r="D66" s="47"/>
      <c r="E66" s="47"/>
      <c r="F66" s="47"/>
      <c r="G66" s="47"/>
      <c r="H66" s="35"/>
      <c r="I66" s="3976"/>
      <c r="J66" s="3976"/>
      <c r="K66" s="3976"/>
      <c r="L66" s="3976"/>
      <c r="M66" s="45"/>
      <c r="N66" s="61"/>
      <c r="O66" s="2"/>
      <c r="P66" s="2290"/>
    </row>
    <row r="67" spans="1:21" s="42" customFormat="1" ht="72" customHeight="1" thickTop="1" thickBot="1">
      <c r="A67" s="3818" t="s">
        <v>5227</v>
      </c>
      <c r="B67" s="3819"/>
      <c r="C67" s="3819"/>
      <c r="D67" s="3819"/>
      <c r="E67" s="3819"/>
      <c r="F67" s="3819"/>
      <c r="G67" s="3819"/>
      <c r="H67" s="3819"/>
      <c r="I67" s="3819"/>
      <c r="J67" s="3819"/>
      <c r="K67" s="3819"/>
      <c r="L67" s="3819"/>
      <c r="M67" s="3819"/>
      <c r="N67" s="3819"/>
      <c r="O67" s="3819"/>
      <c r="P67" s="3820"/>
      <c r="Q67" s="1074" t="s">
        <v>1253</v>
      </c>
      <c r="R67" s="446"/>
    </row>
    <row r="68" spans="1:21" s="42" customFormat="1" ht="11.7" customHeight="1" thickTop="1">
      <c r="A68" s="41"/>
      <c r="B68" s="66" t="s">
        <v>1865</v>
      </c>
      <c r="C68" s="41"/>
      <c r="D68" s="136"/>
      <c r="E68" s="2291"/>
      <c r="F68" s="2291"/>
      <c r="G68" s="2291"/>
      <c r="H68" s="2291"/>
      <c r="I68" s="2291"/>
      <c r="J68" s="2291"/>
      <c r="K68" s="2291"/>
      <c r="L68" s="2291"/>
      <c r="M68" s="2291"/>
      <c r="N68" s="74"/>
      <c r="O68" s="70"/>
      <c r="P68" s="2287"/>
      <c r="Q68" s="426"/>
      <c r="R68" s="426"/>
    </row>
    <row r="69" spans="1:21" s="42" customFormat="1" ht="72" customHeight="1">
      <c r="A69" s="3487"/>
      <c r="B69" s="3488"/>
      <c r="C69" s="3488"/>
      <c r="D69" s="3488"/>
      <c r="E69" s="3488"/>
      <c r="F69" s="3488"/>
      <c r="G69" s="3488"/>
      <c r="H69" s="3488"/>
      <c r="I69" s="3488"/>
      <c r="J69" s="3488"/>
      <c r="K69" s="3488"/>
      <c r="L69" s="3488"/>
      <c r="M69" s="3488"/>
      <c r="N69" s="3488"/>
      <c r="O69" s="3488"/>
      <c r="P69" s="3489"/>
      <c r="Q69" s="445"/>
      <c r="R69" s="446"/>
    </row>
    <row r="70" spans="1:21" ht="7.5" customHeight="1" thickBot="1">
      <c r="M70" s="32"/>
      <c r="N70" s="114"/>
      <c r="O70" s="150"/>
      <c r="P70" s="150"/>
    </row>
    <row r="71" spans="1:21" s="42" customFormat="1" ht="12.6" customHeight="1" thickBot="1">
      <c r="A71" s="152" t="s">
        <v>1791</v>
      </c>
      <c r="B71" s="105" t="s">
        <v>2630</v>
      </c>
      <c r="D71" s="40"/>
      <c r="K71" s="1019" t="s">
        <v>1878</v>
      </c>
      <c r="M71" s="2287">
        <v>6</v>
      </c>
      <c r="N71" s="463"/>
      <c r="O71" s="1090">
        <f>IF($J$72="Flexible",MIN($M71,MAX(O86,O92)),IF(AND($J$72="Rural",O100&gt;0),MIN($M100,O100),0))</f>
        <v>0</v>
      </c>
      <c r="P71" s="1090">
        <f>IF($J$72="Flexible",MIN($M71,MAX(P86,P92)),IF(AND($J$72="Rural",P100&gt;0),MIN($M100,P100),0))</f>
        <v>0</v>
      </c>
      <c r="Q71" s="109" t="s">
        <v>441</v>
      </c>
      <c r="R71" s="3979" t="s">
        <v>5017</v>
      </c>
      <c r="S71" s="3979"/>
      <c r="T71" s="3979"/>
      <c r="U71" s="3979"/>
    </row>
    <row r="72" spans="1:21" s="42" customFormat="1" ht="17.25" customHeight="1">
      <c r="A72" s="152"/>
      <c r="B72" s="110" t="s">
        <v>3956</v>
      </c>
      <c r="D72" s="40"/>
      <c r="H72" s="165" t="s">
        <v>2792</v>
      </c>
      <c r="I72" s="515"/>
      <c r="J72" s="513" t="str">
        <f>'Part I-Project Information'!$H$105</f>
        <v>Rural</v>
      </c>
      <c r="K72" s="47"/>
      <c r="M72" s="2287"/>
      <c r="N72" s="463"/>
      <c r="O72" s="1015" t="s">
        <v>3593</v>
      </c>
      <c r="P72" s="1015" t="s">
        <v>3594</v>
      </c>
      <c r="Q72" s="109"/>
      <c r="R72" s="3979"/>
      <c r="S72" s="3979"/>
      <c r="T72" s="3979"/>
      <c r="U72" s="3979"/>
    </row>
    <row r="73" spans="1:21" s="42" customFormat="1" ht="11.25" customHeight="1">
      <c r="A73" s="152"/>
      <c r="B73" s="374" t="s">
        <v>1985</v>
      </c>
      <c r="C73" s="35" t="s">
        <v>4820</v>
      </c>
      <c r="D73" s="1113"/>
      <c r="E73" s="102"/>
      <c r="F73" s="102"/>
      <c r="G73" s="102"/>
      <c r="H73" s="44"/>
      <c r="I73" s="48"/>
      <c r="J73" s="47"/>
      <c r="K73" s="47"/>
      <c r="L73" s="102"/>
      <c r="M73" s="2287"/>
      <c r="N73" s="463"/>
      <c r="O73" s="2671"/>
      <c r="P73" s="534"/>
      <c r="Q73" s="109"/>
      <c r="R73" s="3979"/>
      <c r="S73" s="3979"/>
      <c r="T73" s="3979"/>
      <c r="U73" s="3979"/>
    </row>
    <row r="74" spans="1:21" s="42" customFormat="1" ht="11.25" customHeight="1">
      <c r="A74" s="152"/>
      <c r="B74" s="374" t="s">
        <v>1987</v>
      </c>
      <c r="C74" s="35" t="s">
        <v>4821</v>
      </c>
      <c r="D74" s="1113"/>
      <c r="E74" s="102"/>
      <c r="F74" s="102"/>
      <c r="G74" s="102"/>
      <c r="H74" s="44"/>
      <c r="I74" s="48"/>
      <c r="J74" s="47"/>
      <c r="K74" s="47"/>
      <c r="L74" s="102"/>
      <c r="M74" s="102"/>
      <c r="N74" s="463"/>
      <c r="O74" s="2672"/>
      <c r="P74" s="535"/>
      <c r="Q74" s="109"/>
      <c r="R74" s="3979"/>
      <c r="S74" s="3979"/>
      <c r="T74" s="3979"/>
      <c r="U74" s="3979"/>
    </row>
    <row r="75" spans="1:21" s="42" customFormat="1" ht="11.25" customHeight="1">
      <c r="A75" s="152"/>
      <c r="B75" s="374" t="s">
        <v>2533</v>
      </c>
      <c r="C75" s="35" t="s">
        <v>4822</v>
      </c>
      <c r="D75" s="1113"/>
      <c r="E75" s="102"/>
      <c r="F75" s="102"/>
      <c r="G75" s="102"/>
      <c r="H75" s="44"/>
      <c r="I75" s="48"/>
      <c r="J75" s="47"/>
      <c r="K75" s="47"/>
      <c r="L75" s="102"/>
      <c r="M75" s="102"/>
      <c r="N75" s="463"/>
      <c r="O75" s="2672"/>
      <c r="P75" s="535"/>
      <c r="Q75" s="109"/>
      <c r="R75" s="3979"/>
      <c r="S75" s="3979"/>
      <c r="T75" s="3979"/>
      <c r="U75" s="3979"/>
    </row>
    <row r="76" spans="1:21" s="42" customFormat="1" ht="11.25" customHeight="1">
      <c r="A76" s="152"/>
      <c r="B76" s="374" t="s">
        <v>1223</v>
      </c>
      <c r="C76" s="35" t="s">
        <v>4815</v>
      </c>
      <c r="D76" s="1113"/>
      <c r="E76" s="102"/>
      <c r="F76" s="102"/>
      <c r="G76" s="102"/>
      <c r="H76" s="44"/>
      <c r="I76" s="48"/>
      <c r="J76" s="47"/>
      <c r="K76" s="47"/>
      <c r="L76" s="102"/>
      <c r="M76" s="102"/>
      <c r="N76" s="463"/>
      <c r="O76" s="2673"/>
      <c r="P76" s="536"/>
      <c r="Q76" s="109"/>
      <c r="R76" s="3979"/>
      <c r="S76" s="3979"/>
      <c r="T76" s="3979"/>
      <c r="U76" s="3979"/>
    </row>
    <row r="77" spans="1:21" s="42" customFormat="1" ht="3" customHeight="1">
      <c r="A77" s="152"/>
      <c r="B77" s="105"/>
      <c r="D77" s="40"/>
      <c r="H77" s="44"/>
      <c r="I77" s="48"/>
      <c r="J77" s="47"/>
      <c r="K77" s="47"/>
      <c r="M77" s="2287"/>
      <c r="N77" s="463"/>
      <c r="O77" s="2"/>
      <c r="P77" s="2"/>
      <c r="Q77" s="109"/>
      <c r="R77" s="3979"/>
      <c r="S77" s="3979"/>
      <c r="T77" s="3979"/>
      <c r="U77" s="3979"/>
    </row>
    <row r="78" spans="1:21" s="42" customFormat="1" ht="13.5" customHeight="1">
      <c r="A78" s="152"/>
      <c r="B78" s="110" t="s">
        <v>3962</v>
      </c>
      <c r="D78" s="40"/>
      <c r="F78" s="3775" t="s">
        <v>3714</v>
      </c>
      <c r="G78" s="3775"/>
      <c r="H78" s="3775"/>
      <c r="I78" s="3775"/>
      <c r="J78" s="3775" t="s">
        <v>3715</v>
      </c>
      <c r="K78" s="3775"/>
      <c r="L78" s="3775"/>
      <c r="M78" s="3775"/>
      <c r="N78" s="463"/>
      <c r="O78" s="3970" t="s">
        <v>5016</v>
      </c>
      <c r="P78" s="3971"/>
      <c r="Q78" s="109"/>
      <c r="R78" s="3979"/>
      <c r="S78" s="3979"/>
      <c r="T78" s="3979"/>
      <c r="U78" s="3979"/>
    </row>
    <row r="79" spans="1:21" s="42" customFormat="1" ht="12.75" customHeight="1">
      <c r="A79" s="152"/>
      <c r="C79" s="490" t="s">
        <v>3961</v>
      </c>
      <c r="D79" s="608"/>
      <c r="E79" s="269"/>
      <c r="F79" s="3972"/>
      <c r="G79" s="3973"/>
      <c r="H79" s="3974"/>
      <c r="I79" s="3975"/>
      <c r="J79" s="3972"/>
      <c r="K79" s="3973"/>
      <c r="L79" s="3974"/>
      <c r="M79" s="3975"/>
      <c r="N79" s="463"/>
      <c r="Q79" s="109"/>
      <c r="R79" s="3979"/>
      <c r="S79" s="3979"/>
      <c r="T79" s="3979"/>
      <c r="U79" s="3979"/>
    </row>
    <row r="80" spans="1:21" s="42" customFormat="1" ht="12.75" customHeight="1">
      <c r="A80" s="3910" t="s">
        <v>4139</v>
      </c>
      <c r="B80" s="3910"/>
      <c r="D80" s="1160" t="s">
        <v>3963</v>
      </c>
      <c r="E80" s="269"/>
      <c r="F80" s="3776"/>
      <c r="G80" s="3777"/>
      <c r="H80" s="3778"/>
      <c r="I80" s="3779"/>
      <c r="J80" s="3776"/>
      <c r="K80" s="3777"/>
      <c r="L80" s="3778"/>
      <c r="M80" s="3779"/>
      <c r="N80" s="463"/>
      <c r="O80" s="2709"/>
      <c r="P80" s="1167"/>
      <c r="Q80" s="109"/>
      <c r="R80" s="3979"/>
      <c r="S80" s="3979"/>
      <c r="T80" s="3979"/>
      <c r="U80" s="3979"/>
    </row>
    <row r="81" spans="1:21" s="42" customFormat="1" ht="12.75" customHeight="1">
      <c r="A81" s="3910"/>
      <c r="B81" s="3910"/>
      <c r="C81" s="490" t="s">
        <v>4091</v>
      </c>
      <c r="D81" s="608"/>
      <c r="E81" s="269"/>
      <c r="F81" s="3987"/>
      <c r="G81" s="3988"/>
      <c r="H81" s="3993"/>
      <c r="I81" s="3994"/>
      <c r="J81" s="3987"/>
      <c r="K81" s="3988"/>
      <c r="L81" s="3993"/>
      <c r="M81" s="3994"/>
      <c r="N81" s="463"/>
      <c r="O81" s="463"/>
      <c r="P81" s="463"/>
      <c r="Q81" s="109"/>
      <c r="R81" s="3979"/>
      <c r="S81" s="3979"/>
      <c r="T81" s="3979"/>
      <c r="U81" s="3979"/>
    </row>
    <row r="82" spans="1:21" s="42" customFormat="1" ht="12.75" customHeight="1">
      <c r="A82" s="3910"/>
      <c r="B82" s="3910"/>
      <c r="E82" s="2055" t="s">
        <v>4090</v>
      </c>
      <c r="F82" s="3991"/>
      <c r="G82" s="3992"/>
      <c r="H82" s="3953"/>
      <c r="I82" s="3954"/>
      <c r="J82" s="3991"/>
      <c r="K82" s="3992"/>
      <c r="L82" s="3953"/>
      <c r="M82" s="3954"/>
      <c r="N82" s="463"/>
      <c r="O82" s="2709"/>
      <c r="P82" s="1167"/>
      <c r="Q82" s="109"/>
      <c r="R82" s="3979"/>
      <c r="S82" s="3979"/>
      <c r="T82" s="3979"/>
      <c r="U82" s="3979"/>
    </row>
    <row r="83" spans="1:21" s="42" customFormat="1" ht="9" customHeight="1">
      <c r="A83" s="152"/>
      <c r="B83" s="105"/>
      <c r="D83" s="40"/>
      <c r="H83" s="44"/>
      <c r="I83" s="48"/>
      <c r="J83" s="47"/>
      <c r="K83" s="47"/>
      <c r="M83" s="2287"/>
      <c r="N83" s="463"/>
      <c r="O83" s="2"/>
      <c r="P83" s="2"/>
      <c r="Q83" s="109"/>
      <c r="R83" s="1112"/>
      <c r="S83" s="1112"/>
      <c r="T83" s="1112"/>
      <c r="U83" s="1112"/>
    </row>
    <row r="84" spans="1:21" s="42" customFormat="1" ht="12.6" customHeight="1">
      <c r="A84" s="514" t="s">
        <v>2783</v>
      </c>
      <c r="B84" s="105"/>
      <c r="D84" s="40"/>
      <c r="F84" s="60" t="s">
        <v>3753</v>
      </c>
      <c r="M84" s="2287"/>
      <c r="N84" s="2287"/>
      <c r="O84" s="2287"/>
      <c r="P84" s="2287"/>
      <c r="Q84" s="109"/>
      <c r="R84" s="1112"/>
      <c r="S84" s="1112"/>
      <c r="T84" s="1112"/>
      <c r="U84" s="1112"/>
    </row>
    <row r="85" spans="1:21" s="42" customFormat="1" ht="2.25" customHeight="1">
      <c r="A85" s="514"/>
      <c r="B85" s="105"/>
      <c r="D85" s="40"/>
      <c r="F85" s="60"/>
      <c r="M85" s="2287"/>
      <c r="N85" s="2287"/>
      <c r="O85" s="2287"/>
      <c r="P85" s="2287"/>
      <c r="Q85" s="109"/>
      <c r="R85" s="1112"/>
      <c r="S85" s="1112"/>
      <c r="T85" s="1112"/>
      <c r="U85" s="1112"/>
    </row>
    <row r="86" spans="1:21" s="42" customFormat="1" ht="12.6" customHeight="1">
      <c r="A86" s="143" t="s">
        <v>1982</v>
      </c>
      <c r="B86" s="165" t="s">
        <v>3745</v>
      </c>
      <c r="D86" s="40"/>
      <c r="F86" s="44" t="s">
        <v>3854</v>
      </c>
      <c r="M86" s="2287">
        <v>6</v>
      </c>
      <c r="N86" s="390" t="s">
        <v>1982</v>
      </c>
      <c r="O86" s="1018">
        <f>IF($J$72="Flexible",MIN($M86,O87+O88+O89),0)</f>
        <v>0</v>
      </c>
      <c r="P86" s="1018">
        <f>IF($J$72="Flexible",MIN($M86,P87+P88+P89),0)</f>
        <v>0</v>
      </c>
      <c r="Q86" s="109"/>
    </row>
    <row r="87" spans="1:21" s="412" customFormat="1" ht="23.25" customHeight="1">
      <c r="B87" s="440" t="s">
        <v>1985</v>
      </c>
      <c r="C87" s="3549" t="s">
        <v>4816</v>
      </c>
      <c r="D87" s="3549"/>
      <c r="E87" s="3549"/>
      <c r="F87" s="3549"/>
      <c r="G87" s="3549"/>
      <c r="H87" s="3549"/>
      <c r="I87" s="3780" t="s">
        <v>4088</v>
      </c>
      <c r="J87" s="3781"/>
      <c r="K87" s="3781"/>
      <c r="L87" s="3782"/>
      <c r="M87" s="510">
        <v>5</v>
      </c>
      <c r="N87" s="478" t="s">
        <v>1985</v>
      </c>
      <c r="O87" s="2710"/>
      <c r="P87" s="861"/>
      <c r="Q87" s="2148" t="str">
        <f>IF(OR($O87=$M87,$O87=0,$O87=""),"","*CHECK!*")</f>
        <v/>
      </c>
      <c r="R87" s="984" t="s">
        <v>2705</v>
      </c>
    </row>
    <row r="88" spans="1:21" s="412" customFormat="1" ht="12" customHeight="1">
      <c r="A88" s="584" t="s">
        <v>1352</v>
      </c>
      <c r="B88" s="440" t="s">
        <v>1987</v>
      </c>
      <c r="C88" s="391" t="s">
        <v>3957</v>
      </c>
      <c r="D88" s="391"/>
      <c r="E88" s="391"/>
      <c r="F88" s="391"/>
      <c r="G88" s="391"/>
      <c r="H88" s="2300" t="str">
        <f>IF(AND(O88&gt;0,O87&gt;0),"Pick A1 or A2!","")</f>
        <v/>
      </c>
      <c r="I88" s="3783"/>
      <c r="J88" s="3784"/>
      <c r="K88" s="3784"/>
      <c r="L88" s="3785"/>
      <c r="M88" s="72">
        <v>4</v>
      </c>
      <c r="N88" s="435" t="s">
        <v>1987</v>
      </c>
      <c r="O88" s="2706"/>
      <c r="P88" s="529"/>
      <c r="Q88" s="2148" t="str">
        <f>IF(OR($O88=$M88,$O88=0,$O88=""),"","*CHECK!*")</f>
        <v/>
      </c>
      <c r="R88" s="984" t="s">
        <v>2705</v>
      </c>
    </row>
    <row r="89" spans="1:21" s="412" customFormat="1" ht="12" customHeight="1">
      <c r="B89" s="440" t="s">
        <v>2533</v>
      </c>
      <c r="C89" s="391" t="s">
        <v>3746</v>
      </c>
      <c r="D89" s="391"/>
      <c r="E89" s="391"/>
      <c r="F89" s="391"/>
      <c r="I89" s="3783"/>
      <c r="J89" s="3784"/>
      <c r="K89" s="3784"/>
      <c r="L89" s="3785"/>
      <c r="M89" s="72">
        <v>1</v>
      </c>
      <c r="N89" s="435" t="s">
        <v>2533</v>
      </c>
      <c r="O89" s="2707"/>
      <c r="P89" s="530"/>
      <c r="Q89" s="2148" t="str">
        <f>IF(OR($O89=$M89,$O89=0,$O89=""),"","*CHECK!*")</f>
        <v/>
      </c>
      <c r="R89" s="984" t="s">
        <v>2705</v>
      </c>
    </row>
    <row r="90" spans="1:21" s="412" customFormat="1" ht="12" customHeight="1">
      <c r="B90" s="440"/>
      <c r="C90" s="851" t="s">
        <v>4089</v>
      </c>
      <c r="D90" s="391"/>
      <c r="E90" s="391"/>
      <c r="F90" s="2090" t="str">
        <f>'Part I-Project Information'!$H$82</f>
        <v>Family</v>
      </c>
      <c r="G90" s="851"/>
      <c r="H90" s="2090"/>
      <c r="I90" s="3783"/>
      <c r="J90" s="3784"/>
      <c r="K90" s="3784"/>
      <c r="L90" s="3785"/>
      <c r="M90" s="102"/>
      <c r="N90" s="102"/>
      <c r="O90" s="102"/>
      <c r="P90" s="102"/>
      <c r="Q90" s="1020"/>
      <c r="R90" s="1134"/>
    </row>
    <row r="91" spans="1:21" s="412" customFormat="1" ht="12" customHeight="1">
      <c r="B91" s="440"/>
      <c r="C91" s="851"/>
      <c r="D91" s="391"/>
      <c r="E91" s="391"/>
      <c r="F91" s="2090"/>
      <c r="G91" s="851"/>
      <c r="H91" s="2090"/>
      <c r="I91" s="3786"/>
      <c r="J91" s="3787"/>
      <c r="K91" s="3787"/>
      <c r="L91" s="3788"/>
      <c r="M91" s="102"/>
      <c r="N91" s="102"/>
      <c r="O91" s="102"/>
      <c r="P91" s="102"/>
      <c r="Q91" s="1020"/>
      <c r="R91" s="1134"/>
    </row>
    <row r="92" spans="1:21" s="412" customFormat="1" ht="12" customHeight="1">
      <c r="A92" s="143" t="s">
        <v>1984</v>
      </c>
      <c r="B92" s="1133" t="s">
        <v>3747</v>
      </c>
      <c r="C92" s="632"/>
      <c r="D92" s="632"/>
      <c r="E92" s="632"/>
      <c r="F92" s="1110" t="s">
        <v>3853</v>
      </c>
      <c r="I92" s="3995" t="s">
        <v>3743</v>
      </c>
      <c r="J92" s="3996"/>
      <c r="K92" s="3996"/>
      <c r="L92" s="3955" t="s">
        <v>3744</v>
      </c>
      <c r="M92" s="2287">
        <v>3</v>
      </c>
      <c r="N92" s="463" t="s">
        <v>1984</v>
      </c>
      <c r="O92" s="1018">
        <f>IF($J$72="Flexible",MIN($M92,O95+O96+O97),0)</f>
        <v>0</v>
      </c>
      <c r="P92" s="1018">
        <f>IF($J$72="Flexible",MIN($M92,P95+P96+P97),0)</f>
        <v>0</v>
      </c>
      <c r="Q92" s="511"/>
      <c r="R92" s="389"/>
    </row>
    <row r="93" spans="1:21" s="42" customFormat="1" ht="11.25" customHeight="1">
      <c r="A93" s="152"/>
      <c r="B93" s="387" t="s">
        <v>3778</v>
      </c>
      <c r="C93" s="172" t="s">
        <v>4818</v>
      </c>
      <c r="D93" s="1113"/>
      <c r="E93" s="102"/>
      <c r="F93" s="102"/>
      <c r="G93" s="102"/>
      <c r="H93" s="44"/>
      <c r="I93" s="3997"/>
      <c r="J93" s="3998"/>
      <c r="K93" s="3998"/>
      <c r="L93" s="3956"/>
      <c r="M93" s="102"/>
      <c r="N93" s="387" t="s">
        <v>3778</v>
      </c>
      <c r="O93" s="2680"/>
      <c r="P93" s="940"/>
      <c r="Q93" s="109"/>
      <c r="R93" s="389"/>
      <c r="S93" s="412"/>
      <c r="T93" s="412"/>
      <c r="U93" s="412"/>
    </row>
    <row r="94" spans="1:21" s="42" customFormat="1" ht="11.25" customHeight="1">
      <c r="A94" s="152"/>
      <c r="B94" s="387" t="s">
        <v>3779</v>
      </c>
      <c r="C94" s="172" t="s">
        <v>4817</v>
      </c>
      <c r="D94" s="1113"/>
      <c r="E94" s="102"/>
      <c r="F94" s="102"/>
      <c r="G94" s="102"/>
      <c r="H94" s="44"/>
      <c r="I94" s="3966" t="s">
        <v>4819</v>
      </c>
      <c r="J94" s="3967"/>
      <c r="K94" s="3967"/>
      <c r="L94" s="3968"/>
      <c r="M94" s="102"/>
      <c r="N94" s="387" t="s">
        <v>3779</v>
      </c>
      <c r="O94" s="2673"/>
      <c r="P94" s="536"/>
      <c r="Q94" s="109"/>
      <c r="R94" s="389"/>
      <c r="S94" s="412"/>
      <c r="T94" s="412"/>
      <c r="U94" s="412"/>
    </row>
    <row r="95" spans="1:21" s="412" customFormat="1" ht="12" customHeight="1">
      <c r="A95" s="138"/>
      <c r="B95" s="2184" t="s">
        <v>1985</v>
      </c>
      <c r="C95" s="3697" t="s">
        <v>3958</v>
      </c>
      <c r="D95" s="3697"/>
      <c r="E95" s="3697"/>
      <c r="F95" s="3697"/>
      <c r="G95" s="3697"/>
      <c r="H95" s="3960"/>
      <c r="I95" s="3845"/>
      <c r="J95" s="3846"/>
      <c r="K95" s="3846"/>
      <c r="L95" s="3847"/>
      <c r="M95" s="72">
        <v>3</v>
      </c>
      <c r="N95" s="435" t="s">
        <v>1985</v>
      </c>
      <c r="O95" s="2706"/>
      <c r="P95" s="528"/>
      <c r="Q95" s="1020" t="str">
        <f>IF(OR($O95=$M95,$O95=0,$O95=""),"","*CHECK!*")</f>
        <v/>
      </c>
      <c r="R95" s="1134" t="s">
        <v>2705</v>
      </c>
    </row>
    <row r="96" spans="1:21" s="42" customFormat="1" ht="12" customHeight="1">
      <c r="A96" s="584" t="s">
        <v>1352</v>
      </c>
      <c r="B96" s="2184" t="s">
        <v>1987</v>
      </c>
      <c r="C96" s="3697" t="s">
        <v>3959</v>
      </c>
      <c r="D96" s="3697"/>
      <c r="E96" s="3697"/>
      <c r="F96" s="3697"/>
      <c r="G96" s="3697"/>
      <c r="H96" s="3960"/>
      <c r="I96" s="3966" t="s">
        <v>3595</v>
      </c>
      <c r="J96" s="3967"/>
      <c r="K96" s="3967"/>
      <c r="L96" s="3968"/>
      <c r="M96" s="72">
        <v>2</v>
      </c>
      <c r="N96" s="435" t="s">
        <v>1987</v>
      </c>
      <c r="O96" s="2706"/>
      <c r="P96" s="529"/>
      <c r="Q96" s="1020" t="str">
        <f>IF(OR($O96=$M96,$O96=0,$O96=""),"","*CHECK!*")</f>
        <v/>
      </c>
      <c r="R96" s="1134" t="s">
        <v>2705</v>
      </c>
    </row>
    <row r="97" spans="1:18" s="42" customFormat="1" ht="14.25" customHeight="1">
      <c r="A97" s="584" t="s">
        <v>1352</v>
      </c>
      <c r="B97" s="2184" t="s">
        <v>2533</v>
      </c>
      <c r="C97" s="3697" t="s">
        <v>3960</v>
      </c>
      <c r="D97" s="3697"/>
      <c r="E97" s="3697"/>
      <c r="F97" s="3697"/>
      <c r="G97" s="3697"/>
      <c r="H97" s="3960"/>
      <c r="I97" s="3845"/>
      <c r="J97" s="3846"/>
      <c r="K97" s="3846"/>
      <c r="L97" s="3847"/>
      <c r="M97" s="72">
        <v>1</v>
      </c>
      <c r="N97" s="435" t="s">
        <v>2533</v>
      </c>
      <c r="O97" s="2707"/>
      <c r="P97" s="530"/>
      <c r="Q97" s="1020" t="str">
        <f>IF(OR($O97=$M97,$O97=0,$O97=""),"","*CHECK!*")</f>
        <v/>
      </c>
      <c r="R97" s="1134" t="s">
        <v>2705</v>
      </c>
    </row>
    <row r="98" spans="1:18" s="42" customFormat="1" ht="14.25" customHeight="1">
      <c r="A98" s="1111"/>
      <c r="B98" s="2075"/>
      <c r="C98" s="2293"/>
      <c r="D98" s="2293"/>
      <c r="E98" s="2293"/>
      <c r="F98" s="3673" t="str">
        <f>IF(OR(AND(O95&gt;0,O96&gt;0,O97&gt;0),AND(O95&gt;0,O96&gt;0),AND(O95&gt;0,O97&gt;0),AND(O96&gt;0,O97&gt;0)),"Choose only one option: B1 or B2 or B3!","")</f>
        <v/>
      </c>
      <c r="G98" s="3673"/>
      <c r="H98" s="3965"/>
      <c r="I98" s="3966" t="s">
        <v>3596</v>
      </c>
      <c r="J98" s="3967"/>
      <c r="K98" s="3967"/>
      <c r="L98" s="3968"/>
      <c r="M98" s="102"/>
      <c r="N98" s="102"/>
      <c r="O98" s="102"/>
      <c r="P98" s="102"/>
      <c r="Q98" s="1020"/>
      <c r="R98" s="1134"/>
    </row>
    <row r="99" spans="1:18" s="42" customFormat="1" ht="12.6" customHeight="1">
      <c r="A99" s="514" t="s">
        <v>2785</v>
      </c>
      <c r="B99" s="165"/>
      <c r="E99" s="40"/>
      <c r="I99" s="3848"/>
      <c r="J99" s="3849"/>
      <c r="K99" s="3849"/>
      <c r="L99" s="3850"/>
      <c r="M99" s="72"/>
      <c r="N99" s="72"/>
      <c r="O99" s="72"/>
      <c r="P99" s="72"/>
      <c r="Q99" s="376"/>
      <c r="R99" s="376"/>
    </row>
    <row r="100" spans="1:18" s="102" customFormat="1" ht="12" customHeight="1">
      <c r="A100" s="138"/>
      <c r="B100" s="440" t="s">
        <v>1223</v>
      </c>
      <c r="C100" s="3744" t="s">
        <v>4927</v>
      </c>
      <c r="D100" s="3744"/>
      <c r="E100" s="3744"/>
      <c r="F100" s="3744"/>
      <c r="G100" s="3744"/>
      <c r="H100" s="3744"/>
      <c r="I100" s="165"/>
      <c r="J100" s="165"/>
      <c r="K100" s="165"/>
      <c r="L100" s="165"/>
      <c r="M100" s="72">
        <v>2</v>
      </c>
      <c r="N100" s="435" t="s">
        <v>1223</v>
      </c>
      <c r="O100" s="2711"/>
      <c r="P100" s="859"/>
      <c r="Q100" s="1020" t="str">
        <f>IF(OR($O100=$M100,$O100=0,$O100=""),"","*CHECK!*")</f>
        <v/>
      </c>
      <c r="R100" s="1134" t="s">
        <v>2705</v>
      </c>
    </row>
    <row r="101" spans="1:18" s="102" customFormat="1" ht="12" customHeight="1">
      <c r="A101" s="138"/>
      <c r="B101" s="440"/>
      <c r="C101" s="3744"/>
      <c r="D101" s="3744"/>
      <c r="E101" s="3744"/>
      <c r="F101" s="3744"/>
      <c r="G101" s="3744"/>
      <c r="H101" s="3744"/>
      <c r="I101" s="165"/>
      <c r="J101" s="165"/>
      <c r="K101" s="165"/>
      <c r="L101" s="165"/>
      <c r="M101" s="165"/>
      <c r="N101" s="165"/>
      <c r="O101" s="165"/>
      <c r="P101" s="165"/>
      <c r="Q101" s="1020"/>
      <c r="R101" s="1134"/>
    </row>
    <row r="102" spans="1:18" s="42" customFormat="1" ht="12.6" customHeight="1">
      <c r="A102" s="35" t="s">
        <v>4092</v>
      </c>
      <c r="B102" s="165"/>
      <c r="E102" s="40"/>
      <c r="K102" s="47"/>
      <c r="M102" s="72"/>
      <c r="N102" s="72"/>
      <c r="O102" s="72"/>
      <c r="P102" s="72"/>
      <c r="Q102" s="376"/>
      <c r="R102" s="376"/>
    </row>
    <row r="103" spans="1:18" s="102" customFormat="1" ht="11.7" customHeight="1">
      <c r="A103" s="41"/>
      <c r="B103" s="97" t="s">
        <v>1865</v>
      </c>
      <c r="C103" s="41"/>
      <c r="D103" s="97"/>
      <c r="E103" s="2296"/>
      <c r="F103" s="2296"/>
      <c r="G103" s="2296"/>
      <c r="H103" s="2296"/>
      <c r="I103" s="2296"/>
      <c r="J103" s="2296"/>
      <c r="K103" s="2296"/>
      <c r="L103" s="2296"/>
      <c r="M103" s="2296"/>
      <c r="N103" s="93"/>
      <c r="O103" s="872"/>
      <c r="P103" s="2287"/>
      <c r="Q103" s="426"/>
    </row>
    <row r="104" spans="1:18" s="42" customFormat="1" ht="11.25" customHeight="1">
      <c r="A104" s="3487"/>
      <c r="B104" s="3488"/>
      <c r="C104" s="3488"/>
      <c r="D104" s="3488"/>
      <c r="E104" s="3488"/>
      <c r="F104" s="3488"/>
      <c r="G104" s="3488"/>
      <c r="H104" s="3488"/>
      <c r="I104" s="3488"/>
      <c r="J104" s="3488"/>
      <c r="K104" s="3488"/>
      <c r="L104" s="3488"/>
      <c r="M104" s="3488"/>
      <c r="N104" s="3488"/>
      <c r="O104" s="3488"/>
      <c r="P104" s="3489"/>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0"/>
      <c r="P106" s="2"/>
    </row>
    <row r="107" spans="1:18" s="42" customFormat="1" ht="12.75" customHeight="1" thickBot="1">
      <c r="A107" s="152" t="s">
        <v>1793</v>
      </c>
      <c r="B107" s="106" t="s">
        <v>3980</v>
      </c>
      <c r="D107" s="38"/>
      <c r="E107" s="35"/>
      <c r="F107" s="887"/>
      <c r="G107" s="887"/>
      <c r="H107" s="887"/>
      <c r="I107" s="60" t="s">
        <v>3753</v>
      </c>
      <c r="J107" s="897"/>
      <c r="K107" s="897"/>
      <c r="L107" s="897"/>
      <c r="M107" s="2287">
        <v>4</v>
      </c>
      <c r="N107" s="887"/>
      <c r="O107" s="1090">
        <f>IF(AND(O109&gt;0,O115&gt;0),"AorB?",MIN($M$107,O109+O115+O137))</f>
        <v>0</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0"/>
      <c r="P108" s="2"/>
    </row>
    <row r="109" spans="1:18" s="102" customFormat="1" ht="12.75" customHeight="1" thickBot="1">
      <c r="A109" s="178" t="s">
        <v>1982</v>
      </c>
      <c r="B109" s="869" t="s">
        <v>3981</v>
      </c>
      <c r="C109" s="92"/>
      <c r="D109" s="1087"/>
      <c r="E109" s="51" t="s">
        <v>4095</v>
      </c>
      <c r="G109" s="113"/>
      <c r="I109" s="463" t="s">
        <v>4089</v>
      </c>
      <c r="J109" s="1166" t="str">
        <f>'Part I-Project Information'!$H$82</f>
        <v>Family</v>
      </c>
      <c r="K109" s="1113"/>
      <c r="L109" s="376" t="str">
        <f>IF(OR($O109=$M109,$O109=0,$O109=""),"","* * Check Score! * *")</f>
        <v/>
      </c>
      <c r="M109" s="72">
        <v>3</v>
      </c>
      <c r="N109" s="463" t="s">
        <v>1982</v>
      </c>
      <c r="O109" s="2712"/>
      <c r="P109" s="1123"/>
      <c r="Q109" s="2148" t="str">
        <f>IF(OR($O109=$M109,$O109=0,$O109=""),"","*CHECK!*")</f>
        <v/>
      </c>
      <c r="R109" s="984" t="s">
        <v>2705</v>
      </c>
    </row>
    <row r="110" spans="1:18" s="42" customFormat="1" ht="11.25" customHeight="1">
      <c r="A110" s="41"/>
      <c r="B110" s="54" t="s">
        <v>4613</v>
      </c>
      <c r="D110" s="38"/>
      <c r="E110" s="35"/>
      <c r="F110" s="887"/>
      <c r="G110" s="887"/>
      <c r="H110" s="887"/>
      <c r="I110" s="887"/>
      <c r="J110" s="897"/>
      <c r="K110" s="897"/>
      <c r="L110" s="897"/>
      <c r="M110" s="59"/>
      <c r="N110" s="887"/>
      <c r="O110" s="2290"/>
      <c r="P110" s="2"/>
    </row>
    <row r="111" spans="1:18" s="42" customFormat="1" ht="11.25" customHeight="1">
      <c r="A111" s="41"/>
      <c r="B111" s="2076" t="s">
        <v>1985</v>
      </c>
      <c r="C111" s="86" t="s">
        <v>5019</v>
      </c>
      <c r="D111" s="38"/>
      <c r="E111" s="35"/>
      <c r="F111" s="887"/>
      <c r="G111" s="887"/>
      <c r="H111" s="887"/>
      <c r="I111" s="887"/>
      <c r="J111" s="897"/>
      <c r="K111" s="897"/>
      <c r="L111" s="897"/>
      <c r="M111" s="59"/>
      <c r="N111" s="1086" t="s">
        <v>1985</v>
      </c>
      <c r="O111" s="2671"/>
      <c r="P111" s="534"/>
    </row>
    <row r="112" spans="1:18" s="42" customFormat="1" ht="11.25" customHeight="1">
      <c r="A112" s="41"/>
      <c r="B112" s="2076" t="s">
        <v>1987</v>
      </c>
      <c r="C112" s="86" t="s">
        <v>5020</v>
      </c>
      <c r="D112" s="38"/>
      <c r="E112" s="35"/>
      <c r="F112" s="887"/>
      <c r="G112" s="887"/>
      <c r="H112" s="887"/>
      <c r="I112" s="887"/>
      <c r="J112" s="897"/>
      <c r="K112" s="897"/>
      <c r="L112" s="897"/>
      <c r="M112" s="59"/>
      <c r="N112" s="1086" t="s">
        <v>1987</v>
      </c>
      <c r="O112" s="2673"/>
      <c r="P112" s="536"/>
    </row>
    <row r="113" spans="1:21" s="35" customFormat="1" ht="10.5" customHeight="1">
      <c r="A113" s="63"/>
      <c r="B113" s="2076" t="s">
        <v>2533</v>
      </c>
      <c r="C113" s="35" t="s">
        <v>4823</v>
      </c>
      <c r="E113" s="3984"/>
      <c r="F113" s="3985"/>
      <c r="G113" s="3985"/>
      <c r="H113" s="3985"/>
      <c r="I113" s="3985"/>
      <c r="J113" s="3985"/>
      <c r="K113" s="3985"/>
      <c r="L113" s="3985"/>
      <c r="M113" s="3985"/>
      <c r="N113" s="3985"/>
      <c r="O113" s="3985"/>
      <c r="P113" s="3986"/>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90"/>
      <c r="P114" s="2"/>
    </row>
    <row r="115" spans="1:21" s="102" customFormat="1" ht="12.75" customHeight="1" thickBot="1">
      <c r="A115" s="178" t="s">
        <v>1984</v>
      </c>
      <c r="B115" s="165" t="s">
        <v>3984</v>
      </c>
      <c r="D115" s="92"/>
      <c r="F115" s="51"/>
      <c r="G115" s="51"/>
      <c r="H115" s="92"/>
      <c r="I115" s="92"/>
      <c r="J115" s="92"/>
      <c r="K115" s="92"/>
      <c r="L115" s="376" t="str">
        <f>IF(OR($O115=$M115,$O115=0,$O115=""),"","* * Check Score! * *")</f>
        <v/>
      </c>
      <c r="M115" s="1038">
        <v>3</v>
      </c>
      <c r="N115" s="463" t="s">
        <v>1984</v>
      </c>
      <c r="O115" s="2712"/>
      <c r="P115" s="1123"/>
      <c r="Q115" s="2148" t="str">
        <f>IF(OR($O115=$M115,$O115=0,$O115=""),"","*CHECK!*")</f>
        <v/>
      </c>
      <c r="R115" s="984" t="s">
        <v>2705</v>
      </c>
      <c r="S115" s="1070"/>
      <c r="T115" s="1070"/>
    </row>
    <row r="116" spans="1:21" s="102" customFormat="1" ht="10.5" customHeight="1">
      <c r="A116" s="178"/>
      <c r="B116" s="888"/>
      <c r="C116" s="51" t="s">
        <v>3985</v>
      </c>
      <c r="D116" s="92"/>
      <c r="E116" s="51"/>
      <c r="F116" s="51"/>
      <c r="G116" s="51"/>
      <c r="H116" s="92"/>
      <c r="I116" s="92"/>
      <c r="J116" s="92"/>
      <c r="K116" s="92"/>
      <c r="L116" s="92"/>
      <c r="M116" s="1038"/>
      <c r="N116" s="1038"/>
      <c r="O116" s="2679"/>
      <c r="P116" s="2299"/>
      <c r="Q116" s="1070"/>
      <c r="R116" s="1070"/>
      <c r="S116" s="1070"/>
      <c r="T116" s="1070"/>
    </row>
    <row r="117" spans="1:21" s="102" customFormat="1" ht="10.5" customHeight="1">
      <c r="A117" s="178"/>
      <c r="B117" s="888"/>
      <c r="C117" s="51" t="s">
        <v>3986</v>
      </c>
      <c r="D117" s="172" t="s">
        <v>4825</v>
      </c>
      <c r="F117" s="51"/>
      <c r="G117" s="51"/>
      <c r="H117" s="3958"/>
      <c r="I117" s="3958"/>
      <c r="J117" s="3958"/>
      <c r="K117" s="3958"/>
      <c r="L117" s="3958"/>
      <c r="M117" s="3958"/>
      <c r="N117" s="3958"/>
      <c r="O117" s="3958"/>
      <c r="P117" s="3958"/>
      <c r="Q117" s="1070"/>
      <c r="R117" s="1070"/>
      <c r="S117" s="1070"/>
      <c r="T117" s="1070"/>
    </row>
    <row r="118" spans="1:21" s="102" customFormat="1" ht="10.5" customHeight="1">
      <c r="A118" s="178"/>
      <c r="B118" s="51"/>
      <c r="C118" s="35" t="s">
        <v>3988</v>
      </c>
      <c r="D118" s="92"/>
      <c r="E118" s="51"/>
      <c r="F118" s="51"/>
      <c r="G118" s="51"/>
      <c r="H118" s="92"/>
      <c r="I118" s="92"/>
      <c r="J118" s="92"/>
      <c r="K118" s="92"/>
      <c r="L118" s="92"/>
      <c r="M118" s="430"/>
      <c r="N118" s="1029" t="s">
        <v>3778</v>
      </c>
      <c r="O118" s="2680"/>
      <c r="P118" s="940"/>
      <c r="Q118" s="1070"/>
      <c r="R118" s="1070"/>
      <c r="S118" s="1070"/>
      <c r="T118" s="1070"/>
    </row>
    <row r="119" spans="1:21" s="35" customFormat="1" ht="10.5" customHeight="1">
      <c r="A119" s="63"/>
      <c r="B119" s="374"/>
      <c r="C119" s="35" t="s">
        <v>3989</v>
      </c>
      <c r="D119" s="51"/>
      <c r="E119" s="51"/>
      <c r="F119" s="51"/>
      <c r="G119" s="51"/>
      <c r="H119" s="51"/>
      <c r="I119" s="51"/>
      <c r="J119" s="51"/>
      <c r="K119" s="51"/>
      <c r="L119" s="51"/>
      <c r="M119" s="2305"/>
      <c r="N119" s="387" t="s">
        <v>3779</v>
      </c>
      <c r="O119" s="2672"/>
      <c r="P119" s="535"/>
      <c r="Q119" s="1070"/>
      <c r="R119" s="1070"/>
      <c r="S119" s="1070"/>
      <c r="T119" s="1070"/>
    </row>
    <row r="120" spans="1:21" s="54" customFormat="1" ht="10.5" customHeight="1">
      <c r="A120" s="63"/>
      <c r="C120" s="54" t="s">
        <v>4123</v>
      </c>
      <c r="D120" s="415"/>
      <c r="E120" s="51"/>
      <c r="F120" s="51"/>
      <c r="G120" s="51"/>
      <c r="H120" s="415"/>
      <c r="J120" s="415"/>
      <c r="L120" s="3556" t="s">
        <v>3815</v>
      </c>
      <c r="M120" s="3556"/>
      <c r="N120" s="3556"/>
      <c r="O120" s="3969" t="s">
        <v>3814</v>
      </c>
      <c r="P120" s="3969"/>
      <c r="Q120" s="51"/>
    </row>
    <row r="121" spans="1:21" s="54" customFormat="1" ht="10.5" customHeight="1">
      <c r="A121" s="63"/>
      <c r="B121" s="375"/>
      <c r="C121" s="3851"/>
      <c r="D121" s="3852"/>
      <c r="E121" s="3852"/>
      <c r="F121" s="3852"/>
      <c r="G121" s="3852"/>
      <c r="H121" s="3852"/>
      <c r="I121" s="3852"/>
      <c r="J121" s="3852"/>
      <c r="K121" s="3853"/>
      <c r="L121" s="3982" t="s">
        <v>3698</v>
      </c>
      <c r="M121" s="3982"/>
      <c r="N121" s="3982"/>
      <c r="O121" s="3983"/>
      <c r="P121" s="3983"/>
      <c r="Q121" s="1104" t="str">
        <f>IF(O121&gt;15, "Too much!","")</f>
        <v/>
      </c>
    </row>
    <row r="122" spans="1:21" s="54" customFormat="1" ht="10.5" customHeight="1">
      <c r="A122" s="63"/>
      <c r="B122" s="388"/>
      <c r="C122" s="3854"/>
      <c r="D122" s="3855"/>
      <c r="E122" s="3855"/>
      <c r="F122" s="3855"/>
      <c r="G122" s="3855"/>
      <c r="H122" s="3855"/>
      <c r="I122" s="3855"/>
      <c r="J122" s="3855"/>
      <c r="K122" s="3856"/>
      <c r="L122" s="3980" t="s">
        <v>3698</v>
      </c>
      <c r="M122" s="3980"/>
      <c r="N122" s="3980"/>
      <c r="O122" s="3957"/>
      <c r="P122" s="3957"/>
      <c r="Q122" s="1104" t="str">
        <f>IF(O122&gt;15, "Too much!","")</f>
        <v/>
      </c>
    </row>
    <row r="123" spans="1:21" s="54" customFormat="1" ht="10.5" customHeight="1">
      <c r="A123" s="63"/>
      <c r="B123" s="375"/>
      <c r="C123" s="3854"/>
      <c r="D123" s="3855"/>
      <c r="E123" s="3855"/>
      <c r="F123" s="3855"/>
      <c r="G123" s="3855"/>
      <c r="H123" s="3855"/>
      <c r="I123" s="3855"/>
      <c r="J123" s="3855"/>
      <c r="K123" s="3856"/>
      <c r="L123" s="3980" t="s">
        <v>3698</v>
      </c>
      <c r="M123" s="3980"/>
      <c r="N123" s="3980"/>
      <c r="O123" s="3957"/>
      <c r="P123" s="3957"/>
      <c r="Q123" s="1104" t="str">
        <f>IF(O123&gt;15, "Too much!","")</f>
        <v/>
      </c>
    </row>
    <row r="124" spans="1:21" s="54" customFormat="1" ht="10.5" customHeight="1">
      <c r="A124" s="63"/>
      <c r="B124" s="387"/>
      <c r="C124" s="3857"/>
      <c r="D124" s="3858"/>
      <c r="E124" s="3858"/>
      <c r="F124" s="3858"/>
      <c r="G124" s="3858"/>
      <c r="H124" s="3858"/>
      <c r="I124" s="3858"/>
      <c r="J124" s="3858"/>
      <c r="K124" s="3859"/>
      <c r="L124" s="3961" t="s">
        <v>3698</v>
      </c>
      <c r="M124" s="3961"/>
      <c r="N124" s="3961"/>
      <c r="O124" s="3981"/>
      <c r="P124" s="3981"/>
      <c r="Q124" s="1104" t="str">
        <f>IF(O124&gt;15, "Too much!","")</f>
        <v/>
      </c>
    </row>
    <row r="125" spans="1:21" s="102" customFormat="1" ht="10.5" customHeight="1">
      <c r="B125" s="888"/>
      <c r="C125" s="51" t="s">
        <v>3987</v>
      </c>
      <c r="D125" s="35" t="s">
        <v>3990</v>
      </c>
      <c r="E125" s="51"/>
      <c r="F125" s="51"/>
      <c r="G125" s="51"/>
      <c r="H125" s="92"/>
      <c r="I125" s="92"/>
      <c r="J125" s="92"/>
      <c r="K125" s="92"/>
      <c r="L125" s="92"/>
      <c r="M125" s="92"/>
      <c r="N125" s="1029" t="s">
        <v>3778</v>
      </c>
      <c r="O125" s="2671"/>
      <c r="P125" s="534"/>
      <c r="Q125" s="493"/>
      <c r="R125" s="54"/>
      <c r="S125" s="54"/>
      <c r="T125" s="54"/>
      <c r="U125" s="54"/>
    </row>
    <row r="126" spans="1:21" s="102" customFormat="1" ht="10.5" customHeight="1">
      <c r="A126" s="178"/>
      <c r="B126" s="51"/>
      <c r="D126" s="35" t="s">
        <v>3991</v>
      </c>
      <c r="E126" s="51"/>
      <c r="F126" s="51"/>
      <c r="G126" s="51"/>
      <c r="H126" s="92"/>
      <c r="I126" s="92"/>
      <c r="J126" s="92"/>
      <c r="K126" s="92"/>
      <c r="L126" s="92"/>
      <c r="M126" s="430"/>
      <c r="N126" s="387" t="s">
        <v>3779</v>
      </c>
      <c r="O126" s="2673"/>
      <c r="P126" s="536"/>
      <c r="Q126" s="493"/>
      <c r="R126" s="54"/>
      <c r="S126" s="54"/>
      <c r="T126" s="54"/>
      <c r="U126" s="54"/>
    </row>
    <row r="127" spans="1:21" s="35" customFormat="1" ht="10.5" customHeight="1">
      <c r="A127" s="63"/>
      <c r="B127" s="374"/>
      <c r="D127" s="54" t="s">
        <v>4824</v>
      </c>
      <c r="E127" s="51"/>
      <c r="F127" s="51"/>
      <c r="G127" s="51"/>
      <c r="H127" s="51"/>
      <c r="I127" s="51"/>
      <c r="J127" s="51"/>
      <c r="K127" s="51"/>
      <c r="L127" s="51"/>
      <c r="M127" s="2305"/>
      <c r="N127" s="387" t="s">
        <v>3780</v>
      </c>
      <c r="Q127" s="51"/>
      <c r="R127" s="54"/>
      <c r="S127" s="54"/>
      <c r="T127" s="54"/>
      <c r="U127" s="54"/>
    </row>
    <row r="128" spans="1:21" s="54" customFormat="1" ht="10.5" customHeight="1">
      <c r="A128" s="63"/>
      <c r="B128" s="63"/>
      <c r="D128" s="63"/>
      <c r="E128" s="897" t="s">
        <v>4155</v>
      </c>
      <c r="F128" s="63"/>
      <c r="L128" s="63"/>
      <c r="M128" s="63"/>
      <c r="N128" s="63"/>
      <c r="O128" s="2671"/>
      <c r="P128" s="534"/>
      <c r="Q128" s="51"/>
    </row>
    <row r="129" spans="1:21" s="54" customFormat="1" ht="10.5" customHeight="1">
      <c r="A129" s="63"/>
      <c r="B129" s="63"/>
      <c r="D129" s="63"/>
      <c r="E129" s="897" t="s">
        <v>4478</v>
      </c>
      <c r="F129" s="63"/>
      <c r="L129" s="63"/>
      <c r="M129" s="63"/>
      <c r="N129" s="63"/>
      <c r="O129" s="2672"/>
      <c r="P129" s="535"/>
      <c r="Q129" s="51"/>
    </row>
    <row r="130" spans="1:21" s="54" customFormat="1" ht="10.5" customHeight="1">
      <c r="A130" s="63"/>
      <c r="B130" s="63"/>
      <c r="D130" s="63"/>
      <c r="E130" s="897" t="s">
        <v>4157</v>
      </c>
      <c r="F130" s="63"/>
      <c r="L130" s="63"/>
      <c r="M130" s="63"/>
      <c r="N130" s="63"/>
      <c r="O130" s="2672"/>
      <c r="P130" s="535"/>
      <c r="Q130" s="51"/>
    </row>
    <row r="131" spans="1:21" s="54" customFormat="1" ht="10.5" customHeight="1">
      <c r="A131" s="63"/>
      <c r="B131" s="63"/>
      <c r="D131" s="63"/>
      <c r="E131" s="897" t="s">
        <v>4610</v>
      </c>
      <c r="F131" s="63"/>
      <c r="I131" s="897"/>
      <c r="L131" s="63"/>
      <c r="M131" s="63"/>
      <c r="N131" s="63"/>
      <c r="O131" s="2713"/>
      <c r="P131" s="903"/>
      <c r="Q131" s="51"/>
    </row>
    <row r="132" spans="1:21" s="54" customFormat="1" ht="10.5" customHeight="1">
      <c r="A132" s="63"/>
      <c r="B132" s="63"/>
      <c r="D132" s="63"/>
      <c r="E132" s="51" t="s">
        <v>4611</v>
      </c>
      <c r="F132" s="63"/>
      <c r="I132" s="897"/>
      <c r="L132" s="63"/>
      <c r="M132" s="63"/>
      <c r="N132" s="63"/>
      <c r="O132" s="2713"/>
      <c r="P132" s="903"/>
      <c r="Q132" s="51"/>
    </row>
    <row r="133" spans="1:21" s="54" customFormat="1" ht="10.5" customHeight="1">
      <c r="A133" s="63"/>
      <c r="B133" s="63"/>
      <c r="D133" s="63"/>
      <c r="E133" s="897" t="s">
        <v>4612</v>
      </c>
      <c r="F133" s="63"/>
      <c r="I133" s="897"/>
      <c r="L133" s="63"/>
      <c r="M133" s="63"/>
      <c r="N133" s="63"/>
      <c r="O133" s="2713"/>
      <c r="P133" s="903"/>
      <c r="Q133" s="51"/>
    </row>
    <row r="134" spans="1:21" s="54" customFormat="1" ht="10.5" customHeight="1">
      <c r="A134" s="63"/>
      <c r="B134" s="63"/>
      <c r="D134" s="63"/>
      <c r="E134" s="3962" t="s">
        <v>4161</v>
      </c>
      <c r="F134" s="3963"/>
      <c r="G134" s="3963"/>
      <c r="H134" s="3963"/>
      <c r="I134" s="3963"/>
      <c r="J134" s="3963"/>
      <c r="K134" s="3963"/>
      <c r="L134" s="3964"/>
      <c r="M134" s="63"/>
      <c r="N134" s="63"/>
      <c r="O134" s="2673"/>
      <c r="P134" s="536"/>
      <c r="Q134" s="51"/>
    </row>
    <row r="135" spans="1:21" s="102" customFormat="1" ht="10.5" customHeight="1">
      <c r="A135" s="178"/>
      <c r="B135" s="51"/>
      <c r="D135" s="35" t="s">
        <v>4826</v>
      </c>
      <c r="E135" s="51"/>
      <c r="F135" s="51"/>
      <c r="G135" s="51"/>
      <c r="H135" s="92"/>
      <c r="I135" s="92"/>
      <c r="J135" s="92"/>
      <c r="K135" s="92"/>
      <c r="L135" s="92"/>
      <c r="M135" s="430"/>
      <c r="N135" s="387" t="s">
        <v>3782</v>
      </c>
      <c r="O135" s="2673"/>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748</v>
      </c>
      <c r="B137" s="869" t="s">
        <v>3816</v>
      </c>
      <c r="D137" s="51"/>
      <c r="F137" s="51"/>
      <c r="G137" s="51"/>
      <c r="H137" s="51"/>
      <c r="I137" s="51"/>
      <c r="J137" s="51"/>
      <c r="K137" s="51"/>
      <c r="L137" s="376" t="str">
        <f>IF(OR($O137=$M137,$O137=0,$O137=""),"","* * Check Score! * *")</f>
        <v/>
      </c>
      <c r="M137" s="1038">
        <v>1</v>
      </c>
      <c r="N137" s="1086" t="s">
        <v>1987</v>
      </c>
      <c r="O137" s="2712"/>
      <c r="P137" s="1123"/>
      <c r="Q137" s="2148" t="str">
        <f>IF(OR($O137=$M137,$O137=0,$O137=""),"","*CHECK!*")</f>
        <v/>
      </c>
      <c r="R137" s="984" t="s">
        <v>2705</v>
      </c>
      <c r="S137" s="1070"/>
      <c r="T137" s="1070"/>
      <c r="U137" s="1070"/>
    </row>
    <row r="138" spans="1:21" s="35" customFormat="1" ht="10.5" customHeight="1">
      <c r="A138" s="63"/>
      <c r="C138" s="51" t="s">
        <v>3992</v>
      </c>
      <c r="D138" s="1215"/>
      <c r="E138" s="1215"/>
      <c r="F138" s="1215"/>
      <c r="G138" s="1215"/>
      <c r="H138" s="1215"/>
      <c r="I138" s="1215"/>
      <c r="J138" s="1215"/>
      <c r="K138" s="1215"/>
      <c r="L138" s="1215"/>
      <c r="M138" s="2305"/>
      <c r="N138" s="51"/>
      <c r="O138" s="2679"/>
      <c r="P138" s="2299"/>
      <c r="Q138" s="51"/>
      <c r="R138" s="1070"/>
      <c r="S138" s="1070"/>
      <c r="T138" s="1070"/>
      <c r="U138" s="1070"/>
    </row>
    <row r="139" spans="1:21" s="35" customFormat="1" ht="10.5" customHeight="1">
      <c r="A139" s="63"/>
      <c r="B139" s="888"/>
      <c r="C139" s="3486" t="s">
        <v>4827</v>
      </c>
      <c r="D139" s="3486"/>
      <c r="E139" s="3486"/>
      <c r="F139" s="1215"/>
      <c r="G139" s="897" t="s">
        <v>3993</v>
      </c>
      <c r="I139" s="1215"/>
      <c r="J139" s="1215"/>
      <c r="K139" s="1215"/>
      <c r="L139" s="1215"/>
      <c r="M139" s="64" t="s">
        <v>2434</v>
      </c>
      <c r="N139" s="387" t="s">
        <v>3778</v>
      </c>
      <c r="O139" s="2680"/>
      <c r="P139" s="940"/>
      <c r="Q139" s="51"/>
      <c r="R139" s="1070"/>
      <c r="S139" s="1070"/>
      <c r="T139" s="1070"/>
      <c r="U139" s="1070"/>
    </row>
    <row r="140" spans="1:21" s="35" customFormat="1" ht="10.5" customHeight="1">
      <c r="A140" s="63"/>
      <c r="B140" s="374"/>
      <c r="C140" s="3486"/>
      <c r="D140" s="3486"/>
      <c r="E140" s="3486"/>
      <c r="F140" s="1215"/>
      <c r="G140" s="897" t="s">
        <v>3994</v>
      </c>
      <c r="I140" s="1215"/>
      <c r="J140" s="1215"/>
      <c r="K140" s="1215"/>
      <c r="L140" s="1215"/>
      <c r="M140" s="2305"/>
      <c r="N140" s="1029" t="s">
        <v>3779</v>
      </c>
      <c r="O140" s="2672"/>
      <c r="P140" s="535"/>
      <c r="Q140" s="51"/>
      <c r="R140" s="1070"/>
      <c r="S140" s="1070"/>
      <c r="T140" s="1070"/>
      <c r="U140" s="1070"/>
    </row>
    <row r="141" spans="1:21" s="35" customFormat="1" ht="10.5" customHeight="1">
      <c r="A141" s="64"/>
      <c r="B141" s="374"/>
      <c r="C141" s="3486"/>
      <c r="D141" s="3486"/>
      <c r="E141" s="3486"/>
      <c r="F141" s="1215"/>
      <c r="G141" s="897" t="s">
        <v>3995</v>
      </c>
      <c r="I141" s="1215"/>
      <c r="J141" s="1215"/>
      <c r="K141" s="1215"/>
      <c r="L141" s="1215"/>
      <c r="M141" s="2305"/>
      <c r="N141" s="387" t="s">
        <v>3780</v>
      </c>
      <c r="O141" s="2672"/>
      <c r="P141" s="535"/>
      <c r="Q141" s="51"/>
      <c r="R141" s="1070"/>
      <c r="S141" s="1070"/>
      <c r="T141" s="1070"/>
      <c r="U141" s="1070"/>
    </row>
    <row r="142" spans="1:21" s="35" customFormat="1" ht="10.5" customHeight="1">
      <c r="A142" s="63"/>
      <c r="B142" s="374"/>
      <c r="D142" s="1215"/>
      <c r="E142" s="1215"/>
      <c r="F142" s="1215"/>
      <c r="G142" s="897" t="s">
        <v>3996</v>
      </c>
      <c r="I142" s="1215"/>
      <c r="J142" s="1215"/>
      <c r="K142" s="1215"/>
      <c r="L142" s="1215"/>
      <c r="M142" s="2305"/>
      <c r="N142" s="387" t="s">
        <v>3782</v>
      </c>
      <c r="O142" s="2672"/>
      <c r="P142" s="535"/>
      <c r="Q142" s="51"/>
      <c r="R142" s="1070"/>
      <c r="S142" s="1070"/>
      <c r="T142" s="1070"/>
      <c r="U142" s="1070"/>
    </row>
    <row r="143" spans="1:21" s="35" customFormat="1" ht="10.5" customHeight="1">
      <c r="A143" s="63"/>
      <c r="B143" s="374"/>
      <c r="D143" s="1215"/>
      <c r="E143" s="1215"/>
      <c r="F143" s="1215"/>
      <c r="G143" s="897" t="s">
        <v>3997</v>
      </c>
      <c r="I143" s="1215"/>
      <c r="J143" s="1215"/>
      <c r="K143" s="1215"/>
      <c r="L143" s="1215"/>
      <c r="M143" s="2305"/>
      <c r="N143" s="1029" t="s">
        <v>3783</v>
      </c>
      <c r="O143" s="2673"/>
      <c r="P143" s="536"/>
      <c r="Q143" s="51"/>
    </row>
    <row r="144" spans="1:21" s="35" customFormat="1" ht="10.5" customHeight="1">
      <c r="A144" s="63"/>
      <c r="B144" s="888"/>
      <c r="C144" s="897" t="s">
        <v>4828</v>
      </c>
      <c r="D144" s="1215"/>
      <c r="E144" s="1215"/>
      <c r="F144" s="1215"/>
      <c r="G144" s="1215"/>
      <c r="H144" s="1215"/>
      <c r="I144" s="1215"/>
      <c r="J144" s="1215"/>
      <c r="K144" s="1215"/>
      <c r="L144" s="1215"/>
      <c r="M144" s="64"/>
      <c r="N144" s="64" t="s">
        <v>2435</v>
      </c>
      <c r="O144" s="2674"/>
      <c r="P144" s="533"/>
      <c r="Q144" s="51"/>
    </row>
    <row r="145" spans="1:18" s="54" customFormat="1" ht="10.5" customHeight="1">
      <c r="A145" s="63"/>
      <c r="B145" s="440"/>
      <c r="C145" s="54" t="s">
        <v>3830</v>
      </c>
      <c r="D145" s="415"/>
      <c r="E145" s="51"/>
      <c r="F145" s="51"/>
      <c r="G145" s="54" t="s">
        <v>4128</v>
      </c>
      <c r="H145" s="415"/>
      <c r="M145" s="57"/>
      <c r="N145" s="57"/>
      <c r="O145" s="57"/>
      <c r="P145" s="57"/>
      <c r="Q145" s="51"/>
    </row>
    <row r="146" spans="1:18" s="54" customFormat="1" ht="10.5" customHeight="1">
      <c r="B146" s="375"/>
      <c r="C146" s="3851"/>
      <c r="D146" s="3852"/>
      <c r="E146" s="3852"/>
      <c r="F146" s="3853"/>
      <c r="G146" s="3851"/>
      <c r="H146" s="3852"/>
      <c r="I146" s="3852"/>
      <c r="J146" s="3852"/>
      <c r="K146" s="3852"/>
      <c r="L146" s="3852"/>
      <c r="M146" s="3852"/>
      <c r="N146" s="3852"/>
      <c r="O146" s="3852"/>
      <c r="P146" s="3853"/>
      <c r="Q146" s="51"/>
    </row>
    <row r="147" spans="1:18" s="54" customFormat="1" ht="10.5" customHeight="1">
      <c r="A147" s="63"/>
      <c r="B147" s="388"/>
      <c r="C147" s="3854"/>
      <c r="D147" s="3855"/>
      <c r="E147" s="3855"/>
      <c r="F147" s="3856"/>
      <c r="G147" s="3854"/>
      <c r="H147" s="3855"/>
      <c r="I147" s="3855"/>
      <c r="J147" s="3855"/>
      <c r="K147" s="3855"/>
      <c r="L147" s="3855"/>
      <c r="M147" s="3855"/>
      <c r="N147" s="3855"/>
      <c r="O147" s="3855"/>
      <c r="P147" s="3856"/>
      <c r="Q147" s="51"/>
    </row>
    <row r="148" spans="1:18" s="54" customFormat="1" ht="10.5" customHeight="1">
      <c r="A148" s="3397" t="s">
        <v>4162</v>
      </c>
      <c r="B148" s="3397"/>
      <c r="C148" s="3854"/>
      <c r="D148" s="3855"/>
      <c r="E148" s="3855"/>
      <c r="F148" s="3856"/>
      <c r="G148" s="3854"/>
      <c r="H148" s="3855"/>
      <c r="I148" s="3855"/>
      <c r="J148" s="3855"/>
      <c r="K148" s="3855"/>
      <c r="L148" s="3855"/>
      <c r="M148" s="3855"/>
      <c r="N148" s="3855"/>
      <c r="O148" s="3855"/>
      <c r="P148" s="3856"/>
      <c r="Q148" s="51"/>
    </row>
    <row r="149" spans="1:18" s="54" customFormat="1" ht="10.5" customHeight="1">
      <c r="A149" s="3397"/>
      <c r="B149" s="3397"/>
      <c r="C149" s="3857"/>
      <c r="D149" s="3858"/>
      <c r="E149" s="3858"/>
      <c r="F149" s="3859"/>
      <c r="G149" s="3857"/>
      <c r="H149" s="3858"/>
      <c r="I149" s="3858"/>
      <c r="J149" s="3858"/>
      <c r="K149" s="3858"/>
      <c r="L149" s="3858"/>
      <c r="M149" s="3858"/>
      <c r="N149" s="3858"/>
      <c r="O149" s="3858"/>
      <c r="P149" s="3859"/>
      <c r="Q149" s="51"/>
    </row>
    <row r="150" spans="1:18" s="42" customFormat="1" ht="4.5" customHeight="1">
      <c r="A150" s="3959"/>
      <c r="B150" s="3959"/>
      <c r="C150" s="98"/>
      <c r="D150" s="85"/>
      <c r="E150" s="99"/>
      <c r="F150" s="2291"/>
      <c r="G150" s="2291"/>
      <c r="H150" s="2291"/>
      <c r="I150" s="2291"/>
      <c r="J150" s="2291"/>
      <c r="K150" s="2291"/>
      <c r="L150" s="2291"/>
      <c r="M150" s="2291"/>
      <c r="N150" s="74"/>
      <c r="O150" s="70"/>
      <c r="P150" s="2287"/>
      <c r="Q150" s="426"/>
    </row>
    <row r="151" spans="1:18" s="42" customFormat="1" ht="11.25" customHeight="1">
      <c r="A151" s="3487"/>
      <c r="B151" s="3488"/>
      <c r="C151" s="3488"/>
      <c r="D151" s="3488"/>
      <c r="E151" s="3488"/>
      <c r="F151" s="3488"/>
      <c r="G151" s="3488"/>
      <c r="H151" s="3488"/>
      <c r="I151" s="3488"/>
      <c r="J151" s="3488"/>
      <c r="K151" s="3488"/>
      <c r="L151" s="3488"/>
      <c r="M151" s="3488"/>
      <c r="N151" s="3488"/>
      <c r="O151" s="3488"/>
      <c r="P151" s="3489"/>
      <c r="Q151" s="445"/>
    </row>
    <row r="152" spans="1:18" s="42" customFormat="1" ht="3" customHeight="1" thickBot="1">
      <c r="A152" s="41"/>
      <c r="C152" s="2291"/>
      <c r="D152" s="2291"/>
      <c r="E152" s="2291"/>
      <c r="F152" s="2291"/>
      <c r="G152" s="2291"/>
      <c r="H152" s="2291"/>
      <c r="I152" s="2291"/>
      <c r="J152" s="2291"/>
      <c r="K152" s="2291"/>
      <c r="L152" s="2291"/>
      <c r="M152" s="2291"/>
      <c r="N152" s="74"/>
      <c r="O152" s="70"/>
      <c r="P152" s="887"/>
    </row>
    <row r="153" spans="1:18" s="42" customFormat="1" ht="13.5" customHeight="1" thickBot="1">
      <c r="A153" s="152" t="s">
        <v>529</v>
      </c>
      <c r="B153" s="106" t="s">
        <v>3964</v>
      </c>
      <c r="C153" s="2291"/>
      <c r="D153" s="2291"/>
      <c r="E153" s="2291"/>
      <c r="F153" s="2291"/>
      <c r="G153" s="2291"/>
      <c r="H153" s="2291"/>
      <c r="I153" s="2291"/>
      <c r="J153" s="2291"/>
      <c r="K153" s="2291"/>
      <c r="L153" s="2291"/>
      <c r="M153" s="887">
        <v>5</v>
      </c>
      <c r="N153" s="74"/>
      <c r="O153" s="1090">
        <f>O155+O171</f>
        <v>0</v>
      </c>
      <c r="P153" s="1090">
        <f>P155+P171</f>
        <v>0</v>
      </c>
      <c r="Q153" s="109" t="s">
        <v>441</v>
      </c>
    </row>
    <row r="154" spans="1:18" s="42" customFormat="1" ht="9" customHeight="1">
      <c r="A154" s="41"/>
      <c r="C154" s="2291"/>
      <c r="D154" s="2291"/>
      <c r="E154" s="2291"/>
      <c r="F154" s="2291"/>
      <c r="G154" s="2291"/>
      <c r="H154" s="2291"/>
      <c r="I154" s="2291"/>
      <c r="J154" s="2291"/>
      <c r="K154" s="2291"/>
      <c r="L154" s="2291"/>
      <c r="M154" s="2291"/>
      <c r="N154" s="74"/>
      <c r="O154" s="70"/>
      <c r="P154" s="887"/>
    </row>
    <row r="155" spans="1:18" s="102" customFormat="1" ht="13.5" customHeight="1">
      <c r="A155" s="178" t="s">
        <v>1982</v>
      </c>
      <c r="B155" s="9" t="s">
        <v>4001</v>
      </c>
      <c r="C155" s="92"/>
      <c r="D155" s="1087"/>
      <c r="E155" s="1087"/>
      <c r="G155" s="1113"/>
      <c r="H155" s="1113"/>
      <c r="I155" s="1113"/>
      <c r="J155" s="1113"/>
      <c r="K155" s="1113"/>
      <c r="L155" s="1113"/>
      <c r="M155" s="430">
        <v>3</v>
      </c>
      <c r="N155" s="174"/>
      <c r="O155" s="1116">
        <f>IF('Part VI-Revenues &amp; Expenses'!$O$67=0,0,IF(AND($F$160="Family",$U$166=3),3,IF($U$166=3,2,IF(OR($U$166=2,$U$166=1),1,0))))</f>
        <v>0</v>
      </c>
      <c r="P155" s="2149"/>
      <c r="R155" s="172"/>
    </row>
    <row r="156" spans="1:18" s="42" customFormat="1" ht="12" customHeight="1">
      <c r="B156" s="39" t="s">
        <v>3825</v>
      </c>
      <c r="C156" s="428"/>
      <c r="D156" s="428"/>
      <c r="E156" s="428"/>
      <c r="F156" s="428"/>
      <c r="G156" s="428"/>
      <c r="H156" s="428"/>
      <c r="I156" s="428"/>
      <c r="J156" s="428"/>
      <c r="K156" s="428"/>
      <c r="L156" s="428"/>
      <c r="M156" s="428"/>
      <c r="N156" s="428"/>
      <c r="O156" s="2670"/>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3745" t="s">
        <v>5025</v>
      </c>
      <c r="C158" s="3745"/>
      <c r="D158" s="3745"/>
      <c r="E158" s="51" t="s">
        <v>3822</v>
      </c>
      <c r="F158" s="102"/>
      <c r="G158" s="51"/>
      <c r="H158" s="102"/>
      <c r="I158" s="3984"/>
      <c r="J158" s="3985"/>
      <c r="K158" s="3985"/>
      <c r="L158" s="3986"/>
    </row>
    <row r="159" spans="1:18" s="42" customFormat="1" ht="11.25" customHeight="1">
      <c r="A159" s="138"/>
      <c r="B159" s="3745"/>
      <c r="C159" s="3745"/>
      <c r="D159" s="3745"/>
      <c r="E159" s="39" t="s">
        <v>4831</v>
      </c>
      <c r="F159" s="376"/>
      <c r="G159" s="102"/>
      <c r="H159" s="102"/>
      <c r="I159" s="39"/>
      <c r="J159" s="2301"/>
      <c r="K159" s="2301"/>
      <c r="L159" s="2301"/>
      <c r="M159" s="102"/>
      <c r="N159" s="1115"/>
      <c r="O159" s="2670"/>
      <c r="P159" s="532"/>
      <c r="Q159" s="133"/>
    </row>
    <row r="160" spans="1:18" s="42" customFormat="1" ht="12" customHeight="1">
      <c r="A160" s="41"/>
      <c r="C160" s="2291"/>
      <c r="D160" s="2291"/>
      <c r="E160" s="51" t="s">
        <v>4832</v>
      </c>
      <c r="F160" s="2187" t="str">
        <f>'Part I-Project Information'!$H$82</f>
        <v>Family</v>
      </c>
      <c r="H160" s="2186"/>
      <c r="I160" s="2291"/>
      <c r="J160" s="2291"/>
      <c r="M160" s="2291"/>
      <c r="N160" s="74"/>
      <c r="O160" s="3999" t="s">
        <v>5021</v>
      </c>
      <c r="P160" s="3999"/>
    </row>
    <row r="161" spans="1:24" s="54" customFormat="1" ht="3" customHeight="1">
      <c r="A161" s="902"/>
      <c r="B161" s="428"/>
      <c r="O161" s="4000"/>
      <c r="P161" s="4000"/>
    </row>
    <row r="162" spans="1:24" s="42" customFormat="1" ht="12" customHeight="1">
      <c r="A162" s="375" t="s">
        <v>2434</v>
      </c>
      <c r="B162" s="110" t="s">
        <v>4830</v>
      </c>
      <c r="C162" s="2291"/>
      <c r="D162" s="2291"/>
      <c r="E162" s="51"/>
      <c r="F162" s="2069"/>
      <c r="G162" s="2069"/>
      <c r="I162" s="2291"/>
      <c r="J162" s="2291"/>
      <c r="K162" s="2291"/>
      <c r="L162" s="2291"/>
      <c r="M162" s="4006" t="s">
        <v>4829</v>
      </c>
      <c r="N162" s="74"/>
      <c r="O162" s="4000"/>
      <c r="P162" s="4000"/>
      <c r="T162" s="3555" t="s">
        <v>5059</v>
      </c>
    </row>
    <row r="163" spans="1:24" s="54" customFormat="1" ht="3" customHeight="1">
      <c r="A163" s="902"/>
      <c r="B163" s="428"/>
      <c r="M163" s="4006"/>
      <c r="O163" s="4000"/>
      <c r="P163" s="4000"/>
      <c r="T163" s="3555"/>
    </row>
    <row r="164" spans="1:24" s="42" customFormat="1" ht="13.5" customHeight="1">
      <c r="A164" s="138"/>
      <c r="B164" s="547"/>
      <c r="C164" s="546"/>
      <c r="D164" s="546"/>
      <c r="E164" s="1217"/>
      <c r="H164" s="4003" t="s">
        <v>3820</v>
      </c>
      <c r="I164" s="4007" t="s">
        <v>3865</v>
      </c>
      <c r="J164" s="4008"/>
      <c r="K164" s="4009"/>
      <c r="L164" s="4006" t="s">
        <v>3819</v>
      </c>
      <c r="M164" s="4006"/>
      <c r="N164" s="2092"/>
      <c r="O164" s="4000"/>
      <c r="P164" s="4000"/>
      <c r="R164" s="4038" t="s">
        <v>5026</v>
      </c>
      <c r="T164" s="3555"/>
      <c r="U164" s="3732" t="s">
        <v>5058</v>
      </c>
    </row>
    <row r="165" spans="1:24" s="42" customFormat="1" ht="13.5" customHeight="1">
      <c r="A165" s="138"/>
      <c r="B165" s="552" t="s">
        <v>3817</v>
      </c>
      <c r="C165" s="2301"/>
      <c r="D165" s="4027" t="s">
        <v>3821</v>
      </c>
      <c r="E165" s="4027"/>
      <c r="F165" s="4027"/>
      <c r="G165" s="2314" t="s">
        <v>3396</v>
      </c>
      <c r="H165" s="3732"/>
      <c r="I165" s="2298">
        <v>2015</v>
      </c>
      <c r="J165" s="2298">
        <v>2016</v>
      </c>
      <c r="K165" s="2298">
        <v>2017</v>
      </c>
      <c r="L165" s="3003"/>
      <c r="M165" s="3003"/>
      <c r="N165" s="2092"/>
      <c r="O165" s="4001"/>
      <c r="P165" s="4001"/>
      <c r="R165" s="4039"/>
      <c r="T165" s="3732"/>
      <c r="U165" s="3732"/>
    </row>
    <row r="166" spans="1:24" s="42" customFormat="1" ht="12" customHeight="1">
      <c r="B166" s="589" t="s">
        <v>4000</v>
      </c>
      <c r="D166" s="4013"/>
      <c r="E166" s="4014"/>
      <c r="F166" s="4015"/>
      <c r="G166" s="2714"/>
      <c r="H166" s="2715"/>
      <c r="I166" s="2716"/>
      <c r="J166" s="2717"/>
      <c r="K166" s="2717"/>
      <c r="L166" s="2073" t="str">
        <f>IF(I166+J166+K166=0,"",AVERAGE(I166,J166,K166))</f>
        <v/>
      </c>
      <c r="M166" s="621" t="str">
        <f>IF(L166="","",IF(L166&gt;R166,"Yes",IF(L166&lt;R166,"No","")))</f>
        <v/>
      </c>
      <c r="O166" s="2671"/>
      <c r="P166" s="534"/>
      <c r="R166" s="2070">
        <v>73.400000000000006</v>
      </c>
      <c r="S166" s="53"/>
      <c r="T166" s="590">
        <f>IF(OR(M166="Yes",O166="Yes"),1,0)</f>
        <v>0</v>
      </c>
      <c r="U166" s="4029">
        <f>SUM(T166:T170)</f>
        <v>0</v>
      </c>
    </row>
    <row r="167" spans="1:24" s="42" customFormat="1" ht="12" customHeight="1">
      <c r="B167" s="589" t="s">
        <v>4163</v>
      </c>
      <c r="D167" s="4016"/>
      <c r="E167" s="4017"/>
      <c r="F167" s="4018"/>
      <c r="G167" s="2718"/>
      <c r="H167" s="2719"/>
      <c r="I167" s="2720"/>
      <c r="J167" s="2721"/>
      <c r="K167" s="2721"/>
      <c r="L167" s="2072" t="str">
        <f>IF(I167+J167+K167=0,"",AVERAGE(I167,J167,K167))</f>
        <v/>
      </c>
      <c r="M167" s="622" t="str">
        <f>IF(L167="","",IF(L167&gt;R167,"Yes",IF(L167&lt;R167,"No","")))</f>
        <v/>
      </c>
      <c r="O167" s="2672"/>
      <c r="P167" s="535"/>
      <c r="R167" s="2070">
        <v>72.099999999999994</v>
      </c>
      <c r="S167" s="53"/>
      <c r="T167" s="590">
        <f t="shared" ref="T167:T168" si="0">IF(OR(M167="Yes",O167="Yes"),1,0)</f>
        <v>0</v>
      </c>
      <c r="U167" s="4029"/>
    </row>
    <row r="168" spans="1:24" s="42" customFormat="1" ht="12" customHeight="1">
      <c r="A168" s="375"/>
      <c r="B168" s="589" t="s">
        <v>3998</v>
      </c>
      <c r="D168" s="4010"/>
      <c r="E168" s="4011"/>
      <c r="F168" s="4012"/>
      <c r="G168" s="2722"/>
      <c r="H168" s="2723"/>
      <c r="I168" s="2724"/>
      <c r="J168" s="2725"/>
      <c r="K168" s="2725"/>
      <c r="L168" s="2071" t="str">
        <f>IF(I168+J168+K168=0,"",AVERAGE(I168,J168,K168))</f>
        <v/>
      </c>
      <c r="M168" s="623" t="str">
        <f>IF(L168="","",IF(L168&gt;R168,"Yes",IF(L168&lt;R168,"No","")))</f>
        <v/>
      </c>
      <c r="O168" s="2673"/>
      <c r="P168" s="536"/>
      <c r="R168" s="2070">
        <v>73.3</v>
      </c>
      <c r="S168" s="53"/>
      <c r="T168" s="590">
        <f t="shared" si="0"/>
        <v>0</v>
      </c>
      <c r="U168" s="4029"/>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1984</v>
      </c>
      <c r="B171" s="9" t="s">
        <v>4002</v>
      </c>
      <c r="C171" s="92"/>
      <c r="D171" s="1087"/>
      <c r="E171" s="1087"/>
      <c r="F171" s="60" t="s">
        <v>3389</v>
      </c>
      <c r="H171" s="39" t="s">
        <v>3866</v>
      </c>
      <c r="M171" s="430">
        <v>2</v>
      </c>
      <c r="N171" s="174"/>
      <c r="O171" s="1090">
        <f>IF(AND(I180="Yes",I181="Yes"),$H$181,IF(AND(I180="Yes",I181="No"),$H$180,0))</f>
        <v>0</v>
      </c>
      <c r="P171" s="1090">
        <f>IF(AND(J180="Yes",J181="Yes"),$H$181,IF(AND(J180="Yes",J181="No"),$H$180,0))</f>
        <v>0</v>
      </c>
      <c r="Q171" s="109"/>
      <c r="R171" s="1088"/>
    </row>
    <row r="172" spans="1:24" s="54" customFormat="1" ht="15" customHeight="1">
      <c r="E172" s="3798" t="s">
        <v>4165</v>
      </c>
      <c r="F172" s="3798" t="s">
        <v>3658</v>
      </c>
      <c r="G172" s="3801" t="s">
        <v>3397</v>
      </c>
      <c r="H172" s="3801"/>
      <c r="I172" s="3801"/>
      <c r="J172" s="3801"/>
      <c r="K172" s="3801"/>
      <c r="L172" s="3801"/>
      <c r="M172" s="3801"/>
      <c r="N172" s="3801"/>
      <c r="P172" s="1117"/>
      <c r="R172" s="51" t="s">
        <v>2831</v>
      </c>
      <c r="S172" s="35"/>
      <c r="T172" s="3789" t="str">
        <f>'Part I-Project Information'!$F$38</f>
        <v>Leesburg</v>
      </c>
      <c r="U172" s="3790"/>
      <c r="V172" s="3790"/>
      <c r="W172" s="3790"/>
      <c r="X172" s="3791"/>
    </row>
    <row r="173" spans="1:24" s="54" customFormat="1" ht="13.5" customHeight="1">
      <c r="A173" s="46"/>
      <c r="B173" s="3812" t="s">
        <v>4005</v>
      </c>
      <c r="C173" s="3812"/>
      <c r="D173" s="3812"/>
      <c r="E173" s="3805"/>
      <c r="F173" s="3805"/>
      <c r="G173" s="3800" t="s">
        <v>4004</v>
      </c>
      <c r="H173" s="3800"/>
      <c r="I173" s="3800"/>
      <c r="J173" s="3800"/>
      <c r="K173" s="3800"/>
      <c r="L173" s="3800"/>
      <c r="M173" s="3800"/>
      <c r="N173" s="3800"/>
      <c r="O173" s="3798" t="s">
        <v>3659</v>
      </c>
      <c r="P173" s="3798"/>
      <c r="R173" s="51" t="s">
        <v>2832</v>
      </c>
      <c r="S173" s="35"/>
      <c r="T173" s="3740" t="str">
        <f>'Part I-Project Information'!$J$39</f>
        <v>Lee</v>
      </c>
      <c r="U173" s="3741"/>
      <c r="V173" s="3741"/>
      <c r="W173" s="3741"/>
      <c r="X173" s="3742"/>
    </row>
    <row r="174" spans="1:24" s="54" customFormat="1" ht="13.5" customHeight="1">
      <c r="A174" s="46"/>
      <c r="B174" s="4002" t="s">
        <v>3826</v>
      </c>
      <c r="C174" s="4002"/>
      <c r="D174" s="4002"/>
      <c r="E174" s="2309">
        <v>3000</v>
      </c>
      <c r="F174" s="2309">
        <v>6000</v>
      </c>
      <c r="G174" s="3795">
        <v>15000</v>
      </c>
      <c r="H174" s="3795"/>
      <c r="I174" s="3795"/>
      <c r="J174" s="3795"/>
      <c r="K174" s="3795"/>
      <c r="L174" s="3795"/>
      <c r="M174" s="3795"/>
      <c r="N174" s="3795"/>
      <c r="O174" s="3795">
        <v>20000</v>
      </c>
      <c r="P174" s="3795"/>
      <c r="R174" s="39" t="s">
        <v>2833</v>
      </c>
      <c r="S174" s="35"/>
      <c r="T174" s="3740" t="str">
        <f>'Part I-Project Information'!$O$40</f>
        <v>Albany</v>
      </c>
      <c r="U174" s="3741"/>
      <c r="V174" s="3741"/>
      <c r="W174" s="3741"/>
      <c r="X174" s="3742"/>
    </row>
    <row r="175" spans="1:24" s="35" customFormat="1" ht="13.5" customHeight="1">
      <c r="A175" s="46"/>
      <c r="B175" s="4043" t="s">
        <v>4003</v>
      </c>
      <c r="C175" s="4043"/>
      <c r="D175" s="4043"/>
      <c r="E175" s="2310">
        <v>4500</v>
      </c>
      <c r="F175" s="2310">
        <v>9000</v>
      </c>
      <c r="G175" s="3799">
        <v>22500</v>
      </c>
      <c r="H175" s="3799"/>
      <c r="I175" s="3799"/>
      <c r="J175" s="3799"/>
      <c r="K175" s="3799"/>
      <c r="L175" s="3799"/>
      <c r="M175" s="3799"/>
      <c r="N175" s="3799"/>
      <c r="O175" s="3799">
        <v>30000</v>
      </c>
      <c r="P175" s="3799"/>
      <c r="R175" s="39" t="s">
        <v>3859</v>
      </c>
      <c r="T175" s="3740" t="str">
        <f>VLOOKUP('Part I-Project Information'!$J$39,'DCA Underwriting Assumptions'!$G$158:$J$317,4)</f>
        <v>MSA</v>
      </c>
      <c r="U175" s="3741"/>
      <c r="V175" s="3741"/>
      <c r="W175" s="3741"/>
      <c r="X175" s="3742"/>
    </row>
    <row r="176" spans="1:24" s="54" customFormat="1" ht="9" customHeight="1">
      <c r="A176" s="46"/>
      <c r="B176" s="46"/>
      <c r="C176" s="415"/>
      <c r="K176" s="2298"/>
      <c r="L176" s="2298"/>
    </row>
    <row r="177" spans="1:24" s="54" customFormat="1" ht="12" customHeight="1">
      <c r="B177" s="900" t="s">
        <v>3860</v>
      </c>
      <c r="E177" s="899"/>
      <c r="F177" s="899"/>
      <c r="G177" s="899"/>
      <c r="I177" s="2726"/>
      <c r="J177" s="1144"/>
      <c r="R177" s="35" t="s">
        <v>3624</v>
      </c>
      <c r="S177" s="35"/>
      <c r="T177" s="3802" t="str">
        <f>'Part I-Project Information'!$K$40</f>
        <v>Rural</v>
      </c>
      <c r="U177" s="3803"/>
      <c r="V177" s="3803"/>
      <c r="W177" s="3803"/>
      <c r="X177" s="3804"/>
    </row>
    <row r="178" spans="1:24" s="54" customFormat="1" ht="12" customHeight="1">
      <c r="A178" s="902"/>
      <c r="B178" s="428" t="s">
        <v>3623</v>
      </c>
      <c r="H178" s="901" t="str">
        <f>IF(I178&lt;I177,"Threshold not met!","")</f>
        <v/>
      </c>
      <c r="I178" s="2727"/>
      <c r="J178" s="1145"/>
      <c r="K178" s="1119" t="str">
        <f>IF(J178&lt;J177,"Threshold not met!","")</f>
        <v/>
      </c>
    </row>
    <row r="179" spans="1:24" s="54" customFormat="1" ht="8.25" customHeight="1">
      <c r="A179" s="902"/>
      <c r="B179" s="428"/>
    </row>
    <row r="180" spans="1:24" s="54" customFormat="1" ht="11.25" customHeight="1">
      <c r="B180" s="578" t="s">
        <v>1985</v>
      </c>
      <c r="C180" s="35" t="s">
        <v>4164</v>
      </c>
      <c r="D180" s="1060"/>
      <c r="E180" s="1060"/>
      <c r="F180" s="1060"/>
      <c r="G180" s="1060"/>
      <c r="H180" s="1164" t="s">
        <v>1985</v>
      </c>
      <c r="I180" s="1161" t="str">
        <f>IF(OR(I177="",I178=""),"",IF(I178&gt;=I177,"Yes","No"))</f>
        <v/>
      </c>
      <c r="J180" s="1161" t="str">
        <f>IF(OR(J177="",J178=""),"",IF(J178&gt;=J177,"Yes","No"))</f>
        <v/>
      </c>
    </row>
    <row r="181" spans="1:24" s="54" customFormat="1" ht="11.25" customHeight="1">
      <c r="A181" s="1061" t="s">
        <v>1352</v>
      </c>
      <c r="B181" s="578" t="s">
        <v>1987</v>
      </c>
      <c r="C181" s="35" t="s">
        <v>4006</v>
      </c>
      <c r="D181" s="1217"/>
      <c r="E181" s="1217"/>
      <c r="F181" s="1217"/>
      <c r="H181" s="1164" t="s">
        <v>1987</v>
      </c>
      <c r="I181" s="1162" t="str">
        <f>IF(OR(I177="",I178=""),"",IF(I178&gt;=HLOOKUP(I177,$E$174:$P$175,2),"Yes","No"))</f>
        <v/>
      </c>
      <c r="J181" s="1162" t="str">
        <f>IF(OR(J177="",J178=""),"",IF(J178&gt;=HLOOKUP(J177,$E$174:$P$175,2),"Yes","No"))</f>
        <v/>
      </c>
    </row>
    <row r="182" spans="1:24" s="54" customFormat="1" ht="11.25" customHeight="1">
      <c r="B182" s="138"/>
      <c r="C182" s="428" t="s">
        <v>3881</v>
      </c>
      <c r="D182" s="1217"/>
      <c r="E182" s="1217"/>
      <c r="F182" s="1217"/>
      <c r="G182" s="1118"/>
      <c r="I182" s="1163">
        <f>IF(I178="",0,(I178/I177) - 1)</f>
        <v>0</v>
      </c>
      <c r="J182" s="1163">
        <f>IF(J178="",0,(J178/J177) - 1)</f>
        <v>0</v>
      </c>
      <c r="M182" s="2298"/>
    </row>
    <row r="183" spans="1:24" s="54" customFormat="1" ht="9" customHeight="1">
      <c r="A183" s="46"/>
      <c r="B183" s="46"/>
      <c r="C183" s="415"/>
      <c r="F183" s="2300"/>
      <c r="K183" s="2298"/>
      <c r="L183" s="2298"/>
    </row>
    <row r="184" spans="1:24" s="42" customFormat="1" ht="10.5" customHeight="1" thickBot="1">
      <c r="A184" s="41"/>
      <c r="B184" s="1206" t="s">
        <v>3752</v>
      </c>
      <c r="C184" s="41"/>
      <c r="D184" s="47"/>
      <c r="E184" s="47"/>
      <c r="F184" s="47"/>
      <c r="G184" s="47"/>
      <c r="H184" s="35"/>
      <c r="I184" s="35"/>
      <c r="J184" s="35"/>
      <c r="K184" s="35"/>
      <c r="M184" s="45"/>
      <c r="N184" s="61"/>
      <c r="O184" s="2"/>
      <c r="P184" s="2290"/>
    </row>
    <row r="185" spans="1:24" s="42" customFormat="1" ht="21.75" customHeight="1" thickTop="1" thickBot="1">
      <c r="A185" s="3818"/>
      <c r="B185" s="3819"/>
      <c r="C185" s="3819"/>
      <c r="D185" s="3819"/>
      <c r="E185" s="3819"/>
      <c r="F185" s="3819"/>
      <c r="G185" s="3819"/>
      <c r="H185" s="3819"/>
      <c r="I185" s="3819"/>
      <c r="J185" s="3819"/>
      <c r="K185" s="3819"/>
      <c r="L185" s="3819"/>
      <c r="M185" s="3819"/>
      <c r="N185" s="3819"/>
      <c r="O185" s="3819"/>
      <c r="P185" s="3820"/>
      <c r="Q185" s="1074" t="s">
        <v>1253</v>
      </c>
    </row>
    <row r="186" spans="1:24" s="42" customFormat="1" ht="10.5" customHeight="1" thickTop="1">
      <c r="A186" s="41"/>
      <c r="B186" s="85" t="s">
        <v>1865</v>
      </c>
      <c r="C186" s="98"/>
      <c r="D186" s="85"/>
      <c r="E186" s="99"/>
      <c r="F186" s="2291"/>
      <c r="G186" s="2291"/>
      <c r="H186" s="2291"/>
      <c r="I186" s="2291"/>
      <c r="J186" s="2291"/>
      <c r="K186" s="2291"/>
      <c r="L186" s="2291"/>
      <c r="M186" s="2291"/>
      <c r="N186" s="74"/>
      <c r="O186" s="70"/>
      <c r="P186" s="2287"/>
      <c r="Q186" s="426"/>
    </row>
    <row r="187" spans="1:24" s="42" customFormat="1" ht="11.25" customHeight="1">
      <c r="A187" s="3487"/>
      <c r="B187" s="3488"/>
      <c r="C187" s="3488"/>
      <c r="D187" s="3488"/>
      <c r="E187" s="3488"/>
      <c r="F187" s="3488"/>
      <c r="G187" s="3488"/>
      <c r="H187" s="3488"/>
      <c r="I187" s="3488"/>
      <c r="J187" s="3488"/>
      <c r="K187" s="3488"/>
      <c r="L187" s="3488"/>
      <c r="M187" s="3488"/>
      <c r="N187" s="3488"/>
      <c r="O187" s="3488"/>
      <c r="P187" s="3489"/>
      <c r="Q187" s="445"/>
      <c r="U187" s="2093"/>
    </row>
    <row r="188" spans="1:24" s="42" customFormat="1" ht="3" customHeight="1" thickBot="1">
      <c r="A188" s="41"/>
      <c r="C188" s="2291"/>
      <c r="D188" s="2291"/>
      <c r="E188" s="2291"/>
      <c r="F188" s="2291"/>
      <c r="G188" s="2291"/>
      <c r="H188" s="2291"/>
      <c r="I188" s="2291"/>
      <c r="J188" s="2291"/>
      <c r="K188" s="2291"/>
      <c r="L188" s="2291"/>
      <c r="M188" s="2291"/>
      <c r="N188" s="74"/>
      <c r="O188" s="70"/>
      <c r="P188" s="887"/>
    </row>
    <row r="189" spans="1:24" s="102" customFormat="1" ht="12.6" customHeight="1" thickBot="1">
      <c r="A189" s="152" t="s">
        <v>771</v>
      </c>
      <c r="B189" s="106" t="s">
        <v>4012</v>
      </c>
      <c r="C189" s="92"/>
      <c r="D189" s="58"/>
      <c r="E189" s="58"/>
      <c r="I189" s="1062"/>
      <c r="J189" s="1062"/>
      <c r="K189" s="580"/>
      <c r="L189" s="580"/>
      <c r="M189" s="2287">
        <v>7</v>
      </c>
      <c r="N189" s="6"/>
      <c r="O189" s="1089">
        <f>IF(OR(O$153&gt;0,O$277&gt;0),0,MIN($M$189,O205+O210))</f>
        <v>0</v>
      </c>
      <c r="P189" s="1090">
        <f>IF(OR(P$153&gt;0,P$277&gt;0),0,MIN($M$189,P205+P210))</f>
        <v>0</v>
      </c>
      <c r="Q189" s="109" t="s">
        <v>441</v>
      </c>
      <c r="R189" s="3806" t="s">
        <v>4839</v>
      </c>
      <c r="S189" s="3807"/>
    </row>
    <row r="190" spans="1:24" s="42" customFormat="1" ht="2.25" customHeight="1">
      <c r="A190" s="429"/>
      <c r="C190" s="165"/>
      <c r="D190" s="165"/>
      <c r="E190" s="172"/>
      <c r="F190" s="165"/>
      <c r="G190" s="165"/>
      <c r="H190" s="165"/>
      <c r="I190" s="165"/>
      <c r="J190" s="165"/>
      <c r="K190" s="165"/>
      <c r="L190" s="165"/>
      <c r="M190" s="165"/>
      <c r="N190" s="165"/>
      <c r="O190" s="165"/>
      <c r="P190" s="165"/>
      <c r="R190" s="3808"/>
      <c r="S190" s="3809"/>
    </row>
    <row r="191" spans="1:24" s="42" customFormat="1" ht="23.25" customHeight="1">
      <c r="A191" s="429"/>
      <c r="B191" s="3697" t="s">
        <v>4839</v>
      </c>
      <c r="C191" s="3697"/>
      <c r="D191" s="3697"/>
      <c r="E191" s="3697"/>
      <c r="F191" s="3697"/>
      <c r="G191" s="3697"/>
      <c r="H191" s="3697"/>
      <c r="I191" s="3697"/>
      <c r="J191" s="3697"/>
      <c r="K191" s="3697"/>
      <c r="L191" s="3697"/>
      <c r="M191" s="3697"/>
      <c r="N191" s="3697"/>
      <c r="O191" s="3697"/>
      <c r="P191" s="3697"/>
      <c r="R191" s="3808"/>
      <c r="S191" s="3809"/>
    </row>
    <row r="192" spans="1:24" s="42" customFormat="1" ht="12" customHeight="1">
      <c r="A192" s="429"/>
      <c r="B192" s="165" t="s">
        <v>4129</v>
      </c>
      <c r="C192" s="165"/>
      <c r="D192" s="165"/>
      <c r="E192" s="165"/>
      <c r="F192" s="165"/>
      <c r="G192" s="165"/>
      <c r="H192" s="165"/>
      <c r="I192" s="165"/>
      <c r="J192" s="165"/>
      <c r="K192" s="1173" t="s">
        <v>2509</v>
      </c>
      <c r="L192" s="1174" t="s">
        <v>2509</v>
      </c>
      <c r="N192" s="1209"/>
      <c r="P192" s="1210"/>
      <c r="R192" s="3808"/>
      <c r="S192" s="3809"/>
    </row>
    <row r="193" spans="1:25" s="392" customFormat="1" ht="11.25" customHeight="1">
      <c r="B193" s="1029" t="s">
        <v>2434</v>
      </c>
      <c r="C193" s="3747" t="s">
        <v>4945</v>
      </c>
      <c r="D193" s="3747"/>
      <c r="E193" s="3747"/>
      <c r="F193" s="3747"/>
      <c r="G193" s="3747"/>
      <c r="H193" s="3747"/>
      <c r="I193" s="3747"/>
      <c r="J193" s="1029" t="s">
        <v>2434</v>
      </c>
      <c r="K193" s="2728"/>
      <c r="L193" s="1211"/>
      <c r="M193" s="3813" t="s">
        <v>3855</v>
      </c>
      <c r="N193" s="3814"/>
      <c r="O193" s="3814"/>
      <c r="P193" s="3815"/>
      <c r="R193" s="3808"/>
      <c r="S193" s="3809"/>
    </row>
    <row r="194" spans="1:25" s="42" customFormat="1" ht="11.25" customHeight="1">
      <c r="A194" s="373"/>
      <c r="B194" s="375"/>
      <c r="C194" s="3747"/>
      <c r="D194" s="3747"/>
      <c r="E194" s="3747"/>
      <c r="F194" s="3747"/>
      <c r="G194" s="3747"/>
      <c r="H194" s="3747"/>
      <c r="I194" s="3747"/>
      <c r="K194" s="1190"/>
      <c r="L194" s="1190"/>
      <c r="R194" s="3808"/>
      <c r="S194" s="3809"/>
    </row>
    <row r="195" spans="1:25" s="102" customFormat="1" ht="11.25" customHeight="1">
      <c r="A195" s="429"/>
      <c r="B195" s="375" t="s">
        <v>2435</v>
      </c>
      <c r="C195" s="3746" t="s">
        <v>4833</v>
      </c>
      <c r="D195" s="3746"/>
      <c r="E195" s="3746"/>
      <c r="F195" s="3746"/>
      <c r="G195" s="3746"/>
      <c r="J195" s="375" t="s">
        <v>2435</v>
      </c>
      <c r="K195" s="2729"/>
      <c r="L195" s="538"/>
      <c r="M195" s="4021" t="s">
        <v>3855</v>
      </c>
      <c r="N195" s="4022"/>
      <c r="O195" s="4022"/>
      <c r="P195" s="4023"/>
      <c r="R195" s="3808"/>
      <c r="S195" s="3809"/>
    </row>
    <row r="196" spans="1:25" s="32" customFormat="1" ht="11.25" customHeight="1">
      <c r="B196" s="375" t="s">
        <v>2436</v>
      </c>
      <c r="C196" s="491" t="s">
        <v>4834</v>
      </c>
      <c r="D196" s="491"/>
      <c r="E196" s="491"/>
      <c r="F196" s="491"/>
      <c r="G196" s="491"/>
      <c r="H196" s="491"/>
      <c r="J196" s="375" t="s">
        <v>2436</v>
      </c>
      <c r="K196" s="2730"/>
      <c r="L196" s="2139"/>
      <c r="M196" s="3792" t="s">
        <v>3855</v>
      </c>
      <c r="N196" s="3793"/>
      <c r="O196" s="3793"/>
      <c r="P196" s="3794"/>
      <c r="R196" s="3808"/>
      <c r="S196" s="3809"/>
    </row>
    <row r="197" spans="1:25" s="32" customFormat="1" ht="11.25" customHeight="1">
      <c r="B197" s="375" t="s">
        <v>2438</v>
      </c>
      <c r="C197" s="134" t="s">
        <v>4835</v>
      </c>
      <c r="D197" s="491"/>
      <c r="E197" s="491"/>
      <c r="F197" s="491"/>
      <c r="G197" s="491"/>
      <c r="H197" s="491"/>
      <c r="J197" s="375" t="s">
        <v>2438</v>
      </c>
      <c r="K197" s="2730"/>
      <c r="L197" s="2139"/>
      <c r="M197" s="3792" t="s">
        <v>3855</v>
      </c>
      <c r="N197" s="3793"/>
      <c r="O197" s="3793"/>
      <c r="P197" s="3794"/>
      <c r="R197" s="3808"/>
      <c r="S197" s="3809"/>
    </row>
    <row r="198" spans="1:25" s="32" customFormat="1" ht="11.25" customHeight="1">
      <c r="B198" s="375" t="s">
        <v>2437</v>
      </c>
      <c r="C198" s="51" t="s">
        <v>4837</v>
      </c>
      <c r="D198" s="51"/>
      <c r="E198" s="51"/>
      <c r="F198" s="51"/>
      <c r="G198" s="51"/>
      <c r="H198" s="51"/>
      <c r="J198" s="375" t="s">
        <v>2437</v>
      </c>
      <c r="K198" s="2730"/>
      <c r="L198" s="2139"/>
      <c r="M198" s="3792" t="s">
        <v>3855</v>
      </c>
      <c r="N198" s="3793"/>
      <c r="O198" s="3793"/>
      <c r="P198" s="3794"/>
      <c r="R198" s="3808"/>
      <c r="S198" s="3809"/>
    </row>
    <row r="199" spans="1:25" s="32" customFormat="1" ht="11.25" customHeight="1">
      <c r="B199" s="387" t="s">
        <v>2454</v>
      </c>
      <c r="C199" s="51" t="s">
        <v>4836</v>
      </c>
      <c r="D199" s="491"/>
      <c r="E199" s="491"/>
      <c r="F199" s="491"/>
      <c r="G199" s="491"/>
      <c r="J199" s="387" t="s">
        <v>2454</v>
      </c>
      <c r="K199" s="2730"/>
      <c r="L199" s="2139"/>
      <c r="M199" s="4040" t="s">
        <v>3855</v>
      </c>
      <c r="N199" s="4041"/>
      <c r="O199" s="4041"/>
      <c r="P199" s="4042"/>
      <c r="R199" s="3808"/>
      <c r="S199" s="3809"/>
    </row>
    <row r="200" spans="1:25" s="32" customFormat="1" ht="11.25" customHeight="1">
      <c r="B200" s="387" t="s">
        <v>2455</v>
      </c>
      <c r="C200" s="3760" t="s">
        <v>4943</v>
      </c>
      <c r="D200" s="3760"/>
      <c r="E200" s="3760"/>
      <c r="F200" s="3760"/>
      <c r="G200" s="3760"/>
      <c r="H200" s="3760"/>
      <c r="I200" s="2150"/>
      <c r="J200" s="387" t="s">
        <v>2455</v>
      </c>
      <c r="K200" s="2730"/>
      <c r="L200" s="2139"/>
      <c r="R200" s="3808"/>
      <c r="S200" s="3809"/>
    </row>
    <row r="201" spans="1:25" s="42" customFormat="1" ht="11.25" customHeight="1">
      <c r="A201" s="373"/>
      <c r="B201" s="375"/>
      <c r="C201" s="3760"/>
      <c r="D201" s="3760"/>
      <c r="E201" s="3760"/>
      <c r="F201" s="3760"/>
      <c r="G201" s="3760"/>
      <c r="H201" s="3760"/>
      <c r="I201" s="2150"/>
      <c r="J201" s="387" t="s">
        <v>4944</v>
      </c>
      <c r="K201" s="2731"/>
      <c r="L201" s="2151"/>
      <c r="M201" s="491"/>
      <c r="N201" s="491"/>
      <c r="O201" s="491"/>
      <c r="P201" s="491"/>
      <c r="R201" s="3808"/>
      <c r="S201" s="3809"/>
    </row>
    <row r="202" spans="1:25" s="32" customFormat="1" ht="11.25" customHeight="1">
      <c r="B202" s="1029" t="s">
        <v>2456</v>
      </c>
      <c r="C202" s="3747" t="s">
        <v>4840</v>
      </c>
      <c r="D202" s="3747"/>
      <c r="E202" s="3747"/>
      <c r="F202" s="3747"/>
      <c r="G202" s="3747"/>
      <c r="H202" s="3747"/>
      <c r="I202" s="3747"/>
      <c r="J202" s="387" t="s">
        <v>2456</v>
      </c>
      <c r="K202" s="2732"/>
      <c r="L202" s="539"/>
      <c r="R202" s="3808"/>
      <c r="S202" s="3809"/>
    </row>
    <row r="203" spans="1:25" s="42" customFormat="1" ht="11.25" customHeight="1" thickBot="1">
      <c r="A203" s="373"/>
      <c r="B203" s="375"/>
      <c r="C203" s="3747"/>
      <c r="D203" s="3747"/>
      <c r="E203" s="3747"/>
      <c r="F203" s="3747"/>
      <c r="G203" s="3747"/>
      <c r="H203" s="3747"/>
      <c r="I203" s="3747"/>
      <c r="K203" s="1190"/>
      <c r="L203" s="1190"/>
      <c r="R203" s="3810"/>
      <c r="S203" s="3811"/>
    </row>
    <row r="204" spans="1:25" ht="4.5" customHeight="1">
      <c r="B204" s="387"/>
      <c r="C204" s="491"/>
      <c r="K204" s="39"/>
      <c r="M204" s="373"/>
      <c r="N204" s="373"/>
      <c r="O204" s="373"/>
      <c r="P204" s="373"/>
    </row>
    <row r="205" spans="1:25" ht="11.25" customHeight="1">
      <c r="A205" s="138" t="s">
        <v>1982</v>
      </c>
      <c r="B205" s="177" t="s">
        <v>4011</v>
      </c>
      <c r="H205" s="158"/>
      <c r="I205" s="431" t="s">
        <v>4838</v>
      </c>
      <c r="M205" s="430">
        <v>5</v>
      </c>
      <c r="N205" s="46" t="s">
        <v>1982</v>
      </c>
      <c r="O205" s="543">
        <f>IF(SUM(O206:O207)=$M$207,0,MIN($M$205,SUM(O206:O207)))</f>
        <v>0</v>
      </c>
      <c r="P205" s="543">
        <f>IF(SUM(P206:P207)=$M$207,0,MIN($M$205,SUM(P206:P207)))</f>
        <v>0</v>
      </c>
      <c r="Q205" s="1026"/>
      <c r="X205" s="373"/>
      <c r="Y205" s="375"/>
    </row>
    <row r="206" spans="1:25" ht="22.5" customHeight="1">
      <c r="A206" s="508"/>
      <c r="B206" s="586" t="s">
        <v>1985</v>
      </c>
      <c r="C206" s="3745" t="s">
        <v>4931</v>
      </c>
      <c r="D206" s="3745"/>
      <c r="E206" s="3745"/>
      <c r="F206" s="3745"/>
      <c r="G206" s="3745"/>
      <c r="H206" s="3745"/>
      <c r="I206" s="3745"/>
      <c r="J206" s="3745"/>
      <c r="K206" s="3745"/>
      <c r="L206" s="3745"/>
      <c r="M206" s="1132">
        <v>3</v>
      </c>
      <c r="N206" s="478" t="s">
        <v>1985</v>
      </c>
      <c r="O206" s="2710"/>
      <c r="P206" s="861"/>
      <c r="Q206" s="2148" t="str">
        <f>IF(OR($O206=$M206,$O206=0,$O206=""),"","*CHECK!*")</f>
        <v/>
      </c>
      <c r="R206" s="1016" t="s">
        <v>2705</v>
      </c>
    </row>
    <row r="207" spans="1:25" ht="12" customHeight="1">
      <c r="A207" s="508"/>
      <c r="B207" s="586" t="s">
        <v>1987</v>
      </c>
      <c r="C207" s="1028" t="s">
        <v>4929</v>
      </c>
      <c r="D207" s="1028"/>
      <c r="E207" s="1028"/>
      <c r="F207" s="1028"/>
      <c r="G207" s="1028"/>
      <c r="H207" s="1028"/>
      <c r="I207" s="1028"/>
      <c r="J207" s="433" t="s">
        <v>3777</v>
      </c>
      <c r="K207" s="32"/>
      <c r="L207" s="2137" t="str">
        <f>'Part I-Project Information'!$N$39</f>
        <v>No</v>
      </c>
      <c r="M207" s="2302">
        <v>2</v>
      </c>
      <c r="N207" s="435" t="s">
        <v>1987</v>
      </c>
      <c r="O207" s="2707"/>
      <c r="P207" s="530"/>
      <c r="Q207" s="1020" t="str">
        <f>IF(OR($O207=$M207,$O207=0,$O207=""),"","*CHECK!*")</f>
        <v/>
      </c>
      <c r="R207" s="1016" t="s">
        <v>2705</v>
      </c>
    </row>
    <row r="208" spans="1:25" ht="12" customHeight="1">
      <c r="A208" s="508"/>
      <c r="B208" s="586"/>
      <c r="C208" s="3746" t="s">
        <v>4930</v>
      </c>
      <c r="D208" s="3746"/>
      <c r="E208" s="3746"/>
      <c r="F208" s="3746"/>
      <c r="G208" s="3746"/>
      <c r="H208" s="3746"/>
      <c r="I208" s="2110"/>
      <c r="J208" s="433" t="s">
        <v>3573</v>
      </c>
      <c r="K208" s="2140"/>
      <c r="L208" s="2138" t="str">
        <f>'Part I-Project Information'!$O$38</f>
        <v>203.00</v>
      </c>
      <c r="M208" s="2312"/>
      <c r="N208" s="1132"/>
      <c r="O208" s="1132"/>
      <c r="P208" s="1132"/>
      <c r="Q208" s="1020"/>
      <c r="R208" s="1016"/>
    </row>
    <row r="209" spans="1:23" ht="12" customHeight="1">
      <c r="A209" s="508"/>
      <c r="B209" s="474"/>
      <c r="C209" s="3746"/>
      <c r="D209" s="3746"/>
      <c r="E209" s="3746"/>
      <c r="F209" s="3746"/>
      <c r="G209" s="3746"/>
      <c r="H209" s="3746"/>
      <c r="J209" s="433" t="s">
        <v>3373</v>
      </c>
      <c r="K209" s="32"/>
      <c r="L209" s="2136" t="str">
        <f>'Part IV-A-Uses of Funds'!$H$152</f>
        <v>State Boost</v>
      </c>
      <c r="M209" s="2136"/>
      <c r="N209" s="26"/>
      <c r="O209" s="26"/>
      <c r="P209" s="26"/>
      <c r="R209" s="158"/>
    </row>
    <row r="210" spans="1:23" ht="12" customHeight="1">
      <c r="A210" s="138" t="s">
        <v>1984</v>
      </c>
      <c r="B210" s="177" t="s">
        <v>4841</v>
      </c>
      <c r="D210" s="32"/>
      <c r="F210" s="2099"/>
      <c r="K210" s="1165"/>
      <c r="L210" s="376" t="str">
        <f>IF(OR($O210=$M210,$O210=0,$O210=""),"","* * Check Score! * *")</f>
        <v/>
      </c>
      <c r="M210" s="430">
        <v>2</v>
      </c>
      <c r="N210" s="63" t="s">
        <v>1984</v>
      </c>
      <c r="O210" s="2711"/>
      <c r="P210" s="860"/>
      <c r="Q210" s="1020" t="str">
        <f>IF(OR($O210=$M210,$O210=0,$O210=""),"","*CHECK!*")</f>
        <v/>
      </c>
      <c r="R210" s="1016" t="s">
        <v>2705</v>
      </c>
    </row>
    <row r="211" spans="1:23" s="42" customFormat="1" ht="9.75" customHeight="1">
      <c r="A211" s="138"/>
      <c r="B211" s="102"/>
      <c r="C211" s="35" t="s">
        <v>2792</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0"/>
      <c r="W211" s="1070"/>
    </row>
    <row r="212" spans="1:23" s="42" customFormat="1" ht="11.25" customHeight="1">
      <c r="A212" s="175"/>
      <c r="B212" s="174" t="s">
        <v>3778</v>
      </c>
      <c r="C212" s="35" t="s">
        <v>3856</v>
      </c>
      <c r="D212" s="102"/>
      <c r="E212" s="102"/>
      <c r="F212" s="102"/>
      <c r="G212" s="102"/>
      <c r="H212" s="102"/>
      <c r="I212" s="102"/>
      <c r="J212" s="3748"/>
      <c r="K212" s="3749"/>
      <c r="L212" s="3749"/>
      <c r="M212" s="3749"/>
      <c r="N212" s="3749"/>
      <c r="O212" s="3749"/>
      <c r="P212" s="3750"/>
      <c r="V212" s="1070"/>
      <c r="W212" s="1070"/>
    </row>
    <row r="213" spans="1:23" s="42" customFormat="1" ht="11.25" customHeight="1">
      <c r="A213" s="175"/>
      <c r="B213" s="463" t="s">
        <v>3779</v>
      </c>
      <c r="C213" s="433" t="s">
        <v>3857</v>
      </c>
      <c r="D213" s="102"/>
      <c r="E213" s="102"/>
      <c r="F213" s="102"/>
      <c r="G213" s="102"/>
      <c r="H213" s="102"/>
      <c r="I213" s="2057" t="str">
        <f>IF($J$213="Government", "Additional documentation required - see QAP.","")</f>
        <v/>
      </c>
      <c r="J213" s="3703" t="s">
        <v>2827</v>
      </c>
      <c r="K213" s="3796"/>
      <c r="L213" s="3797"/>
      <c r="M213" s="102"/>
      <c r="N213" s="102"/>
      <c r="O213" s="102"/>
      <c r="P213" s="102"/>
      <c r="V213" s="1070"/>
      <c r="W213" s="1070"/>
    </row>
    <row r="214" spans="1:23" ht="11.25" customHeight="1">
      <c r="A214" s="176"/>
      <c r="B214" s="463" t="s">
        <v>3780</v>
      </c>
      <c r="C214" s="433" t="s">
        <v>4846</v>
      </c>
      <c r="D214" s="32"/>
      <c r="E214" s="32"/>
      <c r="F214" s="585"/>
      <c r="G214" s="585"/>
      <c r="H214" s="585"/>
      <c r="I214" s="32"/>
      <c r="J214" s="2671"/>
      <c r="K214" s="3751" t="s">
        <v>4843</v>
      </c>
      <c r="L214" s="3752"/>
      <c r="M214" s="3752"/>
      <c r="N214" s="3752"/>
      <c r="O214" s="2095"/>
      <c r="P214" s="92"/>
      <c r="V214" s="1070"/>
      <c r="W214" s="1070"/>
    </row>
    <row r="215" spans="1:23" ht="11.25" customHeight="1">
      <c r="A215" s="176"/>
      <c r="B215" s="387" t="s">
        <v>3782</v>
      </c>
      <c r="C215" s="433" t="s">
        <v>4842</v>
      </c>
      <c r="D215" s="32"/>
      <c r="E215" s="32"/>
      <c r="F215" s="585"/>
      <c r="G215" s="585"/>
      <c r="H215" s="585"/>
      <c r="I215" s="32"/>
      <c r="J215" s="2672"/>
      <c r="K215" s="3751"/>
      <c r="L215" s="3752"/>
      <c r="M215" s="3752"/>
      <c r="N215" s="3752"/>
      <c r="O215" s="2733"/>
      <c r="P215" s="2096" t="s">
        <v>3785</v>
      </c>
      <c r="V215" s="1070"/>
      <c r="W215" s="1070"/>
    </row>
    <row r="216" spans="1:23" ht="11.25" customHeight="1">
      <c r="A216" s="176"/>
      <c r="B216" s="387" t="s">
        <v>3783</v>
      </c>
      <c r="C216" s="433" t="s">
        <v>4845</v>
      </c>
      <c r="D216" s="32"/>
      <c r="E216" s="32"/>
      <c r="F216" s="585"/>
      <c r="G216" s="585"/>
      <c r="H216" s="585"/>
      <c r="I216" s="32"/>
      <c r="J216" s="2673"/>
      <c r="L216" s="2097" t="s">
        <v>4844</v>
      </c>
      <c r="N216" s="2098"/>
      <c r="O216" s="3753"/>
      <c r="P216" s="3754"/>
      <c r="V216" s="1070"/>
      <c r="W216" s="1070"/>
    </row>
    <row r="217" spans="1:23" ht="2.25" customHeight="1">
      <c r="A217" s="176"/>
      <c r="G217" s="391"/>
      <c r="L217" s="1146"/>
      <c r="V217" s="1070"/>
      <c r="W217" s="1070"/>
    </row>
    <row r="218" spans="1:23" ht="21.75" customHeight="1">
      <c r="A218" s="4048" t="s">
        <v>4169</v>
      </c>
      <c r="B218" s="4046" t="s">
        <v>4166</v>
      </c>
      <c r="C218" s="4047"/>
      <c r="D218" s="2970"/>
      <c r="E218" s="2971"/>
      <c r="F218" s="2971"/>
      <c r="G218" s="2971"/>
      <c r="H218" s="2971"/>
      <c r="I218" s="2971"/>
      <c r="J218" s="2971"/>
      <c r="K218" s="2971"/>
      <c r="L218" s="2971"/>
      <c r="M218" s="2971"/>
      <c r="N218" s="2971"/>
      <c r="O218" s="2971"/>
      <c r="P218" s="2973"/>
      <c r="Q218" s="445"/>
      <c r="V218" s="1070"/>
      <c r="W218" s="1070"/>
    </row>
    <row r="219" spans="1:23" ht="22.5" customHeight="1">
      <c r="A219" s="4049"/>
      <c r="B219" s="4044" t="s">
        <v>4167</v>
      </c>
      <c r="C219" s="4045"/>
      <c r="D219" s="2950"/>
      <c r="E219" s="2951"/>
      <c r="F219" s="2951"/>
      <c r="G219" s="2951"/>
      <c r="H219" s="2951"/>
      <c r="I219" s="2951"/>
      <c r="J219" s="2951"/>
      <c r="K219" s="2951"/>
      <c r="L219" s="2951"/>
      <c r="M219" s="2951"/>
      <c r="N219" s="2951"/>
      <c r="O219" s="2951"/>
      <c r="P219" s="2953"/>
      <c r="Q219" s="445"/>
      <c r="V219" s="1070"/>
      <c r="W219" s="1070"/>
    </row>
    <row r="220" spans="1:23" ht="22.5" customHeight="1">
      <c r="A220" s="4050"/>
      <c r="B220" s="4053" t="s">
        <v>4925</v>
      </c>
      <c r="C220" s="4054"/>
      <c r="D220" s="2957"/>
      <c r="E220" s="2958"/>
      <c r="F220" s="2958"/>
      <c r="G220" s="2958"/>
      <c r="H220" s="2958"/>
      <c r="I220" s="2958"/>
      <c r="J220" s="2958"/>
      <c r="K220" s="2958"/>
      <c r="L220" s="2958"/>
      <c r="M220" s="2958"/>
      <c r="N220" s="2958"/>
      <c r="O220" s="2958"/>
      <c r="P220" s="2960"/>
      <c r="Q220" s="445"/>
      <c r="V220" s="1070"/>
      <c r="W220" s="1070"/>
    </row>
    <row r="221" spans="1:23" ht="11.25" customHeight="1">
      <c r="B221" s="35" t="s">
        <v>3452</v>
      </c>
      <c r="G221" s="4026" t="s">
        <v>2628</v>
      </c>
      <c r="H221" s="4026"/>
      <c r="J221" s="4024"/>
      <c r="K221" s="4025"/>
      <c r="L221" s="4051"/>
      <c r="M221" s="4052"/>
      <c r="V221" s="1070"/>
      <c r="W221" s="1070"/>
    </row>
    <row r="222" spans="1:23" s="42" customFormat="1" ht="11.25" customHeight="1">
      <c r="C222" s="35" t="s">
        <v>3453</v>
      </c>
      <c r="D222" s="2291"/>
      <c r="G222" s="4055">
        <f>'Part IV-A-Uses of Funds'!$G$132</f>
        <v>5168536</v>
      </c>
      <c r="H222" s="4056"/>
      <c r="J222" s="4019">
        <f>IF($J221=0,0,$J221/$G$222)</f>
        <v>0</v>
      </c>
      <c r="K222" s="4020"/>
      <c r="L222" s="4019">
        <f>IF($L221=0,0,$L221/$G$222)</f>
        <v>0</v>
      </c>
      <c r="M222" s="4020"/>
      <c r="V222" s="1070"/>
      <c r="W222" s="1070"/>
    </row>
    <row r="223" spans="1:23" s="102" customFormat="1" ht="10.5" customHeight="1" thickBot="1">
      <c r="A223" s="41"/>
      <c r="B223" s="1206" t="s">
        <v>3752</v>
      </c>
      <c r="C223" s="41"/>
      <c r="D223" s="47"/>
      <c r="E223" s="47"/>
      <c r="F223" s="47"/>
      <c r="G223" s="47"/>
      <c r="H223" s="35"/>
      <c r="I223" s="35"/>
      <c r="J223" s="35"/>
      <c r="K223" s="35"/>
      <c r="M223" s="45"/>
      <c r="N223" s="5"/>
      <c r="O223" s="2"/>
      <c r="P223" s="2287"/>
    </row>
    <row r="224" spans="1:23" s="42" customFormat="1" ht="21.75" customHeight="1" thickTop="1" thickBot="1">
      <c r="A224" s="3818"/>
      <c r="B224" s="3819"/>
      <c r="C224" s="3819"/>
      <c r="D224" s="3819"/>
      <c r="E224" s="3819"/>
      <c r="F224" s="3819"/>
      <c r="G224" s="3819"/>
      <c r="H224" s="3819"/>
      <c r="I224" s="3819"/>
      <c r="J224" s="3819"/>
      <c r="K224" s="3819"/>
      <c r="L224" s="3819"/>
      <c r="M224" s="3819"/>
      <c r="N224" s="3819"/>
      <c r="O224" s="3819"/>
      <c r="P224" s="3820"/>
      <c r="Q224" s="1074" t="s">
        <v>1253</v>
      </c>
    </row>
    <row r="225" spans="1:23" s="102" customFormat="1" ht="11.7" customHeight="1" thickTop="1">
      <c r="A225" s="41"/>
      <c r="B225" s="97" t="s">
        <v>1865</v>
      </c>
      <c r="C225" s="41"/>
      <c r="D225" s="97"/>
      <c r="E225" s="2296"/>
      <c r="F225" s="2296"/>
      <c r="G225" s="2296"/>
      <c r="H225" s="2296"/>
      <c r="I225" s="2296"/>
      <c r="J225" s="2296"/>
      <c r="K225" s="2296"/>
      <c r="L225" s="2296"/>
      <c r="M225" s="2296"/>
      <c r="N225" s="93"/>
      <c r="O225" s="872"/>
      <c r="P225" s="2287"/>
      <c r="Q225" s="426"/>
    </row>
    <row r="226" spans="1:23" s="42" customFormat="1" ht="11.25" customHeight="1">
      <c r="A226" s="3487"/>
      <c r="B226" s="3488"/>
      <c r="C226" s="3488"/>
      <c r="D226" s="3488"/>
      <c r="E226" s="3488"/>
      <c r="F226" s="3488"/>
      <c r="G226" s="3488"/>
      <c r="H226" s="3488"/>
      <c r="I226" s="3488"/>
      <c r="J226" s="3488"/>
      <c r="K226" s="3488"/>
      <c r="L226" s="3488"/>
      <c r="M226" s="3488"/>
      <c r="N226" s="3488"/>
      <c r="O226" s="3488"/>
      <c r="P226" s="3489"/>
      <c r="Q226" s="445"/>
    </row>
    <row r="227" spans="1:23" s="42" customFormat="1" ht="3" customHeight="1" thickBot="1">
      <c r="A227" s="41"/>
      <c r="C227" s="2291"/>
      <c r="D227" s="2291"/>
      <c r="E227" s="2291"/>
      <c r="F227" s="2291"/>
      <c r="G227" s="2291"/>
      <c r="H227" s="2291"/>
      <c r="I227" s="2291"/>
      <c r="J227" s="2291"/>
      <c r="K227" s="2291"/>
      <c r="L227" s="2291"/>
      <c r="M227" s="2291"/>
      <c r="N227" s="74"/>
      <c r="O227" s="70"/>
      <c r="P227" s="887"/>
    </row>
    <row r="228" spans="1:23" s="42" customFormat="1" ht="13.5" customHeight="1" thickBot="1">
      <c r="A228" s="152" t="s">
        <v>292</v>
      </c>
      <c r="B228" s="106" t="s">
        <v>4015</v>
      </c>
      <c r="C228" s="2291"/>
      <c r="D228" s="2291"/>
      <c r="E228" s="2291"/>
      <c r="F228" s="2291"/>
      <c r="G228" s="2291"/>
      <c r="H228" s="2291"/>
      <c r="I228" s="2291"/>
      <c r="J228" s="2291"/>
      <c r="M228" s="887">
        <v>3</v>
      </c>
      <c r="N228" s="74"/>
      <c r="O228" s="70"/>
      <c r="P228" s="1123"/>
      <c r="Q228" s="109" t="s">
        <v>441</v>
      </c>
      <c r="R228" s="1016" t="s">
        <v>2705</v>
      </c>
    </row>
    <row r="229" spans="1:23" s="42" customFormat="1" ht="13.5" customHeight="1">
      <c r="A229" s="152"/>
      <c r="B229" s="103" t="s">
        <v>4608</v>
      </c>
      <c r="C229" s="2291"/>
      <c r="D229" s="2291"/>
      <c r="E229" s="2291"/>
      <c r="F229" s="2291"/>
      <c r="G229" s="2291"/>
      <c r="H229" s="2291"/>
      <c r="I229" s="2291"/>
      <c r="J229" s="2291"/>
      <c r="K229" s="2292"/>
      <c r="L229" s="2100" t="str">
        <f>IF(OR(O$153&gt;0,O$277&gt;0),"Applicant is ineligible for points in this section!  Points claimed in VI or IX.","")</f>
        <v/>
      </c>
      <c r="M229" s="887"/>
      <c r="N229" s="74"/>
      <c r="O229" s="2674"/>
      <c r="P229" s="1953"/>
      <c r="Q229" s="109"/>
      <c r="R229" s="1016"/>
    </row>
    <row r="230" spans="1:23" s="42" customFormat="1" ht="13.5" customHeight="1">
      <c r="A230" s="152"/>
      <c r="B230" s="113" t="s">
        <v>4017</v>
      </c>
      <c r="C230" s="2291"/>
      <c r="D230" s="2291"/>
      <c r="E230" s="2291"/>
      <c r="F230" s="2291"/>
      <c r="G230" s="2291"/>
      <c r="H230" s="2291"/>
      <c r="I230" s="2291"/>
      <c r="J230" s="2291"/>
      <c r="K230" s="2292" t="s">
        <v>3244</v>
      </c>
      <c r="L230" s="2292" t="s">
        <v>256</v>
      </c>
      <c r="M230" s="887"/>
      <c r="N230" s="74"/>
      <c r="O230" s="70"/>
      <c r="P230" s="70"/>
      <c r="Q230" s="109"/>
      <c r="R230" s="1016"/>
    </row>
    <row r="231" spans="1:23" s="42" customFormat="1" ht="11.25" customHeight="1">
      <c r="A231" s="138"/>
      <c r="C231" s="54" t="s">
        <v>4853</v>
      </c>
      <c r="K231" s="1170">
        <f>$O$189</f>
        <v>0</v>
      </c>
      <c r="L231" s="1171">
        <f>$P$189</f>
        <v>0</v>
      </c>
      <c r="N231" s="463" t="s">
        <v>2434</v>
      </c>
      <c r="O231" s="2671"/>
      <c r="P231" s="534"/>
      <c r="R231" s="376"/>
    </row>
    <row r="232" spans="1:23" s="42" customFormat="1" ht="11.25" customHeight="1">
      <c r="A232" s="138"/>
      <c r="C232" s="54" t="s">
        <v>4854</v>
      </c>
      <c r="K232" s="1170">
        <f>$O$107</f>
        <v>0</v>
      </c>
      <c r="L232" s="1171">
        <f>$P$107</f>
        <v>0</v>
      </c>
      <c r="N232" s="463" t="s">
        <v>2435</v>
      </c>
      <c r="O232" s="2672"/>
      <c r="P232" s="535"/>
      <c r="R232" s="1070"/>
      <c r="S232" s="1070"/>
    </row>
    <row r="233" spans="1:23" s="42" customFormat="1" ht="11.25" customHeight="1">
      <c r="C233" s="54" t="s">
        <v>4855</v>
      </c>
      <c r="N233" s="463" t="s">
        <v>2436</v>
      </c>
      <c r="O233" s="2673"/>
      <c r="P233" s="535"/>
      <c r="R233" s="1070"/>
      <c r="S233" s="1070"/>
    </row>
    <row r="234" spans="1:23" s="42" customFormat="1" ht="11.25" customHeight="1">
      <c r="A234" s="138"/>
      <c r="C234" s="54" t="s">
        <v>4021</v>
      </c>
      <c r="K234" s="2088" t="str">
        <f>'Part I-Project Information'!F38</f>
        <v>Leesburg</v>
      </c>
      <c r="L234" s="2089"/>
      <c r="N234" s="463" t="s">
        <v>2437</v>
      </c>
      <c r="O234" s="463"/>
      <c r="P234" s="535"/>
      <c r="R234" s="1070"/>
      <c r="S234" s="1070"/>
    </row>
    <row r="235" spans="1:23" s="42" customFormat="1" ht="11.25" customHeight="1">
      <c r="A235" s="138"/>
      <c r="C235" s="54" t="s">
        <v>4947</v>
      </c>
      <c r="K235" s="1170">
        <f>$O$153</f>
        <v>0</v>
      </c>
      <c r="L235" s="1171">
        <f>$P$153</f>
        <v>0</v>
      </c>
      <c r="N235" s="463" t="s">
        <v>2438</v>
      </c>
      <c r="O235" s="2671"/>
      <c r="P235" s="535"/>
      <c r="R235" s="1070"/>
      <c r="S235" s="1070"/>
    </row>
    <row r="236" spans="1:23" s="42" customFormat="1" ht="11.25" customHeight="1">
      <c r="A236" s="138"/>
      <c r="C236" s="54" t="s">
        <v>4946</v>
      </c>
      <c r="K236" s="1170">
        <f>$O$277</f>
        <v>0</v>
      </c>
      <c r="L236" s="1171">
        <f>$P$277</f>
        <v>0</v>
      </c>
      <c r="N236" s="463" t="s">
        <v>2437</v>
      </c>
      <c r="O236" s="2673"/>
      <c r="P236" s="536"/>
      <c r="R236" s="1070"/>
      <c r="S236" s="1070"/>
    </row>
    <row r="237" spans="1:23" s="42" customFormat="1" ht="3" customHeight="1">
      <c r="A237" s="41"/>
      <c r="C237" s="2291"/>
      <c r="D237" s="2291"/>
      <c r="E237" s="2291"/>
      <c r="F237" s="2291"/>
      <c r="G237" s="2291"/>
      <c r="H237" s="2291"/>
      <c r="I237" s="2291"/>
      <c r="J237" s="2291"/>
      <c r="K237" s="2291"/>
      <c r="L237" s="2291"/>
      <c r="M237" s="2291"/>
      <c r="N237" s="74"/>
      <c r="O237" s="70"/>
      <c r="P237" s="887"/>
    </row>
    <row r="238" spans="1:23" ht="11.25" customHeight="1">
      <c r="A238" s="138" t="s">
        <v>1982</v>
      </c>
      <c r="B238" s="177" t="s">
        <v>4024</v>
      </c>
      <c r="D238" s="32"/>
      <c r="G238" s="474" t="s">
        <v>3781</v>
      </c>
      <c r="N238" s="26"/>
      <c r="O238" s="26"/>
      <c r="P238" s="26"/>
      <c r="Q238" s="1026"/>
    </row>
    <row r="239" spans="1:23" s="32" customFormat="1" ht="11.25" customHeight="1">
      <c r="A239" s="508"/>
      <c r="B239" s="134" t="s">
        <v>3861</v>
      </c>
      <c r="D239" s="4030"/>
      <c r="E239" s="4028"/>
      <c r="F239" s="4028"/>
      <c r="G239" s="3373"/>
      <c r="H239" s="4031"/>
      <c r="I239" s="2306" t="s">
        <v>2703</v>
      </c>
      <c r="J239" s="4030"/>
      <c r="K239" s="4028"/>
      <c r="L239" s="4028"/>
      <c r="M239" s="4028"/>
      <c r="N239" s="4031"/>
      <c r="O239" s="572"/>
      <c r="P239" s="572"/>
      <c r="Q239" s="1026"/>
      <c r="R239" s="4032" t="s">
        <v>5022</v>
      </c>
      <c r="S239" s="4033"/>
    </row>
    <row r="240" spans="1:23" s="32" customFormat="1" ht="11.25" customHeight="1">
      <c r="A240" s="508"/>
      <c r="B240" s="134" t="s">
        <v>2193</v>
      </c>
      <c r="D240" s="3911"/>
      <c r="E240" s="3912"/>
      <c r="F240" s="3913"/>
      <c r="G240" s="134" t="s">
        <v>1720</v>
      </c>
      <c r="H240" s="2734"/>
      <c r="I240" s="433" t="s">
        <v>1799</v>
      </c>
      <c r="J240" s="3911"/>
      <c r="K240" s="3912"/>
      <c r="L240" s="3912"/>
      <c r="M240" s="3912"/>
      <c r="N240" s="3913"/>
      <c r="Q240" s="1026"/>
      <c r="R240" s="4034"/>
      <c r="S240" s="4035"/>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4034"/>
      <c r="S241" s="4035"/>
    </row>
    <row r="242" spans="1:23" ht="10.5" customHeight="1">
      <c r="A242" s="508"/>
      <c r="B242" s="586" t="s">
        <v>1985</v>
      </c>
      <c r="C242" s="1028" t="s">
        <v>4023</v>
      </c>
      <c r="D242" s="1023"/>
      <c r="E242" s="1023"/>
      <c r="F242" s="1023"/>
      <c r="G242" s="1023"/>
      <c r="H242" s="1023"/>
      <c r="I242" s="1023"/>
      <c r="J242" s="1023"/>
      <c r="K242" s="1023"/>
      <c r="L242" s="1023"/>
      <c r="M242" s="1023"/>
      <c r="N242" s="1023"/>
      <c r="O242" s="516" t="s">
        <v>2509</v>
      </c>
      <c r="P242" s="516" t="s">
        <v>2509</v>
      </c>
      <c r="Q242" s="1023"/>
      <c r="R242" s="4034"/>
      <c r="S242" s="4035"/>
    </row>
    <row r="243" spans="1:23" s="32" customFormat="1" ht="21.75" customHeight="1">
      <c r="A243" s="2302"/>
      <c r="B243" s="614"/>
      <c r="C243" s="3746" t="s">
        <v>4034</v>
      </c>
      <c r="D243" s="3746"/>
      <c r="E243" s="3746"/>
      <c r="F243" s="3746"/>
      <c r="G243" s="3746"/>
      <c r="H243" s="3746"/>
      <c r="I243" s="3746"/>
      <c r="J243" s="3746"/>
      <c r="K243" s="3746"/>
      <c r="L243" s="3746"/>
      <c r="M243" s="3746"/>
      <c r="N243" s="390" t="s">
        <v>1985</v>
      </c>
      <c r="O243" s="2691"/>
      <c r="P243" s="1150"/>
      <c r="Q243" s="1023"/>
      <c r="R243" s="4034"/>
      <c r="S243" s="4035"/>
      <c r="V243" s="1070"/>
      <c r="W243" s="1070"/>
    </row>
    <row r="244" spans="1:23" s="32" customFormat="1" ht="11.25" customHeight="1">
      <c r="A244" s="508"/>
      <c r="B244" s="463" t="s">
        <v>2434</v>
      </c>
      <c r="C244" s="134" t="s">
        <v>4025</v>
      </c>
      <c r="D244" s="3904"/>
      <c r="E244" s="3905"/>
      <c r="F244" s="3905"/>
      <c r="G244" s="4028"/>
      <c r="H244" s="3906"/>
      <c r="I244" s="2306" t="s">
        <v>2703</v>
      </c>
      <c r="J244" s="3904"/>
      <c r="K244" s="3905"/>
      <c r="L244" s="3905"/>
      <c r="M244" s="3905"/>
      <c r="N244" s="3906"/>
      <c r="O244" s="4004" t="s">
        <v>4027</v>
      </c>
      <c r="P244" s="4005"/>
      <c r="Q244" s="1023"/>
      <c r="R244" s="4034"/>
      <c r="S244" s="4035"/>
      <c r="V244" s="1070"/>
      <c r="W244" s="1070"/>
    </row>
    <row r="245" spans="1:23" s="32" customFormat="1" ht="11.25" customHeight="1">
      <c r="A245" s="508"/>
      <c r="C245" s="1078" t="s">
        <v>2193</v>
      </c>
      <c r="D245" s="3911"/>
      <c r="E245" s="3912"/>
      <c r="F245" s="3913"/>
      <c r="G245" s="1148" t="s">
        <v>1720</v>
      </c>
      <c r="H245" s="2734"/>
      <c r="I245" s="1077" t="s">
        <v>1799</v>
      </c>
      <c r="J245" s="3911"/>
      <c r="K245" s="3912"/>
      <c r="L245" s="3912"/>
      <c r="M245" s="3912"/>
      <c r="N245" s="3913"/>
      <c r="O245" s="2673"/>
      <c r="P245" s="536"/>
      <c r="Q245" s="1023"/>
      <c r="R245" s="4034"/>
      <c r="S245" s="4035"/>
      <c r="V245" s="1070"/>
      <c r="W245" s="1070"/>
    </row>
    <row r="246" spans="1:23" s="32" customFormat="1" ht="11.25" customHeight="1">
      <c r="A246" s="508"/>
      <c r="B246" s="463" t="s">
        <v>2435</v>
      </c>
      <c r="C246" s="134" t="s">
        <v>4026</v>
      </c>
      <c r="D246" s="3904"/>
      <c r="E246" s="3905"/>
      <c r="F246" s="3905"/>
      <c r="G246" s="4028"/>
      <c r="H246" s="3906"/>
      <c r="I246" s="2306" t="s">
        <v>2703</v>
      </c>
      <c r="J246" s="3904"/>
      <c r="K246" s="3905"/>
      <c r="L246" s="3905"/>
      <c r="M246" s="3905"/>
      <c r="N246" s="3906"/>
      <c r="O246" s="4004" t="s">
        <v>4027</v>
      </c>
      <c r="P246" s="4005"/>
      <c r="Q246" s="1023"/>
      <c r="R246" s="4034"/>
      <c r="S246" s="4035"/>
      <c r="V246" s="1070"/>
      <c r="W246" s="1070"/>
    </row>
    <row r="247" spans="1:23" s="32" customFormat="1" ht="11.25" customHeight="1">
      <c r="A247" s="508"/>
      <c r="C247" s="1078" t="s">
        <v>2193</v>
      </c>
      <c r="D247" s="3911"/>
      <c r="E247" s="3912"/>
      <c r="F247" s="3913"/>
      <c r="G247" s="1148" t="s">
        <v>1720</v>
      </c>
      <c r="H247" s="2734"/>
      <c r="I247" s="1077" t="s">
        <v>1799</v>
      </c>
      <c r="J247" s="3911"/>
      <c r="K247" s="3912"/>
      <c r="L247" s="3912"/>
      <c r="M247" s="3912"/>
      <c r="N247" s="3913"/>
      <c r="O247" s="2673"/>
      <c r="P247" s="536"/>
      <c r="Q247" s="1023"/>
      <c r="R247" s="4034"/>
      <c r="S247" s="4035"/>
      <c r="V247" s="1070"/>
      <c r="W247" s="1070"/>
    </row>
    <row r="248" spans="1:23" ht="11.25" customHeight="1">
      <c r="A248" s="508"/>
      <c r="B248" s="586" t="s">
        <v>1987</v>
      </c>
      <c r="C248" s="1028" t="s">
        <v>4028</v>
      </c>
      <c r="D248" s="1023"/>
      <c r="E248" s="1023"/>
      <c r="F248" s="1023"/>
      <c r="G248" s="474" t="s">
        <v>3781</v>
      </c>
      <c r="H248" s="1023"/>
      <c r="I248" s="1023"/>
      <c r="J248" s="1023"/>
      <c r="K248" s="1023"/>
      <c r="L248" s="1023"/>
      <c r="M248" s="1023"/>
      <c r="N248" s="1023"/>
      <c r="O248" s="516" t="s">
        <v>2509</v>
      </c>
      <c r="P248" s="516" t="s">
        <v>2509</v>
      </c>
      <c r="Q248" s="1023"/>
      <c r="R248" s="4034"/>
      <c r="S248" s="4035"/>
    </row>
    <row r="249" spans="1:23" ht="33.75" customHeight="1">
      <c r="A249" s="508"/>
      <c r="B249" s="1030"/>
      <c r="C249" s="3747" t="s">
        <v>4133</v>
      </c>
      <c r="D249" s="3747"/>
      <c r="E249" s="3747"/>
      <c r="F249" s="3747"/>
      <c r="G249" s="3747"/>
      <c r="H249" s="3747"/>
      <c r="I249" s="3747"/>
      <c r="J249" s="3747"/>
      <c r="K249" s="3747"/>
      <c r="L249" s="3747"/>
      <c r="M249" s="3747"/>
      <c r="N249" s="390" t="s">
        <v>1987</v>
      </c>
      <c r="O249" s="2691"/>
      <c r="P249" s="1150"/>
      <c r="Q249" s="1027"/>
      <c r="R249" s="4034"/>
      <c r="S249" s="4035"/>
      <c r="V249" s="1070"/>
      <c r="W249" s="1070"/>
    </row>
    <row r="250" spans="1:23" ht="11.25" customHeight="1">
      <c r="A250" s="508"/>
      <c r="B250" s="463" t="s">
        <v>2434</v>
      </c>
      <c r="C250" s="1032" t="s">
        <v>4134</v>
      </c>
      <c r="D250" s="2308"/>
      <c r="E250" s="2308"/>
      <c r="F250" s="2308"/>
      <c r="G250" s="2308"/>
      <c r="H250" s="2308"/>
      <c r="I250" s="2308"/>
      <c r="J250" s="2308"/>
      <c r="K250" s="2308"/>
      <c r="L250" s="2308"/>
      <c r="M250" s="2308"/>
      <c r="N250" s="2308"/>
      <c r="O250" s="2308"/>
      <c r="P250" s="2308"/>
      <c r="Q250" s="1027"/>
      <c r="R250" s="4034"/>
      <c r="S250" s="4035"/>
      <c r="V250" s="1070"/>
      <c r="W250" s="1070"/>
    </row>
    <row r="251" spans="1:23" ht="11.25" customHeight="1">
      <c r="A251" s="508"/>
      <c r="B251" s="32"/>
      <c r="C251" s="3842" t="s">
        <v>4609</v>
      </c>
      <c r="D251" s="3843"/>
      <c r="E251" s="3843"/>
      <c r="F251" s="3843"/>
      <c r="G251" s="3843"/>
      <c r="H251" s="3843"/>
      <c r="I251" s="3843"/>
      <c r="J251" s="3843"/>
      <c r="K251" s="3843"/>
      <c r="L251" s="3843"/>
      <c r="M251" s="3843"/>
      <c r="N251" s="3843"/>
      <c r="O251" s="3843"/>
      <c r="P251" s="3844"/>
      <c r="Q251" s="1074"/>
      <c r="R251" s="4034"/>
      <c r="S251" s="4035"/>
      <c r="V251" s="1070"/>
      <c r="W251" s="1070"/>
    </row>
    <row r="252" spans="1:23" ht="11.25" customHeight="1">
      <c r="A252" s="508"/>
      <c r="B252" s="1030"/>
      <c r="C252" s="3845" t="s">
        <v>226</v>
      </c>
      <c r="D252" s="3846"/>
      <c r="E252" s="3846"/>
      <c r="F252" s="3846"/>
      <c r="G252" s="3846"/>
      <c r="H252" s="3846"/>
      <c r="I252" s="3846"/>
      <c r="J252" s="3846"/>
      <c r="K252" s="3846"/>
      <c r="L252" s="3846"/>
      <c r="M252" s="3846"/>
      <c r="N252" s="3846"/>
      <c r="O252" s="3846"/>
      <c r="P252" s="3847"/>
      <c r="Q252" s="1027"/>
      <c r="R252" s="4034"/>
      <c r="S252" s="4035"/>
      <c r="V252" s="1070"/>
      <c r="W252" s="1070"/>
    </row>
    <row r="253" spans="1:23" ht="11.25" customHeight="1">
      <c r="A253" s="508"/>
      <c r="B253" s="1030"/>
      <c r="C253" s="3848" t="s">
        <v>1403</v>
      </c>
      <c r="D253" s="3849"/>
      <c r="E253" s="3849"/>
      <c r="F253" s="3849"/>
      <c r="G253" s="3849"/>
      <c r="H253" s="3849"/>
      <c r="I253" s="3849"/>
      <c r="J253" s="3849"/>
      <c r="K253" s="3849"/>
      <c r="L253" s="3849"/>
      <c r="M253" s="3849"/>
      <c r="N253" s="3849"/>
      <c r="O253" s="3849"/>
      <c r="P253" s="3850"/>
      <c r="Q253" s="1027"/>
      <c r="R253" s="4034"/>
      <c r="S253" s="4035"/>
      <c r="V253" s="1070"/>
      <c r="W253" s="1070"/>
    </row>
    <row r="254" spans="1:23" ht="11.25" customHeight="1">
      <c r="A254" s="508"/>
      <c r="B254" s="463" t="s">
        <v>2435</v>
      </c>
      <c r="C254" s="1032" t="s">
        <v>4132</v>
      </c>
      <c r="D254" s="2308"/>
      <c r="E254" s="2308"/>
      <c r="F254" s="2308"/>
      <c r="G254" s="2308"/>
      <c r="H254" s="2308"/>
      <c r="I254" s="2308"/>
      <c r="J254" s="2308"/>
      <c r="K254" s="2308"/>
      <c r="L254" s="3860" t="s">
        <v>4136</v>
      </c>
      <c r="M254" s="3860"/>
      <c r="N254" s="3861" t="s">
        <v>4137</v>
      </c>
      <c r="O254" s="3861"/>
      <c r="P254" s="3861"/>
      <c r="Q254" s="1027"/>
      <c r="R254" s="4034"/>
      <c r="S254" s="4035"/>
      <c r="V254" s="1070"/>
      <c r="W254" s="1070"/>
    </row>
    <row r="255" spans="1:23" ht="11.25" customHeight="1">
      <c r="A255" s="508"/>
      <c r="B255" s="1030"/>
      <c r="C255" s="3851" t="s">
        <v>4609</v>
      </c>
      <c r="D255" s="3852"/>
      <c r="E255" s="3852"/>
      <c r="F255" s="3852"/>
      <c r="G255" s="3852"/>
      <c r="H255" s="3852"/>
      <c r="I255" s="3852"/>
      <c r="J255" s="3852"/>
      <c r="K255" s="3853"/>
      <c r="L255" s="3851"/>
      <c r="M255" s="3853"/>
      <c r="N255" s="3851"/>
      <c r="O255" s="3852"/>
      <c r="P255" s="3853"/>
      <c r="Q255" s="1074"/>
      <c r="R255" s="4034"/>
      <c r="S255" s="4035"/>
      <c r="V255" s="1070"/>
      <c r="W255" s="1070"/>
    </row>
    <row r="256" spans="1:23" ht="11.25" customHeight="1">
      <c r="A256" s="508"/>
      <c r="B256" s="1030"/>
      <c r="C256" s="3854" t="s">
        <v>226</v>
      </c>
      <c r="D256" s="3855"/>
      <c r="E256" s="3855"/>
      <c r="F256" s="3855"/>
      <c r="G256" s="3855"/>
      <c r="H256" s="3855"/>
      <c r="I256" s="3855"/>
      <c r="J256" s="3855"/>
      <c r="K256" s="3856"/>
      <c r="L256" s="3854"/>
      <c r="M256" s="3856"/>
      <c r="N256" s="3854"/>
      <c r="O256" s="3855"/>
      <c r="P256" s="3856"/>
      <c r="Q256" s="1027"/>
      <c r="R256" s="4034"/>
      <c r="S256" s="4035"/>
      <c r="V256" s="1070"/>
      <c r="W256" s="1070"/>
    </row>
    <row r="257" spans="1:23" ht="11.25" customHeight="1">
      <c r="A257" s="508"/>
      <c r="B257" s="1030"/>
      <c r="C257" s="3857" t="s">
        <v>1403</v>
      </c>
      <c r="D257" s="3858"/>
      <c r="E257" s="3858"/>
      <c r="F257" s="3858"/>
      <c r="G257" s="3858"/>
      <c r="H257" s="3858"/>
      <c r="I257" s="3858"/>
      <c r="J257" s="3858"/>
      <c r="K257" s="3859"/>
      <c r="L257" s="3857"/>
      <c r="M257" s="3859"/>
      <c r="N257" s="3857"/>
      <c r="O257" s="3858"/>
      <c r="P257" s="3859"/>
      <c r="Q257" s="1027"/>
      <c r="R257" s="4034"/>
      <c r="S257" s="4035"/>
      <c r="V257" s="1070"/>
      <c r="W257" s="1070"/>
    </row>
    <row r="258" spans="1:23" ht="11.25" customHeight="1">
      <c r="A258" s="508"/>
      <c r="B258" s="586" t="s">
        <v>2533</v>
      </c>
      <c r="C258" s="1028" t="s">
        <v>4029</v>
      </c>
      <c r="D258" s="1023"/>
      <c r="E258" s="1023"/>
      <c r="F258" s="1023"/>
      <c r="G258" s="1023"/>
      <c r="H258" s="1023"/>
      <c r="I258" s="1023"/>
      <c r="J258" s="1023"/>
      <c r="K258" s="1023"/>
      <c r="L258" s="1023"/>
      <c r="M258" s="1023"/>
      <c r="N258" s="1023"/>
      <c r="O258" s="516"/>
      <c r="P258" s="516"/>
      <c r="Q258" s="1023"/>
      <c r="R258" s="4036"/>
      <c r="S258" s="4037"/>
    </row>
    <row r="259" spans="1:23" s="32" customFormat="1" ht="11.25" customHeight="1">
      <c r="A259" s="508"/>
      <c r="B259" s="1031"/>
      <c r="C259" s="3746" t="s">
        <v>4033</v>
      </c>
      <c r="D259" s="3746"/>
      <c r="E259" s="3746"/>
      <c r="F259" s="3746"/>
      <c r="G259" s="3746"/>
      <c r="H259" s="3746"/>
      <c r="I259" s="3746"/>
      <c r="J259" s="3746"/>
      <c r="K259" s="3746"/>
      <c r="L259" s="3746"/>
      <c r="M259" s="3746"/>
      <c r="N259" s="390" t="s">
        <v>2533</v>
      </c>
      <c r="O259" s="2674"/>
      <c r="P259" s="533"/>
      <c r="Q259" s="1027"/>
      <c r="V259" s="1070"/>
      <c r="W259" s="1070"/>
    </row>
    <row r="260" spans="1:23" ht="11.25" customHeight="1">
      <c r="A260" s="138"/>
      <c r="B260" s="888" t="s">
        <v>1223</v>
      </c>
      <c r="C260" s="583" t="s">
        <v>3784</v>
      </c>
      <c r="D260" s="32"/>
      <c r="N260" s="26"/>
      <c r="O260" s="26"/>
      <c r="P260" s="26"/>
      <c r="Q260" s="114"/>
    </row>
    <row r="261" spans="1:23" s="32" customFormat="1" ht="21.75" customHeight="1">
      <c r="A261" s="508"/>
      <c r="B261" s="1031"/>
      <c r="C261" s="3745" t="s">
        <v>4035</v>
      </c>
      <c r="D261" s="3745"/>
      <c r="E261" s="3745"/>
      <c r="F261" s="3745"/>
      <c r="G261" s="3745"/>
      <c r="H261" s="3745"/>
      <c r="I261" s="3745"/>
      <c r="J261" s="3745"/>
      <c r="K261" s="3745"/>
      <c r="L261" s="3745"/>
      <c r="M261" s="3745"/>
      <c r="N261" s="390" t="s">
        <v>1223</v>
      </c>
      <c r="O261" s="2691"/>
      <c r="P261" s="1150"/>
      <c r="Q261" s="1027"/>
      <c r="V261" s="1070"/>
      <c r="W261" s="1070"/>
    </row>
    <row r="262" spans="1:23" s="32" customFormat="1" ht="10.5" customHeight="1">
      <c r="A262" s="508"/>
      <c r="B262" s="1031"/>
      <c r="C262" s="2307"/>
      <c r="D262" s="2307"/>
      <c r="E262" s="2307"/>
      <c r="F262" s="2307"/>
      <c r="G262" s="614" t="s">
        <v>4948</v>
      </c>
      <c r="H262" s="2307"/>
      <c r="J262" s="3865"/>
      <c r="K262" s="3866"/>
      <c r="L262" s="2307"/>
      <c r="M262" s="2307"/>
      <c r="N262" s="2307"/>
      <c r="O262" s="2307"/>
      <c r="P262" s="2307"/>
      <c r="Q262" s="1027"/>
      <c r="V262" s="1070"/>
      <c r="W262" s="1070"/>
    </row>
    <row r="263" spans="1:23" s="32" customFormat="1" ht="11.25" customHeight="1">
      <c r="A263" s="508"/>
      <c r="B263" s="387" t="s">
        <v>2434</v>
      </c>
      <c r="C263" s="3746" t="s">
        <v>4036</v>
      </c>
      <c r="D263" s="3746"/>
      <c r="E263" s="3746"/>
      <c r="F263" s="3746"/>
      <c r="G263" s="3746"/>
      <c r="H263" s="3746"/>
      <c r="I263" s="3746"/>
      <c r="J263" s="3746"/>
      <c r="K263" s="3746"/>
      <c r="L263" s="3746"/>
      <c r="M263" s="3746"/>
      <c r="N263" s="387" t="s">
        <v>2434</v>
      </c>
      <c r="O263" s="2671"/>
      <c r="P263" s="534"/>
      <c r="Q263" s="1027"/>
      <c r="V263" s="1070"/>
      <c r="W263" s="1070"/>
    </row>
    <row r="264" spans="1:23" s="32" customFormat="1" ht="11.25" customHeight="1">
      <c r="A264" s="508"/>
      <c r="B264" s="387" t="s">
        <v>2435</v>
      </c>
      <c r="C264" s="3746" t="s">
        <v>4847</v>
      </c>
      <c r="D264" s="3746"/>
      <c r="E264" s="3746"/>
      <c r="F264" s="3746"/>
      <c r="G264" s="3746"/>
      <c r="H264" s="3746"/>
      <c r="I264" s="3746"/>
      <c r="J264" s="3746"/>
      <c r="K264" s="3746"/>
      <c r="L264" s="3746"/>
      <c r="M264" s="3746"/>
      <c r="N264" s="387" t="s">
        <v>2435</v>
      </c>
      <c r="O264" s="2673"/>
      <c r="P264" s="536"/>
      <c r="Q264" s="1027"/>
      <c r="V264" s="1070"/>
      <c r="W264" s="1070"/>
    </row>
    <row r="265" spans="1:23" ht="11.25" customHeight="1">
      <c r="A265" s="138"/>
      <c r="B265" s="888" t="s">
        <v>1224</v>
      </c>
      <c r="C265" s="583" t="s">
        <v>4848</v>
      </c>
      <c r="D265" s="32"/>
      <c r="N265" s="390" t="s">
        <v>1224</v>
      </c>
      <c r="O265" s="26"/>
      <c r="P265" s="26"/>
      <c r="Q265" s="114"/>
    </row>
    <row r="266" spans="1:23" s="32" customFormat="1" ht="11.25" customHeight="1">
      <c r="A266" s="508"/>
      <c r="B266" s="387" t="s">
        <v>2434</v>
      </c>
      <c r="C266" s="3746" t="s">
        <v>4849</v>
      </c>
      <c r="D266" s="3746"/>
      <c r="E266" s="3746"/>
      <c r="F266" s="3746"/>
      <c r="G266" s="3746"/>
      <c r="H266" s="3746"/>
      <c r="I266" s="3746"/>
      <c r="J266" s="3746"/>
      <c r="K266" s="3746"/>
      <c r="L266" s="3746"/>
      <c r="M266" s="3746"/>
      <c r="N266" s="387" t="s">
        <v>2434</v>
      </c>
      <c r="O266" s="2671"/>
      <c r="P266" s="534"/>
      <c r="Q266" s="1027"/>
      <c r="V266" s="1070"/>
      <c r="W266" s="1070"/>
    </row>
    <row r="267" spans="1:23" s="32" customFormat="1" ht="11.25" customHeight="1">
      <c r="A267" s="508"/>
      <c r="B267" s="387" t="s">
        <v>2435</v>
      </c>
      <c r="C267" s="3746" t="s">
        <v>4850</v>
      </c>
      <c r="D267" s="3746"/>
      <c r="E267" s="3746"/>
      <c r="F267" s="3746"/>
      <c r="G267" s="3746"/>
      <c r="H267" s="3746"/>
      <c r="I267" s="3746"/>
      <c r="J267" s="3746"/>
      <c r="K267" s="3746"/>
      <c r="L267" s="3746"/>
      <c r="M267" s="3746"/>
      <c r="N267" s="387" t="s">
        <v>2435</v>
      </c>
      <c r="O267" s="2673"/>
      <c r="P267" s="536"/>
      <c r="Q267" s="1027"/>
      <c r="V267" s="1070"/>
      <c r="W267" s="1070"/>
    </row>
    <row r="268" spans="1:23" ht="11.7" customHeight="1">
      <c r="A268" s="138" t="s">
        <v>1984</v>
      </c>
      <c r="B268" s="177" t="s">
        <v>4030</v>
      </c>
      <c r="D268" s="32"/>
      <c r="G268" s="474" t="s">
        <v>3781</v>
      </c>
      <c r="N268" s="26"/>
      <c r="O268" s="516" t="s">
        <v>2509</v>
      </c>
      <c r="P268" s="516" t="s">
        <v>2509</v>
      </c>
      <c r="Q268" s="1026"/>
    </row>
    <row r="269" spans="1:23" ht="22.5" customHeight="1">
      <c r="B269" s="586" t="s">
        <v>1985</v>
      </c>
      <c r="C269" s="3760" t="s">
        <v>4031</v>
      </c>
      <c r="D269" s="3760"/>
      <c r="E269" s="3760"/>
      <c r="F269" s="3760"/>
      <c r="G269" s="3760"/>
      <c r="H269" s="3760"/>
      <c r="I269" s="3760"/>
      <c r="J269" s="3760"/>
      <c r="K269" s="3760"/>
      <c r="L269" s="3760"/>
      <c r="M269" s="1124" t="s">
        <v>1984</v>
      </c>
      <c r="N269" s="390" t="s">
        <v>1985</v>
      </c>
      <c r="O269" s="2683"/>
      <c r="P269" s="1149"/>
      <c r="Q269" s="1026"/>
      <c r="V269" s="1070"/>
      <c r="W269" s="1070"/>
    </row>
    <row r="270" spans="1:23" s="32" customFormat="1" ht="11.25" customHeight="1">
      <c r="A270" s="508"/>
      <c r="B270" s="586" t="s">
        <v>1987</v>
      </c>
      <c r="C270" s="433" t="s">
        <v>4851</v>
      </c>
      <c r="D270" s="972"/>
      <c r="E270" s="972"/>
      <c r="F270" s="972"/>
      <c r="G270" s="972"/>
      <c r="H270" s="972"/>
      <c r="I270" s="972"/>
      <c r="J270" s="972"/>
      <c r="K270" s="972"/>
      <c r="L270" s="972"/>
      <c r="M270" s="972"/>
      <c r="N270" s="390" t="s">
        <v>1987</v>
      </c>
      <c r="O270" s="2672"/>
      <c r="P270" s="535"/>
      <c r="Q270" s="1027"/>
      <c r="V270" s="1216"/>
      <c r="W270" s="1216"/>
    </row>
    <row r="271" spans="1:23" s="32" customFormat="1" ht="11.25" customHeight="1">
      <c r="A271" s="508"/>
      <c r="B271" s="586" t="s">
        <v>2533</v>
      </c>
      <c r="C271" s="433" t="s">
        <v>4852</v>
      </c>
      <c r="D271" s="972"/>
      <c r="E271" s="972"/>
      <c r="F271" s="972"/>
      <c r="G271" s="972"/>
      <c r="H271" s="972"/>
      <c r="I271" s="972"/>
      <c r="J271" s="972"/>
      <c r="K271" s="972"/>
      <c r="L271" s="972"/>
      <c r="M271" s="972"/>
      <c r="N271" s="390" t="s">
        <v>2533</v>
      </c>
      <c r="O271" s="2673"/>
      <c r="P271" s="536"/>
      <c r="Q271" s="1027"/>
      <c r="V271" s="1216"/>
      <c r="W271" s="1216"/>
    </row>
    <row r="272" spans="1:23" s="42" customFormat="1" ht="12" customHeight="1" thickBot="1">
      <c r="A272" s="41"/>
      <c r="B272" s="1206" t="s">
        <v>3752</v>
      </c>
      <c r="C272" s="41"/>
      <c r="D272" s="47"/>
      <c r="E272" s="47"/>
      <c r="F272" s="47"/>
      <c r="G272" s="47"/>
      <c r="H272" s="35"/>
      <c r="I272" s="134"/>
      <c r="M272" s="45"/>
      <c r="N272" s="61"/>
      <c r="O272" s="2"/>
      <c r="P272" s="2290"/>
    </row>
    <row r="273" spans="1:18" s="42" customFormat="1" ht="21.75" customHeight="1" thickTop="1" thickBot="1">
      <c r="A273" s="3761"/>
      <c r="B273" s="3762"/>
      <c r="C273" s="3762"/>
      <c r="D273" s="3762"/>
      <c r="E273" s="3762"/>
      <c r="F273" s="3762"/>
      <c r="G273" s="3762"/>
      <c r="H273" s="3762"/>
      <c r="I273" s="3762"/>
      <c r="J273" s="3762"/>
      <c r="K273" s="3762"/>
      <c r="L273" s="3762"/>
      <c r="M273" s="3762"/>
      <c r="N273" s="3762"/>
      <c r="O273" s="3762"/>
      <c r="P273" s="3763"/>
      <c r="Q273" s="1074" t="s">
        <v>1253</v>
      </c>
    </row>
    <row r="274" spans="1:18" s="42" customFormat="1" ht="10.5" customHeight="1" thickTop="1">
      <c r="A274" s="41"/>
      <c r="B274" s="85" t="s">
        <v>1865</v>
      </c>
      <c r="C274" s="41"/>
      <c r="D274" s="85"/>
      <c r="E274" s="2291"/>
      <c r="F274" s="2291"/>
      <c r="G274" s="2291"/>
      <c r="H274" s="2291"/>
      <c r="I274" s="2291"/>
      <c r="J274" s="2291"/>
      <c r="K274" s="2291"/>
      <c r="L274" s="2291"/>
      <c r="M274" s="2291"/>
      <c r="N274" s="74"/>
      <c r="O274" s="70"/>
      <c r="P274" s="2287"/>
      <c r="Q274" s="426"/>
    </row>
    <row r="275" spans="1:18" s="42" customFormat="1" ht="11.25" customHeight="1">
      <c r="A275" s="3870"/>
      <c r="B275" s="3871"/>
      <c r="C275" s="3871"/>
      <c r="D275" s="3871"/>
      <c r="E275" s="3871"/>
      <c r="F275" s="3871"/>
      <c r="G275" s="3871"/>
      <c r="H275" s="3871"/>
      <c r="I275" s="3871"/>
      <c r="J275" s="3871"/>
      <c r="K275" s="3871"/>
      <c r="L275" s="3871"/>
      <c r="M275" s="3871"/>
      <c r="N275" s="3871"/>
      <c r="O275" s="3871"/>
      <c r="P275" s="3872"/>
      <c r="Q275" s="445"/>
    </row>
    <row r="276" spans="1:18" ht="3.6" customHeight="1" thickBot="1">
      <c r="B276" s="116"/>
      <c r="C276" s="116"/>
      <c r="D276" s="116"/>
      <c r="E276" s="116"/>
    </row>
    <row r="277" spans="1:18" s="102" customFormat="1" ht="12.6" customHeight="1" thickBot="1">
      <c r="A277" s="152" t="s">
        <v>426</v>
      </c>
      <c r="B277" s="106" t="s">
        <v>2784</v>
      </c>
      <c r="C277" s="92"/>
      <c r="D277" s="58"/>
      <c r="E277" s="58"/>
      <c r="G277" s="172" t="s">
        <v>4177</v>
      </c>
      <c r="M277" s="2287">
        <v>6</v>
      </c>
      <c r="N277" s="6"/>
      <c r="O277" s="1141">
        <f>O279+O288+O293</f>
        <v>0</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873" t="s">
        <v>3599</v>
      </c>
      <c r="B279" s="869" t="s">
        <v>4856</v>
      </c>
      <c r="C279" s="92"/>
      <c r="D279" s="58"/>
      <c r="E279" s="58"/>
      <c r="G279" s="474" t="s">
        <v>4863</v>
      </c>
      <c r="I279" s="26"/>
      <c r="J279" s="3867" t="str">
        <f>'Part I-Project Information'!$O$38</f>
        <v>203.00</v>
      </c>
      <c r="K279" s="3867"/>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7" customHeight="1">
      <c r="A280" s="3873"/>
      <c r="B280" s="110" t="s">
        <v>2792</v>
      </c>
      <c r="C280" s="512"/>
      <c r="D280" s="512"/>
      <c r="G280" s="513" t="str">
        <f>'Part I-Project Information'!$H$105</f>
        <v>Rural</v>
      </c>
      <c r="M280" s="1024" t="s">
        <v>4857</v>
      </c>
      <c r="N280" s="2101"/>
      <c r="O280" s="1174" t="s">
        <v>2509</v>
      </c>
      <c r="P280" s="1174" t="s">
        <v>2509</v>
      </c>
    </row>
    <row r="281" spans="1:18" ht="11.7" customHeight="1">
      <c r="A281" s="3873"/>
      <c r="B281" s="888" t="s">
        <v>1985</v>
      </c>
      <c r="C281" s="438" t="s">
        <v>2684</v>
      </c>
      <c r="E281" s="116"/>
      <c r="M281" s="80"/>
      <c r="N281" s="174" t="s">
        <v>1985</v>
      </c>
      <c r="O281" s="2671"/>
      <c r="P281" s="534"/>
      <c r="Q281" s="3862" t="str">
        <f>IF(AND(O281="Yes",O284="Yes"),"Only 1 or 4 can be 'Yes'!","")</f>
        <v/>
      </c>
      <c r="R281" s="3862"/>
    </row>
    <row r="282" spans="1:18" ht="11.7" customHeight="1">
      <c r="B282" s="888" t="s">
        <v>1987</v>
      </c>
      <c r="C282" s="438" t="s">
        <v>2737</v>
      </c>
      <c r="G282" s="100" t="s">
        <v>2388</v>
      </c>
      <c r="H282" s="2735" t="s">
        <v>4897</v>
      </c>
      <c r="I282" s="438" t="s">
        <v>2738</v>
      </c>
      <c r="L282" s="134" t="s">
        <v>2736</v>
      </c>
      <c r="M282" s="889" t="str">
        <f>IF(O282&gt;H282,"CHECK ACTUAL PERCENT!!!","")</f>
        <v/>
      </c>
      <c r="N282" s="174" t="s">
        <v>1987</v>
      </c>
      <c r="O282" s="2736"/>
      <c r="P282" s="2102"/>
      <c r="Q282" s="3862"/>
      <c r="R282" s="3862"/>
    </row>
    <row r="283" spans="1:18" ht="11.7" customHeight="1">
      <c r="B283" s="888" t="s">
        <v>2533</v>
      </c>
      <c r="C283" s="415" t="s">
        <v>2389</v>
      </c>
      <c r="E283" s="116"/>
      <c r="G283" s="100" t="s">
        <v>2390</v>
      </c>
      <c r="J283" s="3733" t="s">
        <v>5060</v>
      </c>
      <c r="L283" s="433" t="s">
        <v>2730</v>
      </c>
      <c r="M283" s="32"/>
      <c r="N283" s="174" t="s">
        <v>2533</v>
      </c>
      <c r="O283" s="2737" t="s">
        <v>201</v>
      </c>
      <c r="P283" s="2103" t="s">
        <v>201</v>
      </c>
      <c r="Q283" s="3862"/>
      <c r="R283" s="3862"/>
    </row>
    <row r="284" spans="1:18" s="392" customFormat="1" ht="11.7" customHeight="1">
      <c r="B284" s="586" t="s">
        <v>1223</v>
      </c>
      <c r="C284" s="3747" t="s">
        <v>4872</v>
      </c>
      <c r="D284" s="3747"/>
      <c r="E284" s="3747"/>
      <c r="F284" s="3747"/>
      <c r="G284" s="3747"/>
      <c r="H284" s="3747"/>
      <c r="I284" s="3747"/>
      <c r="J284" s="3734"/>
      <c r="K284" s="3733" t="s">
        <v>4038</v>
      </c>
      <c r="M284" s="1128">
        <v>2</v>
      </c>
      <c r="N284" s="174" t="s">
        <v>1223</v>
      </c>
      <c r="O284" s="2684"/>
      <c r="P284" s="2303"/>
      <c r="Q284" s="3862"/>
      <c r="R284" s="3862"/>
    </row>
    <row r="285" spans="1:18" ht="11.7" customHeight="1">
      <c r="B285" s="374"/>
      <c r="C285" s="3747"/>
      <c r="D285" s="3747"/>
      <c r="E285" s="3747"/>
      <c r="F285" s="3747"/>
      <c r="G285" s="3747"/>
      <c r="H285" s="3747"/>
      <c r="I285" s="3747"/>
      <c r="J285" s="3735"/>
      <c r="K285" s="3735"/>
      <c r="L285" s="3764" t="s">
        <v>4094</v>
      </c>
      <c r="M285" s="3765"/>
      <c r="N285" s="116"/>
    </row>
    <row r="286" spans="1:18" ht="23.25" customHeight="1">
      <c r="B286" s="374"/>
      <c r="C286" s="3747"/>
      <c r="D286" s="3747"/>
      <c r="E286" s="3747"/>
      <c r="F286" s="3747"/>
      <c r="G286" s="3747"/>
      <c r="H286" s="3747"/>
      <c r="I286" s="3747"/>
      <c r="J286" s="2738"/>
      <c r="K286" s="2739"/>
      <c r="L286" s="1125">
        <f>O61</f>
        <v>10</v>
      </c>
      <c r="M286" s="1126">
        <f>P61</f>
        <v>0</v>
      </c>
      <c r="N286" s="26"/>
    </row>
    <row r="287" spans="1:18" ht="2.25" customHeight="1">
      <c r="A287" s="515"/>
      <c r="B287" s="888"/>
      <c r="C287" s="415"/>
      <c r="E287" s="116"/>
      <c r="M287" s="1127"/>
      <c r="N287" s="1120"/>
      <c r="O287" s="887"/>
      <c r="P287" s="887"/>
    </row>
    <row r="288" spans="1:18" ht="11.7" customHeight="1">
      <c r="A288" s="515" t="s">
        <v>748</v>
      </c>
      <c r="B288" s="888" t="s">
        <v>4858</v>
      </c>
      <c r="C288" s="415"/>
      <c r="E288" s="116"/>
      <c r="G288" s="431" t="s">
        <v>4859</v>
      </c>
      <c r="M288" s="1127">
        <v>2</v>
      </c>
      <c r="N288" s="1129" t="s">
        <v>748</v>
      </c>
      <c r="O288" s="890">
        <f>IF(OR(AND(O289&gt;=60,O290&gt;=60,O291&gt;=60),AND(O289&lt;60,O290&gt;=60,O291&gt;=60),AND(O289&gt;=60,O290&lt;60,O291&gt;=60),AND(O289&gt;=60,O290&gt;=60,O291&lt;60)),$M$288,IF(OR(O289&gt;=60,O290&gt;=60,O291&gt;=60),1,0))</f>
        <v>0</v>
      </c>
      <c r="P288" s="890">
        <f>IF(OR(AND(P289&gt;=60,P290&gt;=60,P291&gt;=60),AND(P289&lt;60,P290&gt;=60,P291&gt;=60),AND(P289&gt;=60,P290&lt;60,P291&gt;=60),AND(P289&gt;=60,P290&gt;=60,P291&lt;60)),$M$288,IF(OR(P289&gt;=60,P290&gt;=60,P291&gt;=60),1,0))</f>
        <v>0</v>
      </c>
    </row>
    <row r="289" spans="1:21" ht="11.7" customHeight="1">
      <c r="A289" s="515"/>
      <c r="B289" s="888" t="s">
        <v>1985</v>
      </c>
      <c r="C289" s="134" t="s">
        <v>5055</v>
      </c>
      <c r="D289" s="134"/>
      <c r="G289" s="134" t="s">
        <v>4860</v>
      </c>
      <c r="H289" s="972"/>
      <c r="I289" s="972"/>
      <c r="J289" s="32"/>
      <c r="K289" s="32"/>
      <c r="L289" s="32"/>
      <c r="M289" s="32"/>
      <c r="N289" s="174" t="s">
        <v>1985</v>
      </c>
      <c r="O289" s="2740"/>
      <c r="P289" s="2104"/>
    </row>
    <row r="290" spans="1:21" ht="11.7" customHeight="1">
      <c r="A290" s="515"/>
      <c r="B290" s="888" t="s">
        <v>1987</v>
      </c>
      <c r="C290" s="134" t="s">
        <v>5056</v>
      </c>
      <c r="D290" s="134"/>
      <c r="G290" s="134" t="s">
        <v>4861</v>
      </c>
      <c r="H290" s="972"/>
      <c r="I290" s="972"/>
      <c r="J290" s="32"/>
      <c r="K290" s="32"/>
      <c r="L290" s="32"/>
      <c r="M290" s="32"/>
      <c r="N290" s="174" t="s">
        <v>1987</v>
      </c>
      <c r="O290" s="2741"/>
      <c r="P290" s="2105"/>
      <c r="R290" s="158" t="s">
        <v>5066</v>
      </c>
    </row>
    <row r="291" spans="1:21" ht="11.7" customHeight="1">
      <c r="A291" s="515"/>
      <c r="B291" s="888" t="s">
        <v>2533</v>
      </c>
      <c r="C291" s="134" t="s">
        <v>5057</v>
      </c>
      <c r="D291" s="134"/>
      <c r="G291" s="134" t="s">
        <v>4862</v>
      </c>
      <c r="H291" s="972"/>
      <c r="I291" s="972"/>
      <c r="J291" s="32"/>
      <c r="K291" s="32"/>
      <c r="L291" s="32"/>
      <c r="M291" s="32"/>
      <c r="N291" s="174" t="s">
        <v>2533</v>
      </c>
      <c r="O291" s="2742"/>
      <c r="P291" s="2106"/>
    </row>
    <row r="292" spans="1:21" ht="2.25" customHeight="1">
      <c r="A292" s="515"/>
      <c r="B292" s="888"/>
      <c r="C292" s="415"/>
      <c r="E292" s="116"/>
      <c r="M292" s="1127"/>
      <c r="N292" s="1120"/>
      <c r="O292" s="887"/>
      <c r="P292" s="887"/>
    </row>
    <row r="293" spans="1:21" ht="11.7" customHeight="1">
      <c r="A293" s="515" t="s">
        <v>2114</v>
      </c>
      <c r="B293" s="888" t="s">
        <v>3600</v>
      </c>
      <c r="C293" s="415"/>
      <c r="E293" s="116"/>
      <c r="G293" s="2302" t="s">
        <v>3604</v>
      </c>
      <c r="H293" s="2107">
        <f>IF('Part VI-Revenues &amp; Expenses'!$O$67=0,0,'Part VI-Revenues &amp; Expenses'!$O$64/'Part VI-Revenues &amp; Expenses'!$O$67)</f>
        <v>0</v>
      </c>
      <c r="J293" s="2094" t="s">
        <v>4864</v>
      </c>
      <c r="K293" s="3868" t="str">
        <f>'Part I-Project Information'!$K$94</f>
        <v>40% of Units at 60% of AMI</v>
      </c>
      <c r="L293" s="3869"/>
      <c r="M293" s="1127">
        <v>1</v>
      </c>
      <c r="N293" s="1120" t="s">
        <v>2114</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1865</v>
      </c>
      <c r="C295" s="41"/>
      <c r="D295" s="85"/>
      <c r="E295" s="2291"/>
      <c r="F295" s="2291"/>
      <c r="G295" s="2291"/>
      <c r="H295" s="2291"/>
      <c r="I295" s="2291"/>
      <c r="J295" s="2291"/>
      <c r="K295" s="2291"/>
      <c r="L295" s="2291"/>
      <c r="M295" s="2291"/>
      <c r="N295" s="74"/>
      <c r="O295" s="70"/>
      <c r="P295" s="2287"/>
      <c r="Q295" s="426"/>
    </row>
    <row r="296" spans="1:21" s="42" customFormat="1" ht="11.25" customHeight="1">
      <c r="A296" s="3870"/>
      <c r="B296" s="3871"/>
      <c r="C296" s="3871"/>
      <c r="D296" s="3871"/>
      <c r="E296" s="3871"/>
      <c r="F296" s="3871"/>
      <c r="G296" s="3871"/>
      <c r="H296" s="3871"/>
      <c r="I296" s="3871"/>
      <c r="J296" s="3871"/>
      <c r="K296" s="3871"/>
      <c r="L296" s="3871"/>
      <c r="M296" s="3871"/>
      <c r="N296" s="3871"/>
      <c r="O296" s="3871"/>
      <c r="P296" s="3872"/>
      <c r="Q296" s="445"/>
    </row>
    <row r="297" spans="1:21" s="42" customFormat="1" ht="3" customHeight="1" thickBot="1">
      <c r="A297" s="41"/>
      <c r="D297" s="38"/>
      <c r="E297" s="35"/>
      <c r="F297" s="887"/>
      <c r="G297" s="887"/>
      <c r="H297" s="887"/>
      <c r="I297" s="887"/>
      <c r="J297" s="897"/>
      <c r="K297" s="897"/>
      <c r="L297" s="897"/>
      <c r="M297" s="59"/>
      <c r="N297" s="887"/>
      <c r="O297" s="2290"/>
      <c r="P297" s="2"/>
    </row>
    <row r="298" spans="1:21" s="102" customFormat="1" ht="12.6" customHeight="1" thickBot="1">
      <c r="A298" s="152" t="s">
        <v>362</v>
      </c>
      <c r="B298" s="106" t="s">
        <v>4041</v>
      </c>
      <c r="C298" s="92"/>
      <c r="D298" s="58"/>
      <c r="E298" s="58"/>
      <c r="H298" s="172"/>
      <c r="I298" s="432" t="s">
        <v>3797</v>
      </c>
      <c r="M298" s="2287">
        <v>10</v>
      </c>
      <c r="N298" s="6"/>
      <c r="O298" s="1090">
        <f>IF(OR(O299="Yes",O300="Yes"),$M$298,0)</f>
        <v>0</v>
      </c>
      <c r="P298" s="1090">
        <f>IF(OR(P299="Yes",P300="Yes"),$M$298,0)</f>
        <v>0</v>
      </c>
      <c r="Q298" s="109" t="s">
        <v>441</v>
      </c>
      <c r="R298" s="42"/>
    </row>
    <row r="299" spans="1:21" ht="11.25" customHeight="1">
      <c r="A299" s="2288" t="s">
        <v>1982</v>
      </c>
      <c r="B299" s="1130" t="s">
        <v>3788</v>
      </c>
      <c r="D299" s="614"/>
      <c r="E299" s="614"/>
      <c r="F299" s="614"/>
      <c r="G299" s="614"/>
      <c r="H299" s="614"/>
      <c r="I299" s="614"/>
      <c r="J299" s="614"/>
      <c r="K299" s="614"/>
      <c r="L299" s="1032"/>
      <c r="M299" s="3881" t="str">
        <f>IF(OR(SUM(T299:T300)&gt;1,SUM(U299:U300)&gt;1),"Only one category can be met by other means!","")</f>
        <v/>
      </c>
      <c r="N299" s="463" t="s">
        <v>1982</v>
      </c>
      <c r="O299" s="2671"/>
      <c r="P299" s="534"/>
      <c r="U299" s="1218">
        <f>IF(L299="Yes",1,0)</f>
        <v>0</v>
      </c>
    </row>
    <row r="300" spans="1:21" ht="11.25" customHeight="1">
      <c r="A300" s="2288" t="s">
        <v>1984</v>
      </c>
      <c r="B300" s="1130" t="s">
        <v>3789</v>
      </c>
      <c r="D300" s="614"/>
      <c r="L300" s="1032"/>
      <c r="M300" s="3881"/>
      <c r="N300" s="463" t="s">
        <v>1984</v>
      </c>
      <c r="O300" s="2673"/>
      <c r="P300" s="536"/>
      <c r="U300" s="1218">
        <f>IF(L300="Yes",1,0)</f>
        <v>0</v>
      </c>
    </row>
    <row r="301" spans="1:21" s="42" customFormat="1" ht="10.5" customHeight="1" thickBot="1">
      <c r="A301" s="41"/>
      <c r="B301" s="1206" t="s">
        <v>3752</v>
      </c>
      <c r="C301" s="41"/>
      <c r="D301" s="47"/>
      <c r="E301" s="47"/>
      <c r="F301" s="47"/>
      <c r="G301" s="47"/>
      <c r="H301" s="35"/>
      <c r="I301" s="35"/>
      <c r="J301" s="35"/>
      <c r="K301" s="35"/>
      <c r="M301" s="45"/>
      <c r="N301" s="61"/>
      <c r="O301" s="2"/>
      <c r="P301" s="2290"/>
    </row>
    <row r="302" spans="1:21" s="42" customFormat="1" ht="21.75" customHeight="1" thickTop="1" thickBot="1">
      <c r="A302" s="3818"/>
      <c r="B302" s="3819"/>
      <c r="C302" s="3819"/>
      <c r="D302" s="3819"/>
      <c r="E302" s="3819"/>
      <c r="F302" s="3819"/>
      <c r="G302" s="3819"/>
      <c r="H302" s="3819"/>
      <c r="I302" s="3819"/>
      <c r="J302" s="3819"/>
      <c r="K302" s="3819"/>
      <c r="L302" s="3819"/>
      <c r="M302" s="3819"/>
      <c r="N302" s="3819"/>
      <c r="O302" s="3819"/>
      <c r="P302" s="3820"/>
      <c r="Q302" s="1074" t="s">
        <v>1253</v>
      </c>
    </row>
    <row r="303" spans="1:21" s="42" customFormat="1" ht="10.5" customHeight="1" thickTop="1">
      <c r="A303" s="41"/>
      <c r="B303" s="85" t="s">
        <v>1865</v>
      </c>
      <c r="C303" s="41"/>
      <c r="D303" s="85"/>
      <c r="E303" s="2291"/>
      <c r="F303" s="2291"/>
      <c r="G303" s="2291"/>
      <c r="H303" s="2291"/>
      <c r="I303" s="2291"/>
      <c r="J303" s="2291"/>
      <c r="K303" s="2291"/>
      <c r="L303" s="2291"/>
      <c r="M303" s="2291"/>
      <c r="N303" s="74"/>
      <c r="O303" s="70"/>
      <c r="P303" s="2287"/>
      <c r="Q303" s="426"/>
    </row>
    <row r="304" spans="1:21" s="42" customFormat="1" ht="11.25" customHeight="1">
      <c r="A304" s="3870"/>
      <c r="B304" s="3871"/>
      <c r="C304" s="3871"/>
      <c r="D304" s="3871"/>
      <c r="E304" s="3871"/>
      <c r="F304" s="3871"/>
      <c r="G304" s="3871"/>
      <c r="H304" s="3871"/>
      <c r="I304" s="3871"/>
      <c r="J304" s="3871"/>
      <c r="K304" s="3871"/>
      <c r="L304" s="3871"/>
      <c r="M304" s="3871"/>
      <c r="N304" s="3871"/>
      <c r="O304" s="3871"/>
      <c r="P304" s="3872"/>
      <c r="Q304" s="445"/>
    </row>
    <row r="305" spans="1:27" s="42" customFormat="1" ht="1.5" customHeight="1" thickBot="1">
      <c r="A305" s="41"/>
      <c r="D305" s="38"/>
      <c r="E305" s="35"/>
      <c r="F305" s="887"/>
      <c r="G305" s="887"/>
      <c r="H305" s="887"/>
      <c r="I305" s="887"/>
      <c r="J305" s="897"/>
      <c r="K305" s="897"/>
      <c r="L305" s="897"/>
      <c r="M305" s="59"/>
      <c r="N305" s="887"/>
      <c r="O305" s="2290"/>
      <c r="P305" s="2"/>
    </row>
    <row r="306" spans="1:27" s="42" customFormat="1" ht="12" customHeight="1" thickBot="1">
      <c r="A306" s="152" t="s">
        <v>363</v>
      </c>
      <c r="B306" s="105" t="s">
        <v>2458</v>
      </c>
      <c r="D306" s="40"/>
      <c r="E306" s="40"/>
      <c r="F306" s="40"/>
      <c r="H306" s="60" t="s">
        <v>4868</v>
      </c>
      <c r="J306" s="86" t="s">
        <v>2792</v>
      </c>
      <c r="K306" s="47"/>
      <c r="L306" s="613" t="str">
        <f>'Part I-Project Information'!$H$105</f>
        <v>Rural</v>
      </c>
      <c r="M306" s="2287">
        <v>4</v>
      </c>
      <c r="N306" s="5"/>
      <c r="O306" s="1136">
        <f>IF(AND($L$306="Flexible",O307=$M307),$M307,IF(AND($L$306="Flexible",O316&gt;0),O316,IF(AND($L$306="Rural",O320&gt;0),O320,0)))</f>
        <v>0</v>
      </c>
      <c r="P306" s="1136">
        <f>IF(AND($L$306="Flexible",P307=$M307),$M307,IF(AND($L$306="Flexible",P316&gt;0),P316,IF(AND($L$306="Rural",P320&gt;0),P320,0)))</f>
        <v>0</v>
      </c>
      <c r="Q306" s="109" t="s">
        <v>441</v>
      </c>
    </row>
    <row r="307" spans="1:27" ht="11.25" customHeight="1">
      <c r="A307" s="2288" t="s">
        <v>1982</v>
      </c>
      <c r="B307" s="177" t="s">
        <v>4042</v>
      </c>
      <c r="D307" s="32"/>
      <c r="E307" s="32"/>
      <c r="F307" s="32"/>
      <c r="H307" s="86" t="s">
        <v>3681</v>
      </c>
      <c r="I307" s="431"/>
      <c r="J307" s="3877" t="str">
        <f>'Part I-Project Information'!$O$34</f>
        <v>No</v>
      </c>
      <c r="K307" s="3877"/>
      <c r="L307" s="929">
        <f>'Part I-Project Information'!$O$35</f>
        <v>0</v>
      </c>
      <c r="M307" s="72">
        <v>3</v>
      </c>
      <c r="N307" s="463" t="s">
        <v>1982</v>
      </c>
      <c r="O307" s="2711"/>
      <c r="P307" s="860"/>
      <c r="Q307" s="1020" t="str">
        <f>IF(OR($O307=$M307,$O307=0,$O307=""),"","*CHECK!*")</f>
        <v/>
      </c>
      <c r="R307" s="1088" t="s">
        <v>2705</v>
      </c>
    </row>
    <row r="308" spans="1:27" s="100" customFormat="1" ht="22.95" customHeight="1">
      <c r="B308" s="586" t="s">
        <v>1985</v>
      </c>
      <c r="C308" s="3745" t="s">
        <v>4873</v>
      </c>
      <c r="D308" s="3745"/>
      <c r="E308" s="3745"/>
      <c r="F308" s="3745"/>
      <c r="G308" s="3745"/>
      <c r="H308" s="3745"/>
      <c r="I308" s="3745"/>
      <c r="J308" s="3745"/>
      <c r="K308" s="3745"/>
      <c r="L308" s="3745"/>
      <c r="M308" s="1025"/>
      <c r="N308" s="390" t="s">
        <v>1985</v>
      </c>
      <c r="O308" s="2743"/>
      <c r="P308" s="1131"/>
      <c r="Q308" s="3863" t="s">
        <v>4191</v>
      </c>
      <c r="R308" s="3747"/>
      <c r="S308" s="3747"/>
      <c r="T308" s="1025"/>
      <c r="U308" s="1025"/>
      <c r="V308" s="1025"/>
      <c r="W308" s="1025"/>
      <c r="X308" s="1025"/>
      <c r="Y308" s="1025"/>
      <c r="Z308" s="1025"/>
      <c r="AA308" s="1025"/>
    </row>
    <row r="309" spans="1:27" s="117" customFormat="1" ht="11.25" customHeight="1">
      <c r="B309" s="888"/>
      <c r="C309" s="134" t="s">
        <v>3803</v>
      </c>
      <c r="I309" s="387" t="s">
        <v>4869</v>
      </c>
      <c r="J309" s="2744"/>
      <c r="K309" s="433" t="s">
        <v>2300</v>
      </c>
      <c r="L309" s="3878"/>
      <c r="M309" s="3879"/>
      <c r="N309" s="3879"/>
      <c r="O309" s="3879"/>
      <c r="P309" s="3880"/>
      <c r="Q309" s="3863"/>
      <c r="R309" s="3747"/>
      <c r="S309" s="3747"/>
    </row>
    <row r="310" spans="1:27" s="117" customFormat="1" ht="11.25" customHeight="1">
      <c r="B310" s="888"/>
      <c r="C310" s="134" t="s">
        <v>3858</v>
      </c>
      <c r="I310" s="387" t="s">
        <v>4869</v>
      </c>
      <c r="J310" s="2745"/>
      <c r="K310" s="433" t="s">
        <v>2300</v>
      </c>
      <c r="L310" s="3883"/>
      <c r="M310" s="3884"/>
      <c r="N310" s="3884"/>
      <c r="O310" s="3884"/>
      <c r="P310" s="3885"/>
      <c r="Q310" s="3863"/>
      <c r="R310" s="3747"/>
      <c r="S310" s="3747"/>
    </row>
    <row r="311" spans="1:27" s="117" customFormat="1" ht="11.25" customHeight="1">
      <c r="B311" s="888" t="s">
        <v>1987</v>
      </c>
      <c r="C311" s="117" t="s">
        <v>962</v>
      </c>
      <c r="M311" s="6"/>
      <c r="N311" s="174" t="s">
        <v>1987</v>
      </c>
      <c r="O311" s="2680"/>
      <c r="P311" s="940"/>
      <c r="Q311" s="3863"/>
      <c r="R311" s="3747"/>
      <c r="S311" s="3747"/>
    </row>
    <row r="312" spans="1:27" s="117" customFormat="1" ht="11.25" customHeight="1">
      <c r="B312" s="888" t="s">
        <v>2533</v>
      </c>
      <c r="C312" s="117" t="s">
        <v>963</v>
      </c>
      <c r="M312" s="6"/>
      <c r="N312" s="174" t="s">
        <v>2533</v>
      </c>
      <c r="O312" s="2672"/>
      <c r="P312" s="535"/>
      <c r="Q312" s="3863"/>
      <c r="R312" s="3747"/>
      <c r="S312" s="3747"/>
    </row>
    <row r="313" spans="1:27" s="117" customFormat="1" ht="11.25" customHeight="1">
      <c r="B313" s="888" t="s">
        <v>1223</v>
      </c>
      <c r="C313" s="134" t="s">
        <v>4874</v>
      </c>
      <c r="M313" s="6"/>
      <c r="N313" s="174" t="s">
        <v>1223</v>
      </c>
      <c r="O313" s="2672"/>
      <c r="P313" s="535"/>
      <c r="Q313" s="3863"/>
      <c r="R313" s="3747"/>
      <c r="S313" s="3747"/>
    </row>
    <row r="314" spans="1:27" s="117" customFormat="1" ht="11.25" customHeight="1">
      <c r="A314" s="508"/>
      <c r="B314" s="888" t="s">
        <v>1224</v>
      </c>
      <c r="C314" s="117" t="s">
        <v>964</v>
      </c>
      <c r="M314" s="6"/>
      <c r="N314" s="174" t="s">
        <v>1224</v>
      </c>
      <c r="O314" s="2673"/>
      <c r="P314" s="536"/>
      <c r="Q314" s="3863"/>
      <c r="R314" s="3747"/>
      <c r="S314" s="3747"/>
    </row>
    <row r="315" spans="1:27" s="32" customFormat="1" ht="11.25" customHeight="1">
      <c r="A315" s="2288" t="s">
        <v>1984</v>
      </c>
      <c r="B315" s="177" t="s">
        <v>4043</v>
      </c>
      <c r="D315" s="585"/>
      <c r="H315" s="60" t="s">
        <v>4870</v>
      </c>
    </row>
    <row r="316" spans="1:27" s="32" customFormat="1" ht="11.25" customHeight="1">
      <c r="A316" s="2288"/>
      <c r="B316" s="2108" t="s">
        <v>4875</v>
      </c>
      <c r="C316" s="2108"/>
      <c r="D316" s="2108"/>
      <c r="E316" s="2108"/>
      <c r="F316" s="2108"/>
      <c r="G316" s="2108"/>
      <c r="H316" s="2108"/>
      <c r="I316" s="2108"/>
      <c r="J316" s="2108"/>
      <c r="K316" s="2108"/>
      <c r="L316" s="2108"/>
      <c r="M316" s="581">
        <v>3</v>
      </c>
      <c r="N316" s="463" t="s">
        <v>1984</v>
      </c>
      <c r="O316" s="894">
        <f>IF(AND(O317&gt;0,O318&gt;0),"choose",IF($L$306="Flexible", MIN($M$316, SUM(O317:O318)), 0))</f>
        <v>0</v>
      </c>
      <c r="P316" s="894">
        <f>IF(AND(P317&gt;0,P318&gt;0),"choose",IF($L$306="Flexible", MIN($M$316, SUM(P317:P318)), 0))</f>
        <v>0</v>
      </c>
    </row>
    <row r="317" spans="1:27" s="32" customFormat="1" ht="11.25" customHeight="1">
      <c r="B317" s="888" t="s">
        <v>1985</v>
      </c>
      <c r="C317" s="583" t="s">
        <v>4045</v>
      </c>
      <c r="L317" s="376" t="str">
        <f>IF(OR($O317=$M317,$O317=0,$O317=""),"","* * Check Score! * *")</f>
        <v/>
      </c>
      <c r="M317" s="72">
        <v>3</v>
      </c>
      <c r="N317" s="435" t="s">
        <v>1985</v>
      </c>
      <c r="O317" s="2746"/>
      <c r="P317" s="528"/>
      <c r="Q317" s="1020" t="str">
        <f>IF(OR($O317=$M317,$O317=0,$O317=""),"","*CHECK!*")</f>
        <v/>
      </c>
      <c r="R317" s="1088" t="s">
        <v>2705</v>
      </c>
    </row>
    <row r="318" spans="1:27" ht="11.25" customHeight="1">
      <c r="A318" s="584"/>
      <c r="B318" s="586" t="s">
        <v>1987</v>
      </c>
      <c r="C318" s="439" t="s">
        <v>3606</v>
      </c>
      <c r="D318" s="32"/>
      <c r="E318" s="32"/>
      <c r="F318" s="32"/>
      <c r="G318" s="39"/>
      <c r="H318" s="60"/>
      <c r="I318" s="39"/>
      <c r="L318" s="376" t="str">
        <f>IF(OR($O318=$M318,$O318=0,$O318=""),"","* * Check Score! * *")</f>
        <v/>
      </c>
      <c r="M318" s="80">
        <v>2</v>
      </c>
      <c r="N318" s="892" t="s">
        <v>1987</v>
      </c>
      <c r="O318" s="2707"/>
      <c r="P318" s="530"/>
      <c r="Q318" s="1020" t="str">
        <f>IF(OR($O318=$M318,$O318=0,$O318=""),"","*CHECK!*")</f>
        <v/>
      </c>
      <c r="R318" s="1088" t="s">
        <v>2705</v>
      </c>
    </row>
    <row r="319" spans="1:27" s="32" customFormat="1" ht="11.25" customHeight="1">
      <c r="A319" s="2288" t="s">
        <v>748</v>
      </c>
      <c r="B319" s="177" t="s">
        <v>4044</v>
      </c>
      <c r="D319" s="585"/>
      <c r="H319" s="60" t="s">
        <v>4871</v>
      </c>
    </row>
    <row r="320" spans="1:27" s="32" customFormat="1" ht="11.25" customHeight="1">
      <c r="A320" s="2288"/>
      <c r="B320" s="891" t="s">
        <v>3608</v>
      </c>
      <c r="D320" s="585"/>
      <c r="H320" s="60"/>
      <c r="M320" s="581">
        <v>4</v>
      </c>
      <c r="N320" s="463" t="s">
        <v>748</v>
      </c>
      <c r="O320" s="894">
        <f>IF(OR(AND(O321&gt;0,O322&gt;0,O323&gt;0),AND(O321&gt;0,O322&gt;0),AND(O321&gt;0,O323&gt;0),AND(O322&gt;0,O323&gt;0)),"choose",IF($L$306="Rural", MIN($M$320, SUM(O321:O323)), 0))</f>
        <v>0</v>
      </c>
      <c r="P320" s="894">
        <f>IF($L$306="Rural", MIN($M$320, SUM(P321:P323)), 0)</f>
        <v>0</v>
      </c>
    </row>
    <row r="321" spans="1:21" s="32" customFormat="1" ht="11.25" customHeight="1">
      <c r="B321" s="888" t="s">
        <v>1985</v>
      </c>
      <c r="C321" s="431" t="s">
        <v>3607</v>
      </c>
      <c r="K321" s="3882" t="str">
        <f>IF(OR(AND(O321&gt;0,O323&gt;0), AND(O322&gt;0,O323&gt;0), AND(O321&gt;0,O322&gt;0)),"Choose option 1 or 2 or 3!!!","")</f>
        <v/>
      </c>
      <c r="L321" s="3882"/>
      <c r="M321" s="72">
        <v>4</v>
      </c>
      <c r="N321" s="435" t="s">
        <v>1985</v>
      </c>
      <c r="O321" s="2746"/>
      <c r="P321" s="528"/>
      <c r="Q321" s="1020" t="str">
        <f>IF(OR($O321=$M321,$O321=0,$O321=""),"","*CHECK!*")</f>
        <v/>
      </c>
      <c r="R321" s="1088" t="s">
        <v>2705</v>
      </c>
    </row>
    <row r="322" spans="1:21" ht="11.25" customHeight="1">
      <c r="A322" s="584"/>
      <c r="B322" s="586" t="s">
        <v>1987</v>
      </c>
      <c r="C322" s="583" t="s">
        <v>4046</v>
      </c>
      <c r="D322" s="32"/>
      <c r="E322" s="32"/>
      <c r="F322" s="32"/>
      <c r="G322" s="39"/>
      <c r="H322" s="893"/>
      <c r="I322" s="39"/>
      <c r="K322" s="3882"/>
      <c r="L322" s="3882"/>
      <c r="M322" s="80">
        <v>3</v>
      </c>
      <c r="N322" s="892" t="s">
        <v>1987</v>
      </c>
      <c r="O322" s="2706"/>
      <c r="P322" s="529"/>
      <c r="Q322" s="1020" t="str">
        <f>IF(OR($O322=$M322,$O322=0,$O322=""),"","*CHECK!*")</f>
        <v/>
      </c>
      <c r="R322" s="1088" t="s">
        <v>2705</v>
      </c>
    </row>
    <row r="323" spans="1:21" ht="11.25" customHeight="1">
      <c r="A323" s="584"/>
      <c r="B323" s="586" t="s">
        <v>2533</v>
      </c>
      <c r="C323" s="439" t="s">
        <v>3609</v>
      </c>
      <c r="D323" s="32"/>
      <c r="E323" s="32"/>
      <c r="F323" s="32"/>
      <c r="G323" s="39"/>
      <c r="H323" s="60"/>
      <c r="I323" s="39"/>
      <c r="K323" s="3882"/>
      <c r="L323" s="3882"/>
      <c r="M323" s="80">
        <v>2</v>
      </c>
      <c r="N323" s="892" t="s">
        <v>2533</v>
      </c>
      <c r="O323" s="2707"/>
      <c r="P323" s="530"/>
      <c r="Q323" s="1020" t="str">
        <f>IF(OR($O323=$M323,$O323=0,$O323=""),"","*CHECK!*")</f>
        <v/>
      </c>
      <c r="R323" s="1088" t="s">
        <v>2705</v>
      </c>
    </row>
    <row r="324" spans="1:21" s="42" customFormat="1" ht="10.5" customHeight="1" thickBot="1">
      <c r="A324" s="41"/>
      <c r="B324" s="1206" t="s">
        <v>3752</v>
      </c>
      <c r="C324" s="41"/>
      <c r="D324" s="47"/>
      <c r="E324" s="47"/>
      <c r="F324" s="47"/>
      <c r="G324" s="47"/>
      <c r="H324" s="35"/>
      <c r="I324" s="35"/>
      <c r="J324" s="35"/>
      <c r="K324" s="35"/>
      <c r="M324" s="45"/>
      <c r="N324" s="61"/>
      <c r="O324" s="2"/>
      <c r="P324" s="2290"/>
    </row>
    <row r="325" spans="1:21" s="42" customFormat="1" ht="21.75" customHeight="1" thickTop="1" thickBot="1">
      <c r="A325" s="3818"/>
      <c r="B325" s="3819"/>
      <c r="C325" s="3819"/>
      <c r="D325" s="3819"/>
      <c r="E325" s="3819"/>
      <c r="F325" s="3819"/>
      <c r="G325" s="3819"/>
      <c r="H325" s="3819"/>
      <c r="I325" s="3819"/>
      <c r="J325" s="3819"/>
      <c r="K325" s="3819"/>
      <c r="L325" s="3819"/>
      <c r="M325" s="3819"/>
      <c r="N325" s="3819"/>
      <c r="O325" s="3819"/>
      <c r="P325" s="3820"/>
      <c r="Q325" s="1074" t="s">
        <v>1253</v>
      </c>
    </row>
    <row r="326" spans="1:21" s="42" customFormat="1" ht="10.5" customHeight="1" thickTop="1">
      <c r="B326" s="85" t="s">
        <v>1865</v>
      </c>
      <c r="C326" s="98"/>
      <c r="D326" s="85"/>
      <c r="E326" s="99"/>
      <c r="F326" s="2291"/>
      <c r="G326" s="2291"/>
      <c r="H326" s="2291"/>
      <c r="I326" s="2291"/>
      <c r="J326" s="2291"/>
      <c r="K326" s="2291"/>
      <c r="L326" s="2291"/>
      <c r="M326" s="2291"/>
      <c r="N326" s="74"/>
      <c r="O326" s="70"/>
      <c r="P326" s="2287"/>
      <c r="Q326" s="426"/>
    </row>
    <row r="327" spans="1:21" s="42" customFormat="1" ht="11.25" customHeight="1">
      <c r="A327" s="3487"/>
      <c r="B327" s="3488"/>
      <c r="C327" s="3488"/>
      <c r="D327" s="3488"/>
      <c r="E327" s="3488"/>
      <c r="F327" s="3488"/>
      <c r="G327" s="3488"/>
      <c r="H327" s="3488"/>
      <c r="I327" s="3488"/>
      <c r="J327" s="3488"/>
      <c r="K327" s="3488"/>
      <c r="L327" s="3488"/>
      <c r="M327" s="3488"/>
      <c r="N327" s="3488"/>
      <c r="O327" s="3488"/>
      <c r="P327" s="3489"/>
      <c r="Q327" s="445"/>
    </row>
    <row r="328" spans="1:21" ht="1.5" customHeight="1" thickBot="1">
      <c r="B328" s="116"/>
      <c r="C328" s="116"/>
      <c r="D328" s="116"/>
      <c r="E328" s="116"/>
      <c r="T328" s="1070"/>
      <c r="U328" s="1070"/>
    </row>
    <row r="329" spans="1:21" s="42" customFormat="1" ht="12" customHeight="1" thickBot="1">
      <c r="A329" s="152" t="s">
        <v>364</v>
      </c>
      <c r="B329" s="106" t="s">
        <v>2825</v>
      </c>
      <c r="C329" s="53"/>
      <c r="D329" s="115"/>
      <c r="E329" s="115"/>
      <c r="F329" s="40"/>
      <c r="H329" s="60" t="s">
        <v>400</v>
      </c>
      <c r="K329" s="47"/>
      <c r="M329" s="2287">
        <v>4</v>
      </c>
      <c r="N329" s="5"/>
      <c r="O329" s="1090">
        <f>IF(AND(O330&gt;0,O334&gt;0),"AorB?",MIN($M329,SUM(O330,O334,O336)))</f>
        <v>0</v>
      </c>
      <c r="P329" s="1090">
        <f>IF(AND(P330&gt;0,P334&gt;0),"AorB?",MIN($M329,SUM(P330,P334,P336)))</f>
        <v>0</v>
      </c>
      <c r="Q329" s="109" t="s">
        <v>441</v>
      </c>
      <c r="T329" s="1070"/>
      <c r="U329" s="1070"/>
    </row>
    <row r="330" spans="1:21" s="102" customFormat="1" ht="11.25" customHeight="1">
      <c r="A330" s="138" t="s">
        <v>1982</v>
      </c>
      <c r="B330" s="165" t="s">
        <v>2232</v>
      </c>
      <c r="D330" s="60"/>
      <c r="E330" s="60"/>
      <c r="F330" s="43"/>
      <c r="G330" s="26"/>
      <c r="L330" s="376"/>
      <c r="M330" s="6">
        <v>3</v>
      </c>
      <c r="N330" s="463" t="s">
        <v>1982</v>
      </c>
      <c r="O330" s="2109">
        <f>IF(OR(AND(O331="Yes",O332="Yes",O333="Yes"),AND(O331="Yes",O333="Yes"),AND(O332="Yes",O333="Yes"),AND(O331="Yes",O332="Yes")),"choose",IF(O331="Yes",$M$331,IF(O332="Yes",$M$332, IF(O333="Yes",$M$333,0))))</f>
        <v>0</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1985</v>
      </c>
      <c r="C331" s="39" t="s">
        <v>4876</v>
      </c>
      <c r="D331" s="60"/>
      <c r="E331" s="60"/>
      <c r="F331" s="43"/>
      <c r="G331" s="26"/>
      <c r="L331" s="376"/>
      <c r="M331" s="6">
        <v>3</v>
      </c>
      <c r="N331" s="435" t="s">
        <v>1985</v>
      </c>
      <c r="O331" s="2671"/>
      <c r="P331" s="534"/>
      <c r="Q331" s="1020"/>
      <c r="R331" s="1088"/>
      <c r="T331" s="1070"/>
      <c r="U331" s="1070"/>
    </row>
    <row r="332" spans="1:21" s="102" customFormat="1" ht="11.25" customHeight="1">
      <c r="A332" s="138"/>
      <c r="B332" s="586" t="s">
        <v>1987</v>
      </c>
      <c r="C332" s="39" t="s">
        <v>4877</v>
      </c>
      <c r="D332" s="60"/>
      <c r="E332" s="60"/>
      <c r="F332" s="43"/>
      <c r="G332" s="26"/>
      <c r="L332" s="376"/>
      <c r="M332" s="6">
        <v>2</v>
      </c>
      <c r="N332" s="892" t="s">
        <v>1987</v>
      </c>
      <c r="O332" s="2672"/>
      <c r="P332" s="535"/>
      <c r="Q332" s="1020"/>
      <c r="R332" s="1088"/>
      <c r="T332" s="1070"/>
      <c r="U332" s="1070"/>
    </row>
    <row r="333" spans="1:21" s="102" customFormat="1" ht="10.5" customHeight="1">
      <c r="A333" s="138"/>
      <c r="B333" s="586" t="s">
        <v>2533</v>
      </c>
      <c r="C333" s="39" t="s">
        <v>4878</v>
      </c>
      <c r="D333" s="60"/>
      <c r="E333" s="60"/>
      <c r="F333" s="43"/>
      <c r="G333" s="26"/>
      <c r="K333" s="463"/>
      <c r="M333" s="6">
        <v>1</v>
      </c>
      <c r="N333" s="892" t="s">
        <v>2533</v>
      </c>
      <c r="O333" s="2673"/>
      <c r="P333" s="536"/>
      <c r="R333" s="389"/>
      <c r="T333" s="1070"/>
      <c r="U333" s="1070"/>
    </row>
    <row r="334" spans="1:21" s="42" customFormat="1" ht="11.25" customHeight="1">
      <c r="A334" s="138" t="s">
        <v>1984</v>
      </c>
      <c r="B334" s="165" t="s">
        <v>2233</v>
      </c>
      <c r="D334" s="56"/>
      <c r="K334" s="51"/>
      <c r="L334" s="376" t="str">
        <f>IF(OR($O334=$M334,$O334=0,$O334=""),"","* * Check Score! * *")</f>
        <v/>
      </c>
      <c r="M334" s="6">
        <v>1</v>
      </c>
      <c r="N334" s="463" t="s">
        <v>1984</v>
      </c>
      <c r="O334" s="1147">
        <f>IF(O335="Yes",$M$334,0)</f>
        <v>0</v>
      </c>
      <c r="P334" s="1147">
        <f>IF(P335="Yes",$M$334,0)</f>
        <v>0</v>
      </c>
      <c r="Q334" s="1020" t="str">
        <f>IF(OR($O334=$M334,$O334=0,$O334=""),"","*CHECK!*")</f>
        <v/>
      </c>
      <c r="R334" s="1088" t="s">
        <v>2705</v>
      </c>
      <c r="T334" s="1070"/>
      <c r="U334" s="1070"/>
    </row>
    <row r="335" spans="1:21" s="42" customFormat="1" ht="21.75" customHeight="1">
      <c r="A335" s="153"/>
      <c r="B335" s="3566" t="s">
        <v>4880</v>
      </c>
      <c r="C335" s="3566"/>
      <c r="D335" s="3566"/>
      <c r="E335" s="3566"/>
      <c r="F335" s="3566"/>
      <c r="G335" s="3566"/>
      <c r="H335" s="3566"/>
      <c r="I335" s="3566"/>
      <c r="J335" s="3566"/>
      <c r="K335" s="3566"/>
      <c r="L335" s="3566"/>
      <c r="M335" s="6"/>
      <c r="N335" s="463"/>
      <c r="O335" s="2747"/>
      <c r="P335" s="1212"/>
      <c r="Q335" s="389"/>
      <c r="R335" s="376"/>
      <c r="T335" s="1070"/>
      <c r="U335" s="1070"/>
    </row>
    <row r="336" spans="1:21" s="42" customFormat="1" ht="11.25" customHeight="1">
      <c r="A336" s="138" t="s">
        <v>748</v>
      </c>
      <c r="B336" s="165" t="s">
        <v>4879</v>
      </c>
      <c r="D336" s="56"/>
      <c r="H336" s="172"/>
      <c r="K336" s="51"/>
      <c r="L336" s="376"/>
      <c r="M336" s="6">
        <v>1</v>
      </c>
      <c r="N336" s="463" t="s">
        <v>748</v>
      </c>
      <c r="O336" s="1147">
        <f>IF(O330=0,0,IF(O337="Yes",$M$336,0))</f>
        <v>0</v>
      </c>
      <c r="P336" s="1147">
        <f>IF(P330=0,0,IF(P337="Yes",$M$336,0))</f>
        <v>0</v>
      </c>
      <c r="Q336" s="1020" t="str">
        <f>IF(OR($O336=$M336,$O336=0,$O336=""),"","*CHECK!*")</f>
        <v/>
      </c>
      <c r="R336" s="1088" t="s">
        <v>2705</v>
      </c>
      <c r="T336" s="1070"/>
      <c r="U336" s="1070"/>
    </row>
    <row r="337" spans="1:21" s="42" customFormat="1" ht="33.75" customHeight="1">
      <c r="B337" s="3486" t="s">
        <v>5031</v>
      </c>
      <c r="C337" s="3486"/>
      <c r="D337" s="3486"/>
      <c r="E337" s="3486"/>
      <c r="F337" s="3486"/>
      <c r="G337" s="3486"/>
      <c r="H337" s="3486"/>
      <c r="I337" s="3486"/>
      <c r="J337" s="3486"/>
      <c r="K337" s="3486"/>
      <c r="L337" s="3486"/>
      <c r="M337" s="6"/>
      <c r="N337" s="463"/>
      <c r="O337" s="2684"/>
      <c r="P337" s="2303"/>
      <c r="Q337" s="389"/>
      <c r="R337" s="376"/>
      <c r="T337" s="1070"/>
      <c r="U337" s="1070"/>
    </row>
    <row r="338" spans="1:21" s="42" customFormat="1" ht="22.5" customHeight="1">
      <c r="B338" s="3486" t="s">
        <v>5032</v>
      </c>
      <c r="C338" s="3486"/>
      <c r="D338" s="3486"/>
      <c r="E338" s="3486"/>
      <c r="F338" s="3486"/>
      <c r="G338" s="3486"/>
      <c r="H338" s="3486"/>
      <c r="I338" s="3486"/>
      <c r="J338" s="3486"/>
      <c r="K338" s="3486"/>
      <c r="L338" s="3486"/>
      <c r="M338" s="6"/>
      <c r="N338" s="6"/>
      <c r="O338" s="6"/>
      <c r="P338" s="6"/>
      <c r="Q338" s="389"/>
      <c r="R338" s="376"/>
      <c r="T338" s="1070"/>
      <c r="U338" s="1070"/>
    </row>
    <row r="339" spans="1:21" s="42" customFormat="1" ht="10.5" customHeight="1">
      <c r="A339" s="41"/>
      <c r="B339" s="85" t="s">
        <v>1865</v>
      </c>
      <c r="C339" s="98"/>
      <c r="D339" s="85"/>
      <c r="E339" s="99"/>
      <c r="F339" s="2291"/>
      <c r="G339" s="2291"/>
      <c r="H339" s="2291"/>
      <c r="I339" s="2291"/>
      <c r="J339" s="2291"/>
      <c r="K339" s="2291"/>
      <c r="L339" s="2291"/>
      <c r="M339" s="2291"/>
      <c r="N339" s="74"/>
      <c r="O339" s="70"/>
      <c r="P339" s="2287"/>
      <c r="Q339" s="426"/>
    </row>
    <row r="340" spans="1:21" s="42" customFormat="1" ht="11.25" customHeight="1">
      <c r="A340" s="3487"/>
      <c r="B340" s="3488"/>
      <c r="C340" s="3488"/>
      <c r="D340" s="3488"/>
      <c r="E340" s="3488"/>
      <c r="F340" s="3488"/>
      <c r="G340" s="3488"/>
      <c r="H340" s="3488"/>
      <c r="I340" s="3488"/>
      <c r="J340" s="3488"/>
      <c r="K340" s="3488"/>
      <c r="L340" s="3488"/>
      <c r="M340" s="3488"/>
      <c r="N340" s="3488"/>
      <c r="O340" s="3488"/>
      <c r="P340" s="3489"/>
      <c r="Q340" s="445"/>
    </row>
    <row r="341" spans="1:21" s="42" customFormat="1" ht="1.5" customHeight="1" thickBot="1">
      <c r="A341" s="41"/>
      <c r="B341" s="41"/>
      <c r="C341" s="2291"/>
      <c r="D341" s="2291"/>
      <c r="E341" s="2291"/>
      <c r="F341" s="2291"/>
      <c r="G341" s="2291"/>
      <c r="H341" s="2291"/>
      <c r="I341" s="2291"/>
      <c r="J341" s="2291"/>
      <c r="K341" s="2291"/>
      <c r="L341" s="2291"/>
      <c r="M341" s="2291"/>
      <c r="N341" s="74"/>
      <c r="O341" s="70"/>
      <c r="P341" s="887"/>
    </row>
    <row r="342" spans="1:21" s="42" customFormat="1" ht="12" customHeight="1" thickBot="1">
      <c r="A342" s="153" t="s">
        <v>1725</v>
      </c>
      <c r="B342" s="106" t="s">
        <v>4049</v>
      </c>
      <c r="C342" s="87"/>
      <c r="D342" s="57"/>
      <c r="E342" s="51"/>
      <c r="G342" s="54"/>
      <c r="M342" s="2287">
        <v>2</v>
      </c>
      <c r="N342" s="5"/>
      <c r="O342" s="5"/>
      <c r="P342" s="1136">
        <f>P343+P351</f>
        <v>0</v>
      </c>
      <c r="Q342" s="109" t="s">
        <v>441</v>
      </c>
    </row>
    <row r="343" spans="1:21" s="42" customFormat="1" ht="12" customHeight="1">
      <c r="A343" s="138" t="s">
        <v>1982</v>
      </c>
      <c r="B343" s="165" t="s">
        <v>4050</v>
      </c>
      <c r="C343" s="87"/>
      <c r="D343" s="57"/>
      <c r="E343" s="51"/>
      <c r="G343" s="487">
        <f>'Part VIII-Threshold Criteria'!I361</f>
        <v>0</v>
      </c>
      <c r="J343" s="39" t="s">
        <v>2685</v>
      </c>
      <c r="L343" s="35"/>
      <c r="N343" s="463" t="s">
        <v>1982</v>
      </c>
      <c r="O343" s="462" t="str">
        <f>'Part I-Project Information'!$H$100</f>
        <v>No</v>
      </c>
      <c r="P343" s="531"/>
      <c r="Q343" s="109"/>
      <c r="R343" s="1088" t="s">
        <v>2705</v>
      </c>
    </row>
    <row r="344" spans="1:21" s="102" customFormat="1" ht="10.5" customHeight="1">
      <c r="A344" s="138"/>
      <c r="B344" s="374" t="s">
        <v>1985</v>
      </c>
      <c r="C344" s="35" t="s">
        <v>4951</v>
      </c>
      <c r="D344" s="32"/>
      <c r="N344" s="435" t="s">
        <v>4953</v>
      </c>
      <c r="O344" s="2671"/>
      <c r="P344" s="534"/>
      <c r="R344" s="376"/>
    </row>
    <row r="345" spans="1:21" s="102" customFormat="1" ht="10.5" customHeight="1">
      <c r="A345" s="138"/>
      <c r="B345" s="374"/>
      <c r="C345" s="35" t="s">
        <v>4952</v>
      </c>
      <c r="D345" s="32"/>
      <c r="N345" s="435" t="s">
        <v>4954</v>
      </c>
      <c r="O345" s="2672"/>
      <c r="P345" s="535"/>
      <c r="R345" s="376"/>
    </row>
    <row r="346" spans="1:21" s="102" customFormat="1" ht="10.5" customHeight="1">
      <c r="A346" s="138"/>
      <c r="B346" s="374" t="s">
        <v>1987</v>
      </c>
      <c r="C346" s="35" t="s">
        <v>4067</v>
      </c>
      <c r="D346" s="32"/>
      <c r="N346" s="892" t="s">
        <v>1987</v>
      </c>
      <c r="O346" s="2672"/>
      <c r="P346" s="535"/>
      <c r="R346" s="376"/>
    </row>
    <row r="347" spans="1:21" s="102" customFormat="1" ht="10.5" customHeight="1">
      <c r="A347" s="138"/>
      <c r="B347" s="374" t="s">
        <v>2533</v>
      </c>
      <c r="C347" s="35" t="s">
        <v>4955</v>
      </c>
      <c r="D347" s="32"/>
      <c r="N347" s="892" t="s">
        <v>2533</v>
      </c>
      <c r="O347" s="2672"/>
      <c r="P347" s="535"/>
      <c r="R347" s="376"/>
    </row>
    <row r="348" spans="1:21" s="102" customFormat="1" ht="10.5" customHeight="1">
      <c r="B348" s="374" t="s">
        <v>1223</v>
      </c>
      <c r="C348" s="35" t="s">
        <v>4881</v>
      </c>
      <c r="D348" s="32"/>
      <c r="N348" s="892" t="s">
        <v>1223</v>
      </c>
      <c r="O348" s="2672"/>
      <c r="P348" s="535"/>
      <c r="R348" s="376"/>
    </row>
    <row r="349" spans="1:21" s="102" customFormat="1" ht="10.5" customHeight="1">
      <c r="A349" s="138"/>
      <c r="B349" s="374" t="s">
        <v>1224</v>
      </c>
      <c r="C349" s="35" t="s">
        <v>4882</v>
      </c>
      <c r="D349" s="32"/>
      <c r="N349" s="892" t="s">
        <v>1224</v>
      </c>
      <c r="O349" s="2672"/>
      <c r="P349" s="535"/>
      <c r="R349" s="376"/>
    </row>
    <row r="350" spans="1:21" s="102" customFormat="1" ht="10.5" customHeight="1">
      <c r="A350" s="138"/>
      <c r="B350" s="374" t="s">
        <v>1880</v>
      </c>
      <c r="C350" s="35" t="s">
        <v>4068</v>
      </c>
      <c r="D350" s="32"/>
      <c r="N350" s="892" t="s">
        <v>1880</v>
      </c>
      <c r="O350" s="2673"/>
      <c r="P350" s="536"/>
      <c r="R350" s="376"/>
    </row>
    <row r="351" spans="1:21" s="42" customFormat="1" ht="12" customHeight="1">
      <c r="A351" s="138" t="s">
        <v>1984</v>
      </c>
      <c r="B351" s="165" t="s">
        <v>4051</v>
      </c>
      <c r="C351" s="87"/>
      <c r="D351" s="57"/>
      <c r="E351" s="51"/>
      <c r="G351" s="487">
        <f>'Part I-Project Information'!D165</f>
        <v>0</v>
      </c>
      <c r="I351" s="487"/>
      <c r="L351" s="1174"/>
      <c r="M351" s="1174"/>
      <c r="N351" s="463" t="s">
        <v>1984</v>
      </c>
      <c r="P351" s="531"/>
      <c r="Q351" s="109"/>
      <c r="R351" s="1088" t="s">
        <v>2705</v>
      </c>
    </row>
    <row r="352" spans="1:21" s="102" customFormat="1" ht="10.5" customHeight="1">
      <c r="A352" s="153"/>
      <c r="B352" s="374" t="s">
        <v>1985</v>
      </c>
      <c r="C352" s="35" t="s">
        <v>4951</v>
      </c>
      <c r="D352" s="51"/>
      <c r="E352" s="51"/>
      <c r="M352" s="2287"/>
      <c r="N352" s="435" t="s">
        <v>4953</v>
      </c>
      <c r="O352" s="2671"/>
      <c r="P352" s="534"/>
      <c r="Q352" s="109"/>
    </row>
    <row r="353" spans="1:18" s="102" customFormat="1" ht="10.5" customHeight="1">
      <c r="A353" s="138"/>
      <c r="B353" s="374"/>
      <c r="C353" s="35" t="s">
        <v>4956</v>
      </c>
      <c r="D353" s="32"/>
      <c r="N353" s="435" t="s">
        <v>4954</v>
      </c>
      <c r="O353" s="2672"/>
      <c r="P353" s="535"/>
      <c r="R353" s="376"/>
    </row>
    <row r="354" spans="1:18" s="102" customFormat="1" ht="10.5" customHeight="1">
      <c r="A354" s="138"/>
      <c r="B354" s="374" t="s">
        <v>1987</v>
      </c>
      <c r="C354" s="35" t="s">
        <v>4080</v>
      </c>
      <c r="D354" s="32"/>
      <c r="N354" s="892" t="s">
        <v>1987</v>
      </c>
      <c r="O354" s="2672"/>
      <c r="P354" s="535"/>
      <c r="R354" s="376"/>
    </row>
    <row r="355" spans="1:18" s="102" customFormat="1" ht="10.5" customHeight="1">
      <c r="B355" s="374" t="s">
        <v>2533</v>
      </c>
      <c r="C355" s="35" t="s">
        <v>4068</v>
      </c>
      <c r="D355" s="32"/>
      <c r="N355" s="892" t="s">
        <v>2533</v>
      </c>
      <c r="O355" s="2673"/>
      <c r="P355" s="536"/>
      <c r="R355" s="376"/>
    </row>
    <row r="356" spans="1:18" s="42" customFormat="1" ht="10.5" customHeight="1">
      <c r="B356" s="85" t="s">
        <v>1865</v>
      </c>
      <c r="C356" s="98"/>
      <c r="D356" s="85"/>
      <c r="E356" s="99"/>
      <c r="F356" s="2291"/>
      <c r="G356" s="2291"/>
      <c r="H356" s="2291"/>
      <c r="I356" s="2291"/>
      <c r="J356" s="2291"/>
      <c r="K356" s="2291"/>
      <c r="L356" s="2291"/>
      <c r="M356" s="2291"/>
      <c r="N356" s="74"/>
      <c r="O356" s="70"/>
      <c r="P356" s="2287"/>
      <c r="Q356" s="426"/>
    </row>
    <row r="357" spans="1:18" s="42" customFormat="1" ht="11.25" customHeight="1">
      <c r="A357" s="3487"/>
      <c r="B357" s="3488"/>
      <c r="C357" s="3488"/>
      <c r="D357" s="3488"/>
      <c r="E357" s="3488"/>
      <c r="F357" s="3488"/>
      <c r="G357" s="3488"/>
      <c r="H357" s="3488"/>
      <c r="I357" s="3488"/>
      <c r="J357" s="3488"/>
      <c r="K357" s="3488"/>
      <c r="L357" s="3488"/>
      <c r="M357" s="3488"/>
      <c r="N357" s="3488"/>
      <c r="O357" s="3488"/>
      <c r="P357" s="3489"/>
      <c r="Q357" s="445"/>
    </row>
    <row r="358" spans="1:18" ht="2.25" customHeight="1" thickBot="1"/>
    <row r="359" spans="1:18" s="62" customFormat="1" ht="12.6" customHeight="1" thickBot="1">
      <c r="A359" s="153" t="s">
        <v>2780</v>
      </c>
      <c r="B359" s="105" t="s">
        <v>4052</v>
      </c>
      <c r="H359" s="463" t="s">
        <v>3574</v>
      </c>
      <c r="I359" s="2313" t="str">
        <f>'Part I-Project Information'!$H$105</f>
        <v>Rural</v>
      </c>
      <c r="J359" s="2069"/>
      <c r="L359" s="376" t="str">
        <f>IF(OR($O359=$M359,$O359=0,$O359=""),"","* * Check Score! * *")</f>
        <v/>
      </c>
      <c r="M359" s="2287">
        <v>1</v>
      </c>
      <c r="N359" s="395"/>
      <c r="O359" s="2748">
        <v>1</v>
      </c>
      <c r="P359" s="1139"/>
      <c r="Q359" s="109" t="s">
        <v>441</v>
      </c>
    </row>
    <row r="360" spans="1:18" s="62" customFormat="1" ht="12" customHeight="1">
      <c r="C360" s="898"/>
      <c r="D360" s="898"/>
      <c r="E360" s="898"/>
      <c r="F360" s="898"/>
      <c r="G360" s="898"/>
      <c r="H360" s="898"/>
      <c r="I360" s="3876" t="s">
        <v>4883</v>
      </c>
      <c r="J360" s="3876"/>
      <c r="K360" s="3876"/>
      <c r="L360" s="3876"/>
      <c r="M360" s="3876"/>
      <c r="N360" s="3876"/>
      <c r="O360" s="3876"/>
      <c r="P360" s="3876"/>
      <c r="R360" s="376"/>
    </row>
    <row r="361" spans="1:18" s="62" customFormat="1" ht="12" customHeight="1">
      <c r="A361" s="898"/>
      <c r="B361" s="3486" t="s">
        <v>4926</v>
      </c>
      <c r="C361" s="3486"/>
      <c r="D361" s="3486"/>
      <c r="E361" s="3486"/>
      <c r="F361" s="3486"/>
      <c r="G361" s="3486"/>
      <c r="H361" s="3562"/>
      <c r="I361" s="3874">
        <v>1</v>
      </c>
      <c r="J361" s="3874"/>
      <c r="K361" s="3874"/>
      <c r="L361" s="3874">
        <v>4</v>
      </c>
      <c r="M361" s="3874"/>
      <c r="N361" s="3874"/>
      <c r="O361" s="3874"/>
      <c r="P361" s="3874"/>
      <c r="R361" s="376"/>
    </row>
    <row r="362" spans="1:18" s="62" customFormat="1" ht="12" customHeight="1">
      <c r="A362" s="898"/>
      <c r="B362" s="3486"/>
      <c r="C362" s="3486"/>
      <c r="D362" s="3486"/>
      <c r="E362" s="3486"/>
      <c r="F362" s="3486"/>
      <c r="G362" s="3486"/>
      <c r="H362" s="3562"/>
      <c r="I362" s="3875">
        <v>2</v>
      </c>
      <c r="J362" s="3875"/>
      <c r="K362" s="3875"/>
      <c r="L362" s="3875">
        <v>5</v>
      </c>
      <c r="M362" s="3875"/>
      <c r="N362" s="3875"/>
      <c r="O362" s="3875"/>
      <c r="P362" s="3875"/>
      <c r="R362" s="376"/>
    </row>
    <row r="363" spans="1:18" s="62" customFormat="1" ht="12" customHeight="1">
      <c r="A363" s="2291"/>
      <c r="B363" s="3486"/>
      <c r="C363" s="3486"/>
      <c r="D363" s="3486"/>
      <c r="E363" s="3486"/>
      <c r="F363" s="3486"/>
      <c r="G363" s="3486"/>
      <c r="H363" s="3562"/>
      <c r="I363" s="3743">
        <v>3</v>
      </c>
      <c r="J363" s="3743"/>
      <c r="K363" s="3743"/>
      <c r="L363" s="3743">
        <v>6</v>
      </c>
      <c r="M363" s="3743"/>
      <c r="N363" s="3743"/>
      <c r="O363" s="3743"/>
      <c r="P363" s="3743"/>
      <c r="R363" s="376"/>
    </row>
    <row r="364" spans="1:18" s="102" customFormat="1" ht="10.5" customHeight="1" thickBot="1">
      <c r="A364" s="41"/>
      <c r="B364" s="1206" t="s">
        <v>3752</v>
      </c>
      <c r="C364" s="41"/>
      <c r="D364" s="47"/>
      <c r="E364" s="47"/>
      <c r="F364" s="47"/>
      <c r="G364" s="47"/>
      <c r="H364" s="35"/>
      <c r="I364" s="35"/>
      <c r="J364" s="35"/>
      <c r="K364" s="35"/>
      <c r="M364" s="45"/>
      <c r="N364" s="5"/>
      <c r="O364" s="2"/>
      <c r="P364" s="2287"/>
    </row>
    <row r="365" spans="1:18" s="42" customFormat="1" ht="21.75" customHeight="1" thickTop="1" thickBot="1">
      <c r="A365" s="3818" t="s">
        <v>5301</v>
      </c>
      <c r="B365" s="3819"/>
      <c r="C365" s="3819"/>
      <c r="D365" s="3819"/>
      <c r="E365" s="3819"/>
      <c r="F365" s="3819"/>
      <c r="G365" s="3819"/>
      <c r="H365" s="3819"/>
      <c r="I365" s="3819"/>
      <c r="J365" s="3819"/>
      <c r="K365" s="3819"/>
      <c r="L365" s="3819"/>
      <c r="M365" s="3819"/>
      <c r="N365" s="3819"/>
      <c r="O365" s="3819"/>
      <c r="P365" s="3820"/>
      <c r="Q365" s="1074" t="s">
        <v>1253</v>
      </c>
    </row>
    <row r="366" spans="1:18" s="102" customFormat="1" ht="10.5" customHeight="1" thickTop="1">
      <c r="A366" s="41"/>
      <c r="B366" s="97" t="s">
        <v>1865</v>
      </c>
      <c r="C366" s="41"/>
      <c r="D366" s="97"/>
      <c r="E366" s="2296"/>
      <c r="F366" s="2296"/>
      <c r="G366" s="2296"/>
      <c r="H366" s="2296"/>
      <c r="I366" s="2296"/>
      <c r="J366" s="2296"/>
      <c r="K366" s="2296"/>
      <c r="L366" s="2296"/>
      <c r="M366" s="2296"/>
      <c r="N366" s="93"/>
      <c r="O366" s="872"/>
      <c r="P366" s="2287"/>
      <c r="Q366" s="426"/>
    </row>
    <row r="367" spans="1:18" s="42" customFormat="1" ht="11.25" customHeight="1">
      <c r="A367" s="3487"/>
      <c r="B367" s="3488"/>
      <c r="C367" s="3488"/>
      <c r="D367" s="3488"/>
      <c r="E367" s="3488"/>
      <c r="F367" s="3488"/>
      <c r="G367" s="3488"/>
      <c r="H367" s="3488"/>
      <c r="I367" s="3488"/>
      <c r="J367" s="3488"/>
      <c r="K367" s="3488"/>
      <c r="L367" s="3488"/>
      <c r="M367" s="3488"/>
      <c r="N367" s="3488"/>
      <c r="O367" s="3488"/>
      <c r="P367" s="3489"/>
      <c r="Q367" s="445"/>
    </row>
    <row r="368" spans="1:18" s="42" customFormat="1" ht="2.25" customHeight="1" thickBot="1">
      <c r="A368" s="41"/>
      <c r="C368" s="2291"/>
      <c r="D368" s="2291"/>
      <c r="E368" s="2291"/>
      <c r="F368" s="2291"/>
      <c r="G368" s="2291"/>
      <c r="H368" s="2291"/>
      <c r="I368" s="2291"/>
      <c r="J368" s="2291"/>
      <c r="K368" s="2291"/>
      <c r="L368" s="2291"/>
      <c r="M368" s="2291"/>
      <c r="N368" s="74"/>
      <c r="O368" s="70"/>
      <c r="P368" s="887"/>
    </row>
    <row r="369" spans="1:18" s="42" customFormat="1" ht="12" customHeight="1" thickBot="1">
      <c r="A369" s="152" t="s">
        <v>2250</v>
      </c>
      <c r="B369" s="105" t="s">
        <v>1671</v>
      </c>
      <c r="D369" s="88"/>
      <c r="E369" s="88"/>
      <c r="G369" s="51"/>
      <c r="I369" s="457"/>
      <c r="J369" s="457"/>
      <c r="K369" s="1659"/>
      <c r="L369" s="1578"/>
      <c r="M369" s="887">
        <v>1</v>
      </c>
      <c r="N369" s="395"/>
      <c r="O369" s="1090">
        <f>IF(AND(NOT($I$370="&lt; Select applicable GICH &gt;"),OR(O371="Yes",O372="Yes"),O374="Yes",O375="Yes",O376="Yes"),$M$369,0)</f>
        <v>0</v>
      </c>
      <c r="P369" s="1090">
        <f>IF(AND(NOT($I$370="&lt; Select applicable GICH &gt;"),OR(P371="Yes",P372="Yes"),P374="Yes",P375="Yes",P376="Yes"),$M$369,0)</f>
        <v>0</v>
      </c>
      <c r="Q369" s="109" t="s">
        <v>441</v>
      </c>
    </row>
    <row r="370" spans="1:18" s="42" customFormat="1" ht="11.25" customHeight="1">
      <c r="A370" s="138"/>
      <c r="B370" s="113" t="s">
        <v>3612</v>
      </c>
      <c r="D370" s="88"/>
      <c r="E370" s="88"/>
      <c r="G370" s="51"/>
      <c r="I370" s="3372" t="s">
        <v>2521</v>
      </c>
      <c r="J370" s="3373"/>
      <c r="K370" s="3373"/>
      <c r="L370" s="3374"/>
      <c r="M370" s="430"/>
      <c r="N370" s="395"/>
      <c r="Q370" s="1020"/>
      <c r="R370" s="1088" t="s">
        <v>2705</v>
      </c>
    </row>
    <row r="371" spans="1:18" s="42" customFormat="1" ht="11.25" customHeight="1">
      <c r="A371" s="138"/>
      <c r="B371" s="374" t="s">
        <v>1985</v>
      </c>
      <c r="C371" s="54" t="s">
        <v>4899</v>
      </c>
      <c r="D371" s="88"/>
      <c r="E371" s="54" t="s">
        <v>4900</v>
      </c>
      <c r="G371" s="51"/>
      <c r="I371" s="1577"/>
      <c r="J371" s="1042"/>
      <c r="K371" s="1042"/>
      <c r="L371" s="1042"/>
      <c r="M371" s="2305"/>
      <c r="N371" s="2120"/>
      <c r="O371" s="2671"/>
      <c r="P371" s="534"/>
      <c r="Q371" s="2121"/>
      <c r="R371" s="1088"/>
    </row>
    <row r="372" spans="1:18" s="42" customFormat="1" ht="11.25" customHeight="1">
      <c r="A372" s="138"/>
      <c r="B372" s="50"/>
      <c r="C372" s="54"/>
      <c r="D372" s="88"/>
      <c r="E372" s="1060" t="s">
        <v>4901</v>
      </c>
      <c r="G372" s="51"/>
      <c r="H372" s="1104"/>
      <c r="I372" s="54"/>
      <c r="J372" s="54"/>
      <c r="K372" s="54"/>
      <c r="L372" s="2120"/>
      <c r="M372" s="2711"/>
      <c r="N372" s="2120"/>
      <c r="O372" s="2673"/>
      <c r="P372" s="536"/>
      <c r="Q372" s="2121"/>
      <c r="R372" s="1088"/>
    </row>
    <row r="373" spans="1:18" s="42" customFormat="1" ht="11.25" customHeight="1">
      <c r="B373" s="374" t="s">
        <v>1987</v>
      </c>
      <c r="C373" s="39" t="s">
        <v>4902</v>
      </c>
      <c r="D373" s="102"/>
      <c r="E373" s="88"/>
      <c r="F373" s="51"/>
      <c r="G373" s="51"/>
      <c r="N373" s="463" t="s">
        <v>1982</v>
      </c>
      <c r="O373" s="1174" t="s">
        <v>2509</v>
      </c>
      <c r="P373" s="1174" t="s">
        <v>2509</v>
      </c>
    </row>
    <row r="374" spans="1:18" s="117" customFormat="1" ht="10.5" customHeight="1">
      <c r="B374" s="375" t="s">
        <v>2434</v>
      </c>
      <c r="C374" s="433" t="s">
        <v>4053</v>
      </c>
      <c r="H374" s="38"/>
      <c r="I374" s="38"/>
      <c r="J374" s="38"/>
      <c r="K374" s="38"/>
      <c r="N374" s="375" t="s">
        <v>2434</v>
      </c>
      <c r="O374" s="2671"/>
      <c r="P374" s="534"/>
    </row>
    <row r="375" spans="1:18" s="117" customFormat="1" ht="10.5" customHeight="1">
      <c r="B375" s="388" t="s">
        <v>2435</v>
      </c>
      <c r="C375" s="433" t="s">
        <v>4054</v>
      </c>
      <c r="N375" s="388" t="s">
        <v>2435</v>
      </c>
      <c r="O375" s="2672"/>
      <c r="P375" s="535"/>
    </row>
    <row r="376" spans="1:18" s="117" customFormat="1" ht="10.5" customHeight="1">
      <c r="B376" s="375" t="s">
        <v>2436</v>
      </c>
      <c r="C376" s="433" t="s">
        <v>4884</v>
      </c>
      <c r="N376" s="375" t="s">
        <v>2436</v>
      </c>
      <c r="O376" s="2673"/>
      <c r="P376" s="536"/>
    </row>
    <row r="377" spans="1:18" s="100" customFormat="1" ht="11.25" customHeight="1">
      <c r="B377" s="179" t="s">
        <v>3613</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3752</v>
      </c>
      <c r="C379" s="41"/>
      <c r="D379" s="47"/>
      <c r="E379" s="47"/>
      <c r="F379" s="47"/>
      <c r="G379" s="47"/>
      <c r="H379" s="35"/>
      <c r="I379" s="35"/>
      <c r="J379" s="35"/>
      <c r="K379" s="35"/>
      <c r="M379" s="45"/>
      <c r="N379" s="5"/>
      <c r="O379" s="2"/>
      <c r="P379" s="2287"/>
    </row>
    <row r="380" spans="1:18" s="42" customFormat="1" ht="21.75" customHeight="1" thickTop="1" thickBot="1">
      <c r="A380" s="3818"/>
      <c r="B380" s="3819"/>
      <c r="C380" s="3819"/>
      <c r="D380" s="3819"/>
      <c r="E380" s="3819"/>
      <c r="F380" s="3819"/>
      <c r="G380" s="3819"/>
      <c r="H380" s="3819"/>
      <c r="I380" s="3819"/>
      <c r="J380" s="3819"/>
      <c r="K380" s="3819"/>
      <c r="L380" s="3819"/>
      <c r="M380" s="3819"/>
      <c r="N380" s="3819"/>
      <c r="O380" s="3819"/>
      <c r="P380" s="3820"/>
      <c r="Q380" s="1074" t="s">
        <v>1253</v>
      </c>
    </row>
    <row r="381" spans="1:18" s="102" customFormat="1" ht="10.5" customHeight="1" thickTop="1">
      <c r="A381" s="41"/>
      <c r="B381" s="97" t="s">
        <v>1865</v>
      </c>
      <c r="C381" s="41"/>
      <c r="D381" s="97"/>
      <c r="E381" s="2296"/>
      <c r="F381" s="2296"/>
      <c r="G381" s="2296"/>
      <c r="H381" s="2296"/>
      <c r="I381" s="2296"/>
      <c r="J381" s="2296"/>
      <c r="K381" s="2296"/>
      <c r="L381" s="2296"/>
      <c r="M381" s="2296"/>
      <c r="N381" s="93"/>
      <c r="O381" s="872"/>
      <c r="P381" s="2287"/>
      <c r="Q381" s="426"/>
    </row>
    <row r="382" spans="1:18" s="42" customFormat="1" ht="11.25" customHeight="1">
      <c r="A382" s="3487"/>
      <c r="B382" s="3488"/>
      <c r="C382" s="3488"/>
      <c r="D382" s="3488"/>
      <c r="E382" s="3488"/>
      <c r="F382" s="3488"/>
      <c r="G382" s="3488"/>
      <c r="H382" s="3488"/>
      <c r="I382" s="3488"/>
      <c r="J382" s="3488"/>
      <c r="K382" s="3488"/>
      <c r="L382" s="3488"/>
      <c r="M382" s="3488"/>
      <c r="N382" s="3488"/>
      <c r="O382" s="3488"/>
      <c r="P382" s="3489"/>
      <c r="Q382" s="445"/>
    </row>
    <row r="383" spans="1:18" ht="3" customHeight="1" thickBot="1"/>
    <row r="384" spans="1:18" s="42" customFormat="1" ht="12.75" customHeight="1" thickBot="1">
      <c r="A384" s="152" t="s">
        <v>4098</v>
      </c>
      <c r="B384" s="105" t="s">
        <v>4059</v>
      </c>
      <c r="D384" s="88"/>
      <c r="E384" s="88"/>
      <c r="F384" s="51"/>
      <c r="G384" s="51"/>
      <c r="H384" s="165" t="s">
        <v>2792</v>
      </c>
      <c r="J384" s="513" t="str">
        <f>'Part I-Project Information'!$H$105</f>
        <v>Rural</v>
      </c>
      <c r="L384" s="376" t="str">
        <f>IF(OR($O384=$M384,$O384=$M391,$O384=$M411,$O384=0,$O384=""),"","* * Check Score! * *")</f>
        <v/>
      </c>
      <c r="M384" s="2">
        <v>4</v>
      </c>
      <c r="N384" s="5"/>
      <c r="O384" s="1138">
        <f>O391+O411</f>
        <v>0</v>
      </c>
      <c r="P384" s="1138">
        <f>P391+P411</f>
        <v>0</v>
      </c>
      <c r="Q384" s="109" t="s">
        <v>441</v>
      </c>
    </row>
    <row r="385" spans="1:19" s="42" customFormat="1" ht="10.5" customHeight="1">
      <c r="A385" s="41"/>
      <c r="B385" s="113" t="s">
        <v>4886</v>
      </c>
      <c r="E385" s="88"/>
      <c r="F385" s="51"/>
      <c r="G385" s="51"/>
      <c r="H385" s="51"/>
      <c r="I385" s="51"/>
      <c r="J385" s="53"/>
      <c r="K385" s="59"/>
      <c r="L385" s="55"/>
      <c r="O385" s="516" t="s">
        <v>2509</v>
      </c>
      <c r="P385" s="516" t="s">
        <v>2509</v>
      </c>
    </row>
    <row r="386" spans="1:19" s="100" customFormat="1" ht="12.75" customHeight="1">
      <c r="B386" s="375" t="s">
        <v>2434</v>
      </c>
      <c r="C386" s="134" t="s">
        <v>2826</v>
      </c>
      <c r="E386" s="88"/>
      <c r="F386" s="51"/>
      <c r="G386" s="51"/>
      <c r="H386" s="51"/>
      <c r="I386" s="51"/>
      <c r="J386" s="53"/>
      <c r="K386" s="59"/>
      <c r="L386" s="3890" t="str">
        <f>IF(OR(O386="No",O386="",O387="No",O387="",O388="No",O388="",O389="No",O389=""),"Unmet criterion results in no points!","")</f>
        <v>Unmet criterion results in no points!</v>
      </c>
      <c r="M386" s="3890"/>
      <c r="N386" s="375" t="s">
        <v>2434</v>
      </c>
      <c r="O386" s="2671"/>
      <c r="P386" s="534"/>
      <c r="R386" s="3864" t="str">
        <f>IF(OR(P386="No",P386="",P387="No",P387="",P388="No",P388="",P389="No",P389=""),"Unmet criterion results in no points!","")</f>
        <v>Unmet criterion results in no points!</v>
      </c>
      <c r="S386" s="3864" t="e">
        <f>IF(OR(V386="No",V386="",V387="No",V387="",V388="No",V388="",V389="No",V389="",#REF!="No",#REF!="",#REF!="No",#REF!=""),"Unmet criterion results in no points!","")</f>
        <v>#REF!</v>
      </c>
    </row>
    <row r="387" spans="1:19" s="100" customFormat="1" ht="12.75" customHeight="1">
      <c r="B387" s="375" t="s">
        <v>2435</v>
      </c>
      <c r="C387" s="134" t="s">
        <v>3806</v>
      </c>
      <c r="L387" s="3890"/>
      <c r="M387" s="3890"/>
      <c r="N387" s="375" t="s">
        <v>2435</v>
      </c>
      <c r="O387" s="2672"/>
      <c r="P387" s="535"/>
      <c r="R387" s="3864"/>
      <c r="S387" s="3864"/>
    </row>
    <row r="388" spans="1:19" s="100" customFormat="1" ht="12.75" customHeight="1">
      <c r="B388" s="375" t="s">
        <v>2436</v>
      </c>
      <c r="C388" s="134" t="s">
        <v>3805</v>
      </c>
      <c r="L388" s="3890"/>
      <c r="M388" s="3890"/>
      <c r="N388" s="375" t="s">
        <v>2436</v>
      </c>
      <c r="O388" s="2672"/>
      <c r="P388" s="535"/>
      <c r="R388" s="3864"/>
      <c r="S388" s="3864"/>
    </row>
    <row r="389" spans="1:19" s="100" customFormat="1" ht="33.75" customHeight="1">
      <c r="B389" s="388" t="s">
        <v>2437</v>
      </c>
      <c r="C389" s="3745" t="s">
        <v>4885</v>
      </c>
      <c r="D389" s="3745"/>
      <c r="E389" s="3745"/>
      <c r="F389" s="3745"/>
      <c r="G389" s="3745"/>
      <c r="H389" s="3745"/>
      <c r="I389" s="3745"/>
      <c r="J389" s="3745"/>
      <c r="K389" s="3745"/>
      <c r="L389" s="3745"/>
      <c r="M389" s="3745"/>
      <c r="N389" s="388" t="s">
        <v>2437</v>
      </c>
      <c r="O389" s="2684"/>
      <c r="P389" s="2303"/>
    </row>
    <row r="390" spans="1:19" ht="3" customHeight="1">
      <c r="C390" s="3745"/>
      <c r="D390" s="3745"/>
      <c r="E390" s="3745"/>
      <c r="F390" s="3745"/>
      <c r="G390" s="3745"/>
      <c r="H390" s="3745"/>
      <c r="I390" s="3745"/>
      <c r="J390" s="3745"/>
      <c r="K390" s="3745"/>
      <c r="L390" s="3745"/>
      <c r="M390" s="3745"/>
    </row>
    <row r="391" spans="1:19" ht="12.75" customHeight="1">
      <c r="A391" s="1039" t="s">
        <v>1982</v>
      </c>
      <c r="B391" s="177" t="s">
        <v>4061</v>
      </c>
      <c r="L391" s="376" t="str">
        <f>IF(OR($O391=$M391,$O391=0,$O391=""),"","* * Check Score! * *")</f>
        <v/>
      </c>
      <c r="M391" s="1128">
        <v>3</v>
      </c>
      <c r="N391" s="463" t="s">
        <v>1982</v>
      </c>
      <c r="O391" s="2711"/>
      <c r="P391" s="860"/>
      <c r="Q391" s="1020" t="str">
        <f>IF(OR($O391=$M391,$O391=0,$O391=""),"","*CHECK!*")</f>
        <v/>
      </c>
      <c r="R391" s="1088" t="s">
        <v>2705</v>
      </c>
    </row>
    <row r="392" spans="1:19" ht="12.75" customHeight="1">
      <c r="A392" s="1039"/>
      <c r="B392" s="586" t="s">
        <v>1985</v>
      </c>
      <c r="C392" s="1023" t="s">
        <v>4888</v>
      </c>
      <c r="D392" s="1023"/>
      <c r="E392" s="1023"/>
      <c r="F392" s="1023"/>
      <c r="G392" s="1023"/>
      <c r="H392" s="1023"/>
      <c r="I392" s="1023"/>
      <c r="N392" s="26"/>
      <c r="O392" s="26"/>
      <c r="P392" s="26"/>
    </row>
    <row r="393" spans="1:19" ht="12.75" customHeight="1">
      <c r="A393" s="1039"/>
      <c r="B393" s="440"/>
      <c r="C393" s="1023" t="s">
        <v>4887</v>
      </c>
      <c r="D393" s="1023"/>
      <c r="E393" s="1023"/>
      <c r="F393" s="1023"/>
      <c r="G393" s="1023"/>
      <c r="H393" s="1023"/>
      <c r="I393" s="1023"/>
      <c r="J393" s="3889" t="s">
        <v>1989</v>
      </c>
      <c r="K393" s="3889"/>
      <c r="M393" s="3889" t="s">
        <v>1989</v>
      </c>
      <c r="N393" s="3889"/>
      <c r="O393" s="3889"/>
      <c r="P393" s="3889"/>
    </row>
    <row r="394" spans="1:19" s="42" customFormat="1" ht="12.75" customHeight="1">
      <c r="A394" s="175"/>
      <c r="B394" s="375" t="s">
        <v>2434</v>
      </c>
      <c r="C394" s="35" t="s">
        <v>1481</v>
      </c>
      <c r="I394" s="375" t="s">
        <v>2434</v>
      </c>
      <c r="J394" s="3758"/>
      <c r="K394" s="3759"/>
      <c r="L394" s="375" t="s">
        <v>2434</v>
      </c>
      <c r="M394" s="3886"/>
      <c r="N394" s="3887"/>
      <c r="O394" s="3887"/>
      <c r="P394" s="3888"/>
      <c r="R394" s="376"/>
    </row>
    <row r="395" spans="1:19" ht="12.75" customHeight="1">
      <c r="A395" s="176"/>
      <c r="B395" s="388" t="s">
        <v>2435</v>
      </c>
      <c r="C395" s="35" t="s">
        <v>3619</v>
      </c>
      <c r="I395" s="388" t="s">
        <v>2435</v>
      </c>
      <c r="J395" s="3816"/>
      <c r="K395" s="3817"/>
      <c r="L395" s="388" t="s">
        <v>2435</v>
      </c>
      <c r="M395" s="3755"/>
      <c r="N395" s="3756"/>
      <c r="O395" s="3756"/>
      <c r="P395" s="3757"/>
      <c r="R395" s="376"/>
    </row>
    <row r="396" spans="1:19" ht="12.75" customHeight="1">
      <c r="B396" s="375" t="s">
        <v>2436</v>
      </c>
      <c r="C396" s="35" t="s">
        <v>2625</v>
      </c>
      <c r="I396" s="375" t="s">
        <v>2436</v>
      </c>
      <c r="J396" s="3816"/>
      <c r="K396" s="3817"/>
      <c r="L396" s="375" t="s">
        <v>2436</v>
      </c>
      <c r="M396" s="3755"/>
      <c r="N396" s="3756"/>
      <c r="O396" s="3756"/>
      <c r="P396" s="3757"/>
      <c r="R396" s="376"/>
    </row>
    <row r="397" spans="1:19" ht="12.75" customHeight="1">
      <c r="A397" s="176"/>
      <c r="B397" s="375" t="s">
        <v>2437</v>
      </c>
      <c r="C397" s="35" t="s">
        <v>3459</v>
      </c>
      <c r="I397" s="375" t="s">
        <v>2437</v>
      </c>
      <c r="J397" s="3816"/>
      <c r="K397" s="3817"/>
      <c r="L397" s="375" t="s">
        <v>2437</v>
      </c>
      <c r="M397" s="3755"/>
      <c r="N397" s="3756"/>
      <c r="O397" s="3756"/>
      <c r="P397" s="3757"/>
      <c r="R397" s="376"/>
    </row>
    <row r="398" spans="1:19" s="42" customFormat="1" ht="12.75" customHeight="1">
      <c r="A398" s="175"/>
      <c r="B398" s="388" t="s">
        <v>2438</v>
      </c>
      <c r="C398" s="35" t="s">
        <v>2729</v>
      </c>
      <c r="I398" s="388" t="s">
        <v>2438</v>
      </c>
      <c r="J398" s="3816"/>
      <c r="K398" s="3817"/>
      <c r="L398" s="388" t="s">
        <v>2438</v>
      </c>
      <c r="M398" s="3755"/>
      <c r="N398" s="3756"/>
      <c r="O398" s="3756"/>
      <c r="P398" s="3757"/>
      <c r="R398" s="376"/>
    </row>
    <row r="399" spans="1:19" ht="12.75" customHeight="1">
      <c r="B399" s="375" t="s">
        <v>2454</v>
      </c>
      <c r="C399" s="35" t="s">
        <v>1480</v>
      </c>
      <c r="I399" s="375" t="s">
        <v>2454</v>
      </c>
      <c r="J399" s="3816"/>
      <c r="K399" s="3817"/>
      <c r="L399" s="375" t="s">
        <v>2454</v>
      </c>
      <c r="M399" s="3755"/>
      <c r="N399" s="3756"/>
      <c r="O399" s="3756"/>
      <c r="P399" s="3757"/>
      <c r="R399" s="376"/>
    </row>
    <row r="400" spans="1:19" ht="12.75" customHeight="1">
      <c r="A400" s="176"/>
      <c r="B400" s="375" t="s">
        <v>2455</v>
      </c>
      <c r="C400" s="35" t="s">
        <v>3617</v>
      </c>
      <c r="I400" s="375" t="s">
        <v>2455</v>
      </c>
      <c r="J400" s="3816"/>
      <c r="K400" s="3817"/>
      <c r="L400" s="375" t="s">
        <v>2455</v>
      </c>
      <c r="M400" s="3755"/>
      <c r="N400" s="3756"/>
      <c r="O400" s="3756"/>
      <c r="P400" s="3757"/>
      <c r="R400" s="376"/>
    </row>
    <row r="401" spans="1:23" ht="12.75" customHeight="1">
      <c r="B401" s="387" t="s">
        <v>2456</v>
      </c>
      <c r="C401" s="35" t="s">
        <v>4889</v>
      </c>
      <c r="I401" s="387" t="s">
        <v>2456</v>
      </c>
      <c r="J401" s="3816"/>
      <c r="K401" s="3817"/>
      <c r="L401" s="387" t="s">
        <v>2456</v>
      </c>
      <c r="M401" s="3755"/>
      <c r="N401" s="3756"/>
      <c r="O401" s="3756"/>
      <c r="P401" s="3757"/>
      <c r="R401" s="376"/>
    </row>
    <row r="402" spans="1:23" ht="12.75" customHeight="1">
      <c r="B402" s="387" t="s">
        <v>2457</v>
      </c>
      <c r="C402" s="35" t="s">
        <v>4890</v>
      </c>
      <c r="I402" s="387" t="s">
        <v>2457</v>
      </c>
      <c r="J402" s="3816"/>
      <c r="K402" s="3817"/>
      <c r="L402" s="387" t="s">
        <v>2457</v>
      </c>
      <c r="M402" s="3755"/>
      <c r="N402" s="3756"/>
      <c r="O402" s="3756"/>
      <c r="P402" s="3757"/>
      <c r="R402" s="376"/>
    </row>
    <row r="403" spans="1:23" ht="12.75" customHeight="1" thickBot="1">
      <c r="B403" s="387" t="s">
        <v>3620</v>
      </c>
      <c r="C403" s="35" t="s">
        <v>4891</v>
      </c>
      <c r="I403" s="387" t="s">
        <v>3620</v>
      </c>
      <c r="J403" s="3816"/>
      <c r="K403" s="3817"/>
      <c r="L403" s="387" t="s">
        <v>3620</v>
      </c>
      <c r="M403" s="3839"/>
      <c r="N403" s="3840"/>
      <c r="O403" s="3840"/>
      <c r="P403" s="3841"/>
      <c r="R403" s="376"/>
    </row>
    <row r="404" spans="1:23" ht="12.75" customHeight="1" thickBot="1">
      <c r="B404" s="1172" t="s">
        <v>4892</v>
      </c>
      <c r="H404" s="1205" t="s">
        <v>2627</v>
      </c>
      <c r="J404" s="3894">
        <f>SUM(J394:K403)</f>
        <v>0</v>
      </c>
      <c r="K404" s="3895"/>
      <c r="M404" s="3894">
        <f>SUM($M394:$M403)</f>
        <v>0</v>
      </c>
      <c r="N404" s="3896"/>
      <c r="O404" s="3896"/>
      <c r="P404" s="3895"/>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1987</v>
      </c>
      <c r="C406" s="515" t="s">
        <v>2626</v>
      </c>
      <c r="M406" s="502"/>
      <c r="N406" s="502"/>
      <c r="O406" s="158"/>
      <c r="P406" s="502"/>
    </row>
    <row r="407" spans="1:23" s="42" customFormat="1" ht="12" customHeight="1">
      <c r="A407" s="41"/>
      <c r="C407" s="3736" t="s">
        <v>5034</v>
      </c>
      <c r="D407" s="3736"/>
      <c r="E407" s="3736"/>
      <c r="F407" s="433" t="s">
        <v>4934</v>
      </c>
      <c r="H407" s="26"/>
      <c r="I407" s="2749"/>
      <c r="J407" s="3827">
        <f>'Part IV-A-Uses of Funds'!$G$132</f>
        <v>5168536</v>
      </c>
      <c r="K407" s="3828"/>
      <c r="L407" s="547"/>
      <c r="M407" s="502"/>
      <c r="N407" s="502"/>
      <c r="O407" s="1114"/>
      <c r="P407" s="502"/>
    </row>
    <row r="408" spans="1:23" ht="12.75" customHeight="1">
      <c r="C408" s="3736"/>
      <c r="D408" s="3736"/>
      <c r="E408" s="3736"/>
      <c r="F408" s="437" t="s">
        <v>4933</v>
      </c>
      <c r="I408" s="2750"/>
      <c r="J408" s="3834">
        <f>IF($J407=0,0,$J404/$J407)</f>
        <v>0</v>
      </c>
      <c r="K408" s="3835"/>
      <c r="M408" s="3836">
        <f>IF($J407=0,0,$M404/$J407)</f>
        <v>0</v>
      </c>
      <c r="N408" s="3837"/>
      <c r="O408" s="3837"/>
      <c r="P408" s="3838"/>
    </row>
    <row r="409" spans="1:23" s="42" customFormat="1" ht="12.75" customHeight="1">
      <c r="C409" s="3736"/>
      <c r="D409" s="3736"/>
      <c r="E409" s="3736"/>
      <c r="F409" s="1060" t="s">
        <v>4932</v>
      </c>
      <c r="I409" s="2751"/>
      <c r="J409" s="3831">
        <f>IF(L386="", IF($J408&gt;=0.1, 3,IF($J408&gt;=0.05, 2,IF($J408&gt;=0.02,1,0))),0)</f>
        <v>0</v>
      </c>
      <c r="K409" s="3833"/>
      <c r="L409" s="513"/>
      <c r="M409" s="3831">
        <f>IF(R386="", IF($M408&gt;=0.1, 3,IF($M408&gt;=0.05, 2,IF($M408&gt;=0.02,1,0))),0)</f>
        <v>0</v>
      </c>
      <c r="N409" s="3832"/>
      <c r="O409" s="3832"/>
      <c r="P409" s="3833"/>
    </row>
    <row r="410" spans="1:23" ht="3" customHeight="1" thickBot="1"/>
    <row r="411" spans="1:23" s="102" customFormat="1" ht="12.75" customHeight="1" thickBot="1">
      <c r="A411" s="138" t="s">
        <v>1984</v>
      </c>
      <c r="B411" s="179" t="s">
        <v>3621</v>
      </c>
      <c r="D411" s="38"/>
      <c r="E411" s="35"/>
      <c r="F411" s="887"/>
      <c r="H411" s="35"/>
      <c r="I411" s="887"/>
      <c r="J411" s="897"/>
      <c r="K411" s="897"/>
      <c r="L411" s="376" t="str">
        <f>IF(OR($O411=$M411,$O411=0,$O411=""),"","* * Check Score! * *")</f>
        <v/>
      </c>
      <c r="M411" s="590">
        <v>1</v>
      </c>
      <c r="N411" s="64" t="s">
        <v>1984</v>
      </c>
      <c r="O411" s="2712"/>
      <c r="P411" s="1123"/>
      <c r="Q411" s="109" t="s">
        <v>441</v>
      </c>
      <c r="R411" s="1088" t="s">
        <v>2705</v>
      </c>
      <c r="V411" s="1070"/>
      <c r="W411" s="1070"/>
    </row>
    <row r="412" spans="1:23" s="42" customFormat="1" ht="22.5" customHeight="1">
      <c r="A412" s="138"/>
      <c r="B412" s="1029" t="s">
        <v>2434</v>
      </c>
      <c r="C412" s="3486" t="s">
        <v>4063</v>
      </c>
      <c r="D412" s="3486"/>
      <c r="E412" s="3486"/>
      <c r="F412" s="3486"/>
      <c r="G412" s="3486"/>
      <c r="H412" s="3486"/>
      <c r="I412" s="3486"/>
      <c r="J412" s="3486"/>
      <c r="K412" s="3486"/>
      <c r="L412" s="3486"/>
      <c r="M412" s="3486"/>
      <c r="N412" s="388" t="s">
        <v>2434</v>
      </c>
      <c r="O412" s="2693"/>
      <c r="P412" s="1137"/>
      <c r="V412" s="1070"/>
      <c r="W412" s="1070"/>
    </row>
    <row r="413" spans="1:23" s="42" customFormat="1" ht="12.75" customHeight="1">
      <c r="A413" s="138"/>
      <c r="B413" s="375" t="s">
        <v>2435</v>
      </c>
      <c r="C413" s="51" t="s">
        <v>3798</v>
      </c>
      <c r="D413" s="51"/>
      <c r="E413" s="51"/>
      <c r="F413" s="51"/>
      <c r="G413" s="51"/>
      <c r="H413" s="51"/>
      <c r="I413" s="51"/>
      <c r="J413" s="51"/>
      <c r="K413" s="51"/>
      <c r="M413" s="51"/>
      <c r="N413" s="388" t="s">
        <v>2435</v>
      </c>
      <c r="O413" s="2673"/>
      <c r="P413" s="536"/>
      <c r="V413" s="1070"/>
      <c r="W413" s="1070"/>
    </row>
    <row r="414" spans="1:23" ht="12.75" customHeight="1">
      <c r="B414" s="375" t="s">
        <v>2436</v>
      </c>
      <c r="C414" s="431" t="s">
        <v>4893</v>
      </c>
      <c r="N414" s="375" t="s">
        <v>2436</v>
      </c>
      <c r="O414" s="2673"/>
      <c r="P414" s="536"/>
    </row>
    <row r="415" spans="1:23" ht="12" customHeight="1" thickBot="1">
      <c r="B415" s="1206" t="s">
        <v>3752</v>
      </c>
    </row>
    <row r="416" spans="1:23" s="42" customFormat="1" ht="21.75" customHeight="1" thickTop="1" thickBot="1">
      <c r="A416" s="3818"/>
      <c r="B416" s="3819"/>
      <c r="C416" s="3819"/>
      <c r="D416" s="3819"/>
      <c r="E416" s="3819"/>
      <c r="F416" s="3819"/>
      <c r="G416" s="3819"/>
      <c r="H416" s="3819"/>
      <c r="I416" s="3819"/>
      <c r="J416" s="3819"/>
      <c r="K416" s="3819"/>
      <c r="L416" s="3819"/>
      <c r="M416" s="3819"/>
      <c r="N416" s="3819"/>
      <c r="O416" s="3819"/>
      <c r="P416" s="3820"/>
      <c r="Q416" s="1074" t="s">
        <v>1253</v>
      </c>
    </row>
    <row r="417" spans="1:19" s="102" customFormat="1" ht="11.25" customHeight="1" thickTop="1">
      <c r="A417" s="41"/>
      <c r="B417" s="504" t="s">
        <v>1865</v>
      </c>
      <c r="C417" s="98"/>
      <c r="D417" s="97"/>
      <c r="E417" s="2311"/>
      <c r="F417" s="2296"/>
      <c r="G417" s="2296"/>
      <c r="H417" s="2296"/>
      <c r="I417" s="2296"/>
      <c r="J417" s="2296"/>
      <c r="K417" s="2296"/>
      <c r="L417" s="2296"/>
      <c r="M417" s="2296"/>
      <c r="N417" s="93"/>
      <c r="O417" s="872"/>
      <c r="P417" s="2287"/>
      <c r="Q417" s="426"/>
    </row>
    <row r="418" spans="1:19" s="42" customFormat="1" ht="11.25" customHeight="1">
      <c r="A418" s="3487"/>
      <c r="B418" s="3488"/>
      <c r="C418" s="3488"/>
      <c r="D418" s="3488"/>
      <c r="E418" s="3488"/>
      <c r="F418" s="3488"/>
      <c r="G418" s="3488"/>
      <c r="H418" s="3488"/>
      <c r="I418" s="3488"/>
      <c r="J418" s="3488"/>
      <c r="K418" s="3488"/>
      <c r="L418" s="3488"/>
      <c r="M418" s="3488"/>
      <c r="N418" s="3488"/>
      <c r="O418" s="3488"/>
      <c r="P418" s="3489"/>
      <c r="Q418" s="445"/>
    </row>
    <row r="419" spans="1:19" s="42" customFormat="1" ht="3" customHeight="1" thickBot="1">
      <c r="A419" s="41"/>
      <c r="B419" s="41"/>
      <c r="C419" s="2291"/>
      <c r="D419" s="2291"/>
      <c r="E419" s="2291"/>
      <c r="F419" s="2291"/>
      <c r="G419" s="2291"/>
      <c r="H419" s="2291"/>
      <c r="I419" s="2291"/>
      <c r="J419" s="2291"/>
      <c r="K419" s="2291"/>
      <c r="L419" s="2291"/>
      <c r="M419" s="2291"/>
      <c r="N419" s="74"/>
      <c r="O419" s="70"/>
      <c r="P419" s="887"/>
    </row>
    <row r="420" spans="1:19" s="42" customFormat="1" ht="13.5" customHeight="1" thickBot="1">
      <c r="A420" s="152" t="s">
        <v>4099</v>
      </c>
      <c r="B420" s="105" t="s">
        <v>2720</v>
      </c>
      <c r="D420" s="39"/>
      <c r="G420" s="60" t="s">
        <v>3389</v>
      </c>
      <c r="J420" s="35"/>
      <c r="K420" s="35"/>
      <c r="L420" s="35"/>
      <c r="M420" s="2287">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3460</v>
      </c>
      <c r="D422" s="3372" t="s">
        <v>5023</v>
      </c>
      <c r="E422" s="3373"/>
      <c r="F422" s="3373"/>
      <c r="G422" s="3373"/>
      <c r="H422" s="3373"/>
      <c r="I422" s="3374"/>
      <c r="J422" s="391" t="s">
        <v>2830</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1982</v>
      </c>
      <c r="B424" s="86" t="s">
        <v>3673</v>
      </c>
      <c r="C424" s="391"/>
      <c r="D424" s="391"/>
      <c r="E424" s="391"/>
      <c r="F424" s="391"/>
      <c r="G424" s="391"/>
      <c r="H424" s="391"/>
      <c r="I424" s="391"/>
      <c r="M424" s="413">
        <v>2</v>
      </c>
      <c r="N424" s="160" t="s">
        <v>1982</v>
      </c>
      <c r="O424" s="2711"/>
      <c r="P424" s="860"/>
      <c r="Q424" s="1020" t="str">
        <f>IF(OR($O424=$M424,$O424=0,$O424=""),"","*CHECK!*")</f>
        <v/>
      </c>
      <c r="R424" s="1088" t="s">
        <v>2705</v>
      </c>
    </row>
    <row r="425" spans="1:19" s="412" customFormat="1" ht="12" customHeight="1">
      <c r="A425" s="411"/>
      <c r="B425" s="3697" t="s">
        <v>4895</v>
      </c>
      <c r="C425" s="3697"/>
      <c r="D425" s="3697"/>
      <c r="E425" s="3697"/>
      <c r="F425" s="3697"/>
      <c r="G425" s="3697"/>
      <c r="H425" s="3697"/>
      <c r="I425" s="3697"/>
      <c r="J425" s="3697"/>
      <c r="K425" s="3697"/>
      <c r="L425" s="3697"/>
      <c r="M425" s="3825" t="s">
        <v>5024</v>
      </c>
      <c r="N425" s="3825"/>
      <c r="Q425" s="172"/>
    </row>
    <row r="426" spans="1:19" s="412" customFormat="1" ht="12" customHeight="1">
      <c r="B426" s="3697"/>
      <c r="C426" s="3697"/>
      <c r="D426" s="3697"/>
      <c r="E426" s="3697"/>
      <c r="F426" s="3697"/>
      <c r="G426" s="3697"/>
      <c r="H426" s="3697"/>
      <c r="I426" s="3697"/>
      <c r="J426" s="3697"/>
      <c r="K426" s="3697"/>
      <c r="L426" s="3697"/>
      <c r="M426" s="3825"/>
      <c r="N426" s="3825"/>
      <c r="O426" s="3829">
        <f>'Part VI-Revenues &amp; Expenses'!$O$111</f>
        <v>0</v>
      </c>
      <c r="P426" s="3830"/>
      <c r="Q426" s="172"/>
    </row>
    <row r="427" spans="1:19" s="412" customFormat="1" ht="12" customHeight="1">
      <c r="B427" s="3697"/>
      <c r="C427" s="3697"/>
      <c r="D427" s="3697"/>
      <c r="E427" s="3697"/>
      <c r="F427" s="3697"/>
      <c r="G427" s="3697"/>
      <c r="H427" s="3697"/>
      <c r="I427" s="3697"/>
      <c r="J427" s="3697"/>
      <c r="K427" s="3697"/>
      <c r="L427" s="3697"/>
      <c r="M427" s="1026" t="s">
        <v>2828</v>
      </c>
      <c r="N427" s="413"/>
      <c r="O427" s="3823">
        <f>'Part VI-Revenues &amp; Expenses'!$O$67</f>
        <v>40</v>
      </c>
      <c r="P427" s="3824"/>
      <c r="Q427" s="172"/>
    </row>
    <row r="428" spans="1:19" s="412" customFormat="1" ht="12" customHeight="1">
      <c r="B428" s="3826"/>
      <c r="C428" s="3826"/>
      <c r="D428" s="3826"/>
      <c r="E428" s="3826"/>
      <c r="F428" s="3826"/>
      <c r="G428" s="3826"/>
      <c r="H428" s="3826"/>
      <c r="I428" s="3826"/>
      <c r="J428" s="3826"/>
      <c r="K428" s="3826"/>
      <c r="L428" s="3826"/>
      <c r="M428" s="2112" t="s">
        <v>2829</v>
      </c>
      <c r="N428" s="413"/>
      <c r="O428" s="3821">
        <f>IF(O427=0,0,O426/O427)</f>
        <v>0</v>
      </c>
      <c r="P428" s="3822"/>
      <c r="Q428" s="172"/>
    </row>
    <row r="429" spans="1:19" s="42" customFormat="1" ht="66.75" customHeight="1">
      <c r="A429" s="525"/>
      <c r="B429" s="3711" t="s">
        <v>4198</v>
      </c>
      <c r="C429" s="3712"/>
      <c r="D429" s="3712"/>
      <c r="E429" s="3712"/>
      <c r="F429" s="3712"/>
      <c r="G429" s="3712"/>
      <c r="H429" s="3712"/>
      <c r="I429" s="3712"/>
      <c r="J429" s="3712"/>
      <c r="K429" s="3712"/>
      <c r="L429" s="3712"/>
      <c r="M429" s="3712"/>
      <c r="N429" s="3712"/>
      <c r="O429" s="3712"/>
      <c r="P429" s="3713"/>
      <c r="Q429" s="445" t="s">
        <v>1253</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4197</v>
      </c>
      <c r="B431" s="928" t="s">
        <v>3355</v>
      </c>
      <c r="C431" s="139"/>
      <c r="D431" s="871"/>
      <c r="H431" s="391"/>
      <c r="M431" s="413">
        <v>2</v>
      </c>
      <c r="N431" s="160" t="s">
        <v>1984</v>
      </c>
      <c r="O431" s="2711"/>
      <c r="P431" s="860"/>
      <c r="Q431" s="1020" t="str">
        <f>IF(OR($O431=$M431,$O431=0,$O431=""),"","*CHECK!*")</f>
        <v/>
      </c>
      <c r="R431" s="1088" t="s">
        <v>2705</v>
      </c>
    </row>
    <row r="432" spans="1:19" s="412" customFormat="1" ht="11.25" customHeight="1">
      <c r="A432" s="526"/>
      <c r="B432" s="3486" t="s">
        <v>4894</v>
      </c>
      <c r="C432" s="3486"/>
      <c r="D432" s="3486"/>
      <c r="E432" s="3486"/>
      <c r="F432" s="3486"/>
      <c r="G432" s="3486"/>
      <c r="H432" s="3486"/>
      <c r="I432" s="3486"/>
      <c r="J432" s="3486"/>
      <c r="K432" s="3486"/>
      <c r="L432" s="3486"/>
      <c r="M432" s="2185" t="s">
        <v>4896</v>
      </c>
      <c r="O432" s="3892">
        <f>'Part VI-Revenues &amp; Expenses'!$O$113</f>
        <v>0</v>
      </c>
      <c r="P432" s="3893"/>
      <c r="Q432" s="172"/>
    </row>
    <row r="433" spans="1:18" s="412" customFormat="1" ht="11.25" customHeight="1">
      <c r="A433" s="526"/>
      <c r="B433" s="3486"/>
      <c r="C433" s="3486"/>
      <c r="D433" s="3486"/>
      <c r="E433" s="3486"/>
      <c r="F433" s="3486"/>
      <c r="G433" s="3486"/>
      <c r="H433" s="3486"/>
      <c r="I433" s="3486"/>
      <c r="J433" s="3486"/>
      <c r="K433" s="3486"/>
      <c r="L433" s="3486"/>
      <c r="M433" s="1227" t="s">
        <v>2828</v>
      </c>
      <c r="N433" s="413"/>
      <c r="O433" s="3823">
        <f>'Part VI-Revenues &amp; Expenses'!$O$67</f>
        <v>40</v>
      </c>
      <c r="P433" s="3824"/>
      <c r="Q433" s="172"/>
    </row>
    <row r="434" spans="1:18" s="412" customFormat="1" ht="11.25" customHeight="1">
      <c r="A434" s="526"/>
      <c r="B434" s="3486"/>
      <c r="C434" s="3486"/>
      <c r="D434" s="3486"/>
      <c r="E434" s="3486"/>
      <c r="F434" s="3486"/>
      <c r="G434" s="3486"/>
      <c r="H434" s="3486"/>
      <c r="I434" s="3486"/>
      <c r="J434" s="3486"/>
      <c r="K434" s="3486"/>
      <c r="L434" s="3486"/>
      <c r="M434" s="2112" t="s">
        <v>2829</v>
      </c>
      <c r="N434" s="413"/>
      <c r="O434" s="3821">
        <f>IF(O433=0,0,L420/O433)</f>
        <v>0</v>
      </c>
      <c r="P434" s="3822"/>
      <c r="Q434" s="172"/>
    </row>
    <row r="435" spans="1:18" s="42" customFormat="1" ht="11.25" customHeight="1" thickBot="1">
      <c r="A435" s="41"/>
      <c r="B435" s="1206" t="s">
        <v>3752</v>
      </c>
      <c r="C435" s="41"/>
      <c r="D435" s="47"/>
      <c r="E435" s="47"/>
      <c r="F435" s="47"/>
      <c r="G435" s="47"/>
      <c r="H435" s="35"/>
      <c r="I435" s="35"/>
      <c r="J435" s="35"/>
      <c r="K435" s="35"/>
      <c r="M435" s="45"/>
      <c r="N435" s="61"/>
      <c r="O435" s="2"/>
      <c r="P435" s="2290"/>
    </row>
    <row r="436" spans="1:18" s="42" customFormat="1" ht="21.75" customHeight="1" thickTop="1" thickBot="1">
      <c r="A436" s="3818"/>
      <c r="B436" s="3819"/>
      <c r="C436" s="3819"/>
      <c r="D436" s="3819"/>
      <c r="E436" s="3819"/>
      <c r="F436" s="3819"/>
      <c r="G436" s="3819"/>
      <c r="H436" s="3819"/>
      <c r="I436" s="3819"/>
      <c r="J436" s="3819"/>
      <c r="K436" s="3819"/>
      <c r="L436" s="3819"/>
      <c r="M436" s="3819"/>
      <c r="N436" s="3819"/>
      <c r="O436" s="3819"/>
      <c r="P436" s="3820"/>
      <c r="Q436" s="1074" t="s">
        <v>1253</v>
      </c>
      <c r="R436" s="446"/>
    </row>
    <row r="437" spans="1:18" s="42" customFormat="1" ht="10.5" customHeight="1" thickTop="1">
      <c r="B437" s="85" t="s">
        <v>1865</v>
      </c>
      <c r="C437" s="98"/>
      <c r="D437" s="85"/>
      <c r="E437" s="99"/>
      <c r="F437" s="2291"/>
      <c r="G437" s="2291"/>
      <c r="H437" s="2291"/>
      <c r="I437" s="2291"/>
      <c r="J437" s="2291"/>
      <c r="K437" s="2291"/>
      <c r="L437" s="2291"/>
      <c r="M437" s="2291"/>
      <c r="N437" s="74"/>
      <c r="O437" s="70"/>
      <c r="P437" s="2287"/>
      <c r="Q437" s="426"/>
    </row>
    <row r="438" spans="1:18" s="42" customFormat="1" ht="11.25" customHeight="1">
      <c r="A438" s="3487"/>
      <c r="B438" s="3488"/>
      <c r="C438" s="3488"/>
      <c r="D438" s="3488"/>
      <c r="E438" s="3488"/>
      <c r="F438" s="3488"/>
      <c r="G438" s="3488"/>
      <c r="H438" s="3488"/>
      <c r="I438" s="3488"/>
      <c r="J438" s="3488"/>
      <c r="K438" s="3488"/>
      <c r="L438" s="3488"/>
      <c r="M438" s="3488"/>
      <c r="N438" s="3488"/>
      <c r="O438" s="3488"/>
      <c r="P438" s="3489"/>
      <c r="Q438" s="445"/>
    </row>
    <row r="439" spans="1:18" s="42" customFormat="1" ht="3" customHeight="1" thickBot="1">
      <c r="A439" s="41"/>
      <c r="B439" s="41"/>
      <c r="C439" s="2291"/>
      <c r="D439" s="2291"/>
      <c r="E439" s="2291"/>
      <c r="F439" s="2291"/>
      <c r="G439" s="2291"/>
      <c r="H439" s="2291"/>
      <c r="I439" s="2291"/>
      <c r="J439" s="2291"/>
      <c r="K439" s="2291"/>
      <c r="L439" s="2291"/>
      <c r="M439" s="2291"/>
      <c r="N439" s="74"/>
      <c r="O439" s="70"/>
      <c r="P439" s="887"/>
    </row>
    <row r="440" spans="1:18" s="102" customFormat="1" ht="11.25" customHeight="1" thickBot="1">
      <c r="A440" s="153" t="s">
        <v>4097</v>
      </c>
      <c r="B440" s="105" t="s">
        <v>1672</v>
      </c>
      <c r="D440" s="44"/>
      <c r="E440" s="44"/>
      <c r="F440" s="38"/>
      <c r="G440" s="35"/>
      <c r="I440" s="35"/>
      <c r="J440" s="35"/>
      <c r="K440" s="35"/>
      <c r="L440" s="376" t="str">
        <f>IF(OR($O440=$M440,$O440&lt;=0,$O440=""),"","* * Check Score! * *")</f>
        <v/>
      </c>
      <c r="M440" s="2287">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87"/>
      <c r="N441" s="5"/>
      <c r="O441" s="5"/>
      <c r="P441" s="5"/>
      <c r="Q441" s="109"/>
    </row>
    <row r="442" spans="1:18" s="102" customFormat="1" ht="10.5" customHeight="1">
      <c r="A442" s="153"/>
      <c r="B442" s="86" t="s">
        <v>3655</v>
      </c>
      <c r="D442" s="44"/>
      <c r="E442" s="44"/>
      <c r="F442" s="38"/>
      <c r="G442" s="35"/>
      <c r="I442" s="35"/>
      <c r="J442" s="35"/>
      <c r="K442" s="35"/>
      <c r="L442" s="376"/>
      <c r="M442" s="2287"/>
      <c r="N442" s="5"/>
      <c r="O442" s="1147">
        <v>10</v>
      </c>
      <c r="P442" s="1147">
        <v>10</v>
      </c>
      <c r="Q442" s="109"/>
    </row>
    <row r="443" spans="1:18" s="102" customFormat="1" ht="10.5" customHeight="1">
      <c r="A443" s="153"/>
      <c r="B443" s="86" t="s">
        <v>3656</v>
      </c>
      <c r="D443" s="44"/>
      <c r="E443" s="44"/>
      <c r="F443" s="38"/>
      <c r="G443" s="35"/>
      <c r="I443" s="35"/>
      <c r="J443" s="35"/>
      <c r="K443" s="35"/>
      <c r="L443" s="376"/>
      <c r="M443" s="2287"/>
      <c r="N443" s="5"/>
      <c r="O443" s="2752"/>
      <c r="P443" s="1140"/>
      <c r="Q443" s="109"/>
    </row>
    <row r="444" spans="1:18" s="102" customFormat="1" ht="10.5" customHeight="1">
      <c r="A444" s="153"/>
      <c r="B444" s="86" t="s">
        <v>3657</v>
      </c>
      <c r="D444" s="44"/>
      <c r="E444" s="44"/>
      <c r="F444" s="38"/>
      <c r="G444" s="35"/>
      <c r="I444" s="35"/>
      <c r="J444" s="35"/>
      <c r="K444" s="35"/>
      <c r="L444" s="376"/>
      <c r="M444" s="2287"/>
      <c r="N444" s="5"/>
      <c r="O444" s="2753"/>
      <c r="P444" s="530"/>
      <c r="Q444" s="109"/>
    </row>
    <row r="445" spans="1:18" s="102" customFormat="1" ht="10.5" customHeight="1">
      <c r="A445" s="66"/>
      <c r="B445" s="66" t="s">
        <v>1865</v>
      </c>
      <c r="C445" s="49"/>
      <c r="D445" s="66"/>
      <c r="E445" s="2296"/>
      <c r="F445" s="2296"/>
      <c r="G445" s="2296"/>
      <c r="H445" s="2296"/>
      <c r="I445" s="2296"/>
      <c r="J445" s="2296"/>
      <c r="K445" s="2296"/>
      <c r="L445" s="2296"/>
      <c r="M445" s="2296"/>
      <c r="N445" s="93"/>
      <c r="O445" s="872"/>
      <c r="P445" s="2287"/>
    </row>
    <row r="446" spans="1:18" s="42" customFormat="1" ht="11.25" customHeight="1">
      <c r="A446" s="3487"/>
      <c r="B446" s="3488"/>
      <c r="C446" s="3488"/>
      <c r="D446" s="3488"/>
      <c r="E446" s="3488"/>
      <c r="F446" s="3488"/>
      <c r="G446" s="3488"/>
      <c r="H446" s="3488"/>
      <c r="I446" s="3488"/>
      <c r="J446" s="3488"/>
      <c r="K446" s="3488"/>
      <c r="L446" s="3488"/>
      <c r="M446" s="3488"/>
      <c r="N446" s="3488"/>
      <c r="O446" s="3488"/>
      <c r="P446" s="3489"/>
      <c r="Q446" s="445"/>
      <c r="R446" s="446"/>
    </row>
    <row r="447" spans="1:18" s="42" customFormat="1" ht="6" customHeight="1" thickBot="1">
      <c r="A447" s="153"/>
      <c r="B447" s="41"/>
      <c r="C447" s="2291"/>
      <c r="D447" s="2291"/>
      <c r="E447" s="2291"/>
      <c r="F447" s="2291"/>
      <c r="G447" s="2291"/>
      <c r="H447" s="2291"/>
      <c r="I447" s="2291"/>
      <c r="J447" s="2291"/>
      <c r="K447" s="2291"/>
      <c r="L447" s="2291"/>
      <c r="M447" s="2291"/>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31</v>
      </c>
      <c r="P448" s="1135">
        <f>-P8+P22+P47+P61+P71+P107+P153+P189+P228+P277+P298+P306+P329+P342+P359+P369+P384+P420+P440</f>
        <v>20</v>
      </c>
    </row>
    <row r="449" spans="1:19" s="41" customFormat="1" ht="11.25" customHeight="1" thickTop="1">
      <c r="A449" s="53"/>
      <c r="B449" s="67"/>
      <c r="C449" s="53"/>
      <c r="D449" s="34"/>
      <c r="E449" s="34"/>
      <c r="F449" s="69"/>
      <c r="G449" s="69"/>
      <c r="H449" s="165" t="s">
        <v>4187</v>
      </c>
      <c r="J449" s="68"/>
      <c r="K449" s="68"/>
      <c r="L449" s="42"/>
      <c r="M449" s="34"/>
      <c r="N449" s="2287"/>
      <c r="O449" s="2287"/>
      <c r="P449" s="461">
        <f>P228</f>
        <v>0</v>
      </c>
    </row>
    <row r="450" spans="1:19" s="41" customFormat="1" ht="11.25" customHeight="1">
      <c r="A450" s="53"/>
      <c r="B450" s="67"/>
      <c r="C450" s="53"/>
      <c r="D450" s="34"/>
      <c r="E450" s="34"/>
      <c r="F450" s="69"/>
      <c r="G450" s="69"/>
      <c r="H450" s="165" t="s">
        <v>4188</v>
      </c>
      <c r="J450" s="68"/>
      <c r="K450" s="68"/>
      <c r="L450" s="42"/>
      <c r="M450" s="34"/>
      <c r="N450" s="2287"/>
      <c r="O450" s="461"/>
      <c r="P450" s="461">
        <f>P342</f>
        <v>0</v>
      </c>
    </row>
    <row r="451" spans="1:19" s="42" customFormat="1" ht="11.25" customHeight="1">
      <c r="A451" s="41"/>
      <c r="D451" s="38"/>
      <c r="E451" s="35"/>
      <c r="F451" s="887"/>
      <c r="H451" s="165" t="s">
        <v>4195</v>
      </c>
      <c r="I451" s="887"/>
      <c r="J451" s="897"/>
      <c r="K451" s="897"/>
      <c r="L451" s="897"/>
      <c r="M451" s="59"/>
      <c r="N451" s="887"/>
      <c r="O451" s="2290"/>
      <c r="P451" s="1147">
        <f>P448-P449-P450</f>
        <v>20</v>
      </c>
    </row>
    <row r="452" spans="1:19" s="158" customFormat="1" ht="2.25" customHeight="1">
      <c r="A452" s="53"/>
      <c r="B452" s="67"/>
      <c r="C452" s="53"/>
      <c r="D452" s="147"/>
      <c r="E452" s="147"/>
      <c r="F452" s="39"/>
      <c r="G452" s="39"/>
      <c r="H452" s="69"/>
      <c r="I452" s="69"/>
      <c r="J452" s="479"/>
      <c r="K452" s="479"/>
      <c r="L452" s="42"/>
      <c r="M452" s="147"/>
      <c r="N452" s="2287"/>
      <c r="O452" s="2287"/>
      <c r="P452" s="2"/>
    </row>
    <row r="453" spans="1:19" s="42" customFormat="1" ht="22.5" customHeight="1">
      <c r="A453" s="3891" t="s">
        <v>3686</v>
      </c>
      <c r="B453" s="3891"/>
      <c r="C453" s="3891"/>
      <c r="D453" s="3891"/>
      <c r="E453" s="3891"/>
      <c r="F453" s="3891"/>
      <c r="G453" s="3891"/>
      <c r="H453" s="3891"/>
      <c r="I453" s="3891"/>
      <c r="J453" s="3891"/>
      <c r="K453" s="3891"/>
      <c r="L453" s="3891"/>
      <c r="M453" s="3891"/>
      <c r="N453" s="3891"/>
      <c r="O453" s="3891"/>
      <c r="P453" s="3891"/>
    </row>
    <row r="454" spans="1:19" s="42" customFormat="1" ht="84" customHeight="1">
      <c r="A454" s="3531"/>
      <c r="B454" s="3532"/>
      <c r="C454" s="3532"/>
      <c r="D454" s="3532"/>
      <c r="E454" s="3532"/>
      <c r="F454" s="3532"/>
      <c r="G454" s="3532"/>
      <c r="H454" s="3532"/>
      <c r="I454" s="3532"/>
      <c r="J454" s="3532"/>
      <c r="K454" s="3532"/>
      <c r="L454" s="3532"/>
      <c r="M454" s="3532"/>
      <c r="N454" s="3532"/>
      <c r="O454" s="3532"/>
      <c r="P454" s="3533"/>
      <c r="Q454" s="445" t="s">
        <v>1253</v>
      </c>
      <c r="R454" s="446"/>
    </row>
    <row r="455" spans="1:19" s="158" customFormat="1">
      <c r="N455" s="120"/>
      <c r="O455" s="2283"/>
      <c r="P455" s="2283"/>
    </row>
    <row r="456" spans="1:19" s="158" customFormat="1">
      <c r="N456" s="120"/>
      <c r="O456" s="2283"/>
      <c r="P456" s="2283"/>
      <c r="Q456" s="482"/>
      <c r="R456" s="482"/>
      <c r="S456" s="482"/>
    </row>
    <row r="457" spans="1:19" s="158" customFormat="1">
      <c r="N457" s="120"/>
      <c r="O457" s="2283"/>
      <c r="P457" s="2283"/>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1648</v>
      </c>
      <c r="D459" s="451"/>
      <c r="E459" s="451"/>
      <c r="F459" s="451"/>
      <c r="G459" s="451"/>
      <c r="H459" s="451"/>
      <c r="I459" s="451"/>
      <c r="J459" s="451" t="s">
        <v>1013</v>
      </c>
      <c r="K459" s="451"/>
      <c r="L459" s="451"/>
      <c r="M459" s="451"/>
      <c r="N459" s="452"/>
      <c r="O459" s="1193"/>
      <c r="P459" s="1193"/>
      <c r="Q459" s="1121"/>
    </row>
    <row r="460" spans="1:19" s="482" customFormat="1">
      <c r="C460" s="451" t="s">
        <v>2088</v>
      </c>
      <c r="D460" s="451"/>
      <c r="E460" s="451"/>
      <c r="F460" s="451"/>
      <c r="G460" s="451"/>
      <c r="H460" s="451"/>
      <c r="I460" s="451"/>
      <c r="J460" s="451" t="s">
        <v>1770</v>
      </c>
      <c r="K460" s="451"/>
      <c r="L460" s="451"/>
      <c r="M460" s="451"/>
      <c r="N460" s="452"/>
      <c r="O460" s="1193"/>
      <c r="P460" s="1193"/>
      <c r="Q460" s="1121"/>
    </row>
    <row r="461" spans="1:19" s="482" customFormat="1">
      <c r="C461" s="451" t="s">
        <v>2543</v>
      </c>
      <c r="D461" s="451"/>
      <c r="E461" s="451"/>
      <c r="F461" s="451"/>
      <c r="G461" s="451"/>
      <c r="H461" s="451"/>
      <c r="I461" s="451"/>
      <c r="J461" s="1194" t="s">
        <v>230</v>
      </c>
      <c r="K461" s="451"/>
      <c r="L461" s="451"/>
      <c r="M461" s="451"/>
      <c r="N461" s="452"/>
      <c r="O461" s="1193"/>
      <c r="P461" s="1193"/>
      <c r="Q461" s="1121"/>
    </row>
    <row r="462" spans="1:19" s="482" customFormat="1">
      <c r="C462" s="451" t="s">
        <v>2089</v>
      </c>
      <c r="D462" s="451"/>
      <c r="E462" s="451"/>
      <c r="F462" s="451"/>
      <c r="G462" s="451"/>
      <c r="H462" s="451"/>
      <c r="I462" s="451"/>
      <c r="J462" s="1194" t="s">
        <v>1650</v>
      </c>
      <c r="K462" s="451"/>
      <c r="L462" s="451"/>
      <c r="M462" s="451"/>
      <c r="N462" s="452"/>
      <c r="O462" s="1193"/>
      <c r="P462" s="1193"/>
      <c r="Q462" s="1121"/>
    </row>
    <row r="463" spans="1:19" s="482" customFormat="1">
      <c r="C463" s="451" t="s">
        <v>2090</v>
      </c>
      <c r="D463" s="451"/>
      <c r="E463" s="451"/>
      <c r="F463" s="451"/>
      <c r="G463" s="451"/>
      <c r="H463" s="451"/>
      <c r="I463" s="451"/>
      <c r="J463" s="1194" t="s">
        <v>1651</v>
      </c>
      <c r="K463" s="451"/>
      <c r="L463" s="451"/>
      <c r="M463" s="451"/>
      <c r="N463" s="452"/>
      <c r="O463" s="1193"/>
      <c r="P463" s="1193"/>
      <c r="Q463" s="1121"/>
    </row>
    <row r="464" spans="1:19" s="482" customFormat="1">
      <c r="C464" s="1195" t="s">
        <v>2091</v>
      </c>
      <c r="D464" s="451"/>
      <c r="E464" s="451"/>
      <c r="F464" s="451"/>
      <c r="G464" s="451"/>
      <c r="H464" s="451"/>
      <c r="I464" s="451"/>
      <c r="J464" s="1194" t="s">
        <v>2504</v>
      </c>
      <c r="K464" s="451"/>
      <c r="L464" s="451"/>
      <c r="M464" s="451"/>
      <c r="N464" s="452"/>
      <c r="O464" s="1193"/>
      <c r="P464" s="1193"/>
      <c r="Q464" s="1121"/>
    </row>
    <row r="465" spans="3:17" s="482" customFormat="1">
      <c r="C465" s="1195" t="s">
        <v>2092</v>
      </c>
      <c r="D465" s="451"/>
      <c r="E465" s="451"/>
      <c r="F465" s="451"/>
      <c r="G465" s="451"/>
      <c r="H465" s="451"/>
      <c r="I465" s="451"/>
      <c r="J465" s="1194" t="s">
        <v>1652</v>
      </c>
      <c r="K465" s="451"/>
      <c r="L465" s="451"/>
      <c r="M465" s="451"/>
      <c r="N465" s="452"/>
      <c r="O465" s="1193"/>
      <c r="P465" s="1193"/>
      <c r="Q465" s="1121"/>
    </row>
    <row r="466" spans="3:17" s="482" customFormat="1">
      <c r="C466" s="1195"/>
      <c r="D466" s="451"/>
      <c r="E466" s="451"/>
      <c r="F466" s="451"/>
      <c r="G466" s="451"/>
      <c r="H466" s="451"/>
      <c r="I466" s="451"/>
      <c r="J466" s="1194" t="s">
        <v>1653</v>
      </c>
      <c r="K466" s="451"/>
      <c r="L466" s="451"/>
      <c r="M466" s="451"/>
      <c r="N466" s="452"/>
      <c r="O466" s="1193"/>
      <c r="P466" s="1193"/>
      <c r="Q466" s="1121"/>
    </row>
    <row r="467" spans="3:17" s="482" customFormat="1">
      <c r="C467" s="451" t="s">
        <v>1770</v>
      </c>
      <c r="D467" s="451"/>
      <c r="E467" s="451"/>
      <c r="F467" s="451"/>
      <c r="G467" s="451"/>
      <c r="H467" s="451"/>
      <c r="I467" s="451"/>
      <c r="J467" s="1194" t="s">
        <v>1654</v>
      </c>
      <c r="K467" s="451"/>
      <c r="L467" s="451"/>
      <c r="M467" s="451"/>
      <c r="N467" s="452"/>
      <c r="O467" s="1193"/>
      <c r="P467" s="1193"/>
      <c r="Q467" s="1121"/>
    </row>
    <row r="468" spans="3:17" s="482" customFormat="1">
      <c r="C468" s="1122" t="s">
        <v>1389</v>
      </c>
      <c r="D468" s="451"/>
      <c r="E468" s="451"/>
      <c r="F468" s="451"/>
      <c r="G468" s="451"/>
      <c r="H468" s="451"/>
      <c r="I468" s="451"/>
      <c r="J468" s="1194" t="s">
        <v>1655</v>
      </c>
      <c r="K468" s="451"/>
      <c r="L468" s="451"/>
      <c r="M468" s="451"/>
      <c r="N468" s="452"/>
      <c r="O468" s="1193"/>
      <c r="P468" s="1193"/>
      <c r="Q468" s="1121"/>
    </row>
    <row r="469" spans="3:17" s="482" customFormat="1">
      <c r="C469" s="1122" t="s">
        <v>1390</v>
      </c>
      <c r="D469" s="451"/>
      <c r="E469" s="451"/>
      <c r="F469" s="451"/>
      <c r="G469" s="451"/>
      <c r="H469" s="451"/>
      <c r="I469" s="451"/>
      <c r="J469" s="1194" t="s">
        <v>1656</v>
      </c>
      <c r="K469" s="451"/>
      <c r="L469" s="451"/>
      <c r="M469" s="451"/>
      <c r="N469" s="452"/>
      <c r="O469" s="1193"/>
      <c r="P469" s="1193"/>
      <c r="Q469" s="1121"/>
    </row>
    <row r="470" spans="3:17" s="482" customFormat="1">
      <c r="C470" s="1196" t="s">
        <v>2132</v>
      </c>
      <c r="D470" s="451"/>
      <c r="E470" s="451"/>
      <c r="F470" s="451"/>
      <c r="G470" s="451"/>
      <c r="H470" s="451"/>
      <c r="I470" s="451"/>
      <c r="J470" s="1194" t="s">
        <v>1657</v>
      </c>
      <c r="K470" s="451"/>
      <c r="L470" s="451"/>
      <c r="M470" s="451"/>
      <c r="N470" s="452"/>
      <c r="O470" s="1193"/>
      <c r="P470" s="1193"/>
      <c r="Q470" s="1121"/>
    </row>
    <row r="471" spans="3:17" s="482" customFormat="1">
      <c r="C471" s="1196" t="s">
        <v>1386</v>
      </c>
      <c r="D471" s="451"/>
      <c r="E471" s="451"/>
      <c r="F471" s="451"/>
      <c r="G471" s="451"/>
      <c r="H471" s="451"/>
      <c r="I471" s="451"/>
      <c r="J471" s="1194" t="s">
        <v>590</v>
      </c>
      <c r="K471" s="451"/>
      <c r="L471" s="451"/>
      <c r="M471" s="451"/>
      <c r="N471" s="452"/>
      <c r="O471" s="1193"/>
      <c r="P471" s="1193"/>
      <c r="Q471" s="1121"/>
    </row>
    <row r="472" spans="3:17" s="482" customFormat="1">
      <c r="C472" s="1196" t="s">
        <v>1387</v>
      </c>
      <c r="D472" s="451"/>
      <c r="E472" s="451"/>
      <c r="F472" s="451"/>
      <c r="G472" s="451"/>
      <c r="H472" s="451"/>
      <c r="I472" s="451"/>
      <c r="J472" s="1194" t="s">
        <v>1658</v>
      </c>
      <c r="K472" s="451"/>
      <c r="L472" s="451"/>
      <c r="M472" s="451"/>
      <c r="N472" s="452"/>
      <c r="O472" s="1193"/>
      <c r="P472" s="1193"/>
      <c r="Q472" s="1121"/>
    </row>
    <row r="473" spans="3:17" s="482" customFormat="1">
      <c r="C473" s="1122" t="s">
        <v>2127</v>
      </c>
      <c r="D473" s="451"/>
      <c r="E473" s="451"/>
      <c r="F473" s="451"/>
      <c r="G473" s="451"/>
      <c r="H473" s="451"/>
      <c r="I473" s="451"/>
      <c r="J473" s="1194" t="s">
        <v>1659</v>
      </c>
      <c r="K473" s="451"/>
      <c r="L473" s="451"/>
      <c r="M473" s="451"/>
      <c r="N473" s="452"/>
      <c r="O473" s="1193"/>
      <c r="P473" s="1193"/>
      <c r="Q473" s="1121"/>
    </row>
    <row r="474" spans="3:17" s="482" customFormat="1">
      <c r="C474" s="1122" t="s">
        <v>2128</v>
      </c>
      <c r="D474" s="451"/>
      <c r="E474" s="451"/>
      <c r="F474" s="451"/>
      <c r="G474" s="451"/>
      <c r="H474" s="451"/>
      <c r="I474" s="451"/>
      <c r="J474" s="1194" t="s">
        <v>1660</v>
      </c>
      <c r="K474" s="451"/>
      <c r="L474" s="451"/>
      <c r="M474" s="451"/>
      <c r="N474" s="452"/>
      <c r="O474" s="1193"/>
      <c r="P474" s="1193"/>
      <c r="Q474" s="1121"/>
    </row>
    <row r="475" spans="3:17" s="482" customFormat="1">
      <c r="C475" s="1122" t="s">
        <v>2129</v>
      </c>
      <c r="D475" s="451"/>
      <c r="E475" s="451"/>
      <c r="F475" s="451"/>
      <c r="G475" s="451"/>
      <c r="H475" s="451"/>
      <c r="I475" s="451"/>
      <c r="J475" s="1194" t="s">
        <v>35</v>
      </c>
      <c r="K475" s="451"/>
      <c r="L475" s="451"/>
      <c r="M475" s="451"/>
      <c r="N475" s="452"/>
      <c r="O475" s="1193"/>
      <c r="P475" s="1193"/>
      <c r="Q475" s="1121"/>
    </row>
    <row r="476" spans="3:17" s="482" customFormat="1">
      <c r="C476" s="1122" t="s">
        <v>2130</v>
      </c>
      <c r="D476" s="451"/>
      <c r="E476" s="451"/>
      <c r="F476" s="451"/>
      <c r="G476" s="451"/>
      <c r="H476" s="451"/>
      <c r="I476" s="451"/>
      <c r="J476" s="451"/>
      <c r="K476" s="451"/>
      <c r="L476" s="451"/>
      <c r="M476" s="451"/>
      <c r="N476" s="452"/>
      <c r="O476" s="1193"/>
      <c r="P476" s="1193"/>
      <c r="Q476" s="1121"/>
    </row>
    <row r="477" spans="3:17" s="482" customFormat="1">
      <c r="C477" s="1122" t="s">
        <v>2131</v>
      </c>
      <c r="D477" s="451"/>
      <c r="E477" s="451"/>
      <c r="F477" s="451"/>
      <c r="G477" s="451"/>
      <c r="H477" s="451"/>
      <c r="I477" s="451"/>
      <c r="J477" s="1197" t="s">
        <v>3413</v>
      </c>
      <c r="K477" s="451"/>
      <c r="L477" s="451"/>
      <c r="M477" s="451"/>
      <c r="N477" s="452"/>
      <c r="O477" s="1197" t="s">
        <v>3766</v>
      </c>
      <c r="P477" s="1193"/>
      <c r="Q477" s="1121"/>
    </row>
    <row r="478" spans="3:17" s="482" customFormat="1">
      <c r="C478" s="1122" t="s">
        <v>1388</v>
      </c>
      <c r="D478" s="451"/>
      <c r="E478" s="451"/>
      <c r="F478" s="451"/>
      <c r="G478" s="451"/>
      <c r="H478" s="451"/>
      <c r="I478" s="451"/>
      <c r="J478" s="1194" t="s">
        <v>3414</v>
      </c>
      <c r="K478" s="451"/>
      <c r="L478" s="451"/>
      <c r="M478" s="451"/>
      <c r="N478" s="452"/>
      <c r="O478" s="1193"/>
      <c r="P478" s="1193"/>
      <c r="Q478" s="1121"/>
    </row>
    <row r="479" spans="3:17" s="482" customFormat="1">
      <c r="C479" s="1122" t="s">
        <v>2281</v>
      </c>
      <c r="D479" s="89"/>
      <c r="E479" s="89"/>
      <c r="F479" s="451"/>
      <c r="G479" s="451"/>
      <c r="H479" s="451"/>
      <c r="I479" s="451"/>
      <c r="J479" s="451" t="s">
        <v>3398</v>
      </c>
      <c r="K479" s="451"/>
      <c r="L479" s="89"/>
      <c r="M479" s="451"/>
      <c r="N479" s="452"/>
      <c r="O479" s="1193">
        <v>2</v>
      </c>
      <c r="P479" s="1193"/>
      <c r="Q479" s="1121"/>
    </row>
    <row r="480" spans="3:17" s="482" customFormat="1">
      <c r="C480" s="451"/>
      <c r="D480" s="89"/>
      <c r="E480" s="89"/>
      <c r="F480" s="451"/>
      <c r="G480" s="451"/>
      <c r="H480" s="451"/>
      <c r="I480" s="451"/>
      <c r="J480" s="451" t="s">
        <v>3399</v>
      </c>
      <c r="K480" s="451"/>
      <c r="L480" s="89"/>
      <c r="M480" s="451"/>
      <c r="N480" s="452"/>
      <c r="O480" s="1193">
        <v>2</v>
      </c>
      <c r="P480" s="1193"/>
      <c r="Q480" s="1121"/>
    </row>
    <row r="481" spans="1:17" s="482" customFormat="1">
      <c r="C481" s="451"/>
      <c r="D481" s="89"/>
      <c r="E481" s="89"/>
      <c r="F481" s="451"/>
      <c r="G481" s="451"/>
      <c r="H481" s="451"/>
      <c r="I481" s="451"/>
      <c r="J481" s="451" t="s">
        <v>3400</v>
      </c>
      <c r="K481" s="451"/>
      <c r="L481" s="89"/>
      <c r="M481" s="451"/>
      <c r="N481" s="452"/>
      <c r="O481" s="1193">
        <v>2</v>
      </c>
      <c r="P481" s="1193"/>
      <c r="Q481" s="1121"/>
    </row>
    <row r="482" spans="1:17" s="482" customFormat="1">
      <c r="C482" s="451" t="s">
        <v>2784</v>
      </c>
      <c r="D482" s="89"/>
      <c r="E482" s="89"/>
      <c r="F482" s="451"/>
      <c r="G482" s="1198" t="s">
        <v>1502</v>
      </c>
      <c r="H482" s="1199"/>
      <c r="I482" s="1198"/>
      <c r="J482" s="451" t="s">
        <v>3401</v>
      </c>
      <c r="K482" s="451"/>
      <c r="L482" s="591"/>
      <c r="M482" s="451"/>
      <c r="N482" s="452"/>
      <c r="O482" s="1193">
        <v>2</v>
      </c>
      <c r="P482" s="1193"/>
      <c r="Q482" s="1121"/>
    </row>
    <row r="483" spans="1:17" s="482" customFormat="1">
      <c r="C483" s="1200" t="s">
        <v>2786</v>
      </c>
      <c r="D483" s="89"/>
      <c r="E483" s="89"/>
      <c r="F483" s="451"/>
      <c r="G483" s="1201" t="s">
        <v>2521</v>
      </c>
      <c r="H483" s="1199"/>
      <c r="I483" s="1201"/>
      <c r="J483" s="451" t="s">
        <v>3764</v>
      </c>
      <c r="K483" s="451"/>
      <c r="L483" s="2119"/>
      <c r="M483" s="451"/>
      <c r="N483" s="452"/>
      <c r="O483" s="1193">
        <v>2</v>
      </c>
      <c r="P483" s="1193"/>
      <c r="Q483" s="1121"/>
    </row>
    <row r="484" spans="1:17" s="482" customFormat="1">
      <c r="C484" s="1200" t="s">
        <v>2787</v>
      </c>
      <c r="D484" s="89"/>
      <c r="E484" s="89"/>
      <c r="F484" s="451"/>
      <c r="G484" s="1201" t="s">
        <v>1781</v>
      </c>
      <c r="H484" s="1199"/>
      <c r="I484" s="1202"/>
      <c r="J484" s="1199" t="s">
        <v>3402</v>
      </c>
      <c r="K484" s="451"/>
      <c r="L484" s="2062"/>
      <c r="M484" s="451"/>
      <c r="N484" s="452"/>
      <c r="O484" s="1193">
        <v>1</v>
      </c>
      <c r="P484" s="1193"/>
      <c r="Q484" s="1121"/>
    </row>
    <row r="485" spans="1:17" s="482" customFormat="1">
      <c r="C485" s="1200" t="s">
        <v>2788</v>
      </c>
      <c r="D485" s="89"/>
      <c r="E485" s="89"/>
      <c r="F485" s="451"/>
      <c r="G485" s="1201" t="s">
        <v>1635</v>
      </c>
      <c r="H485" s="1199"/>
      <c r="I485" s="1202"/>
      <c r="J485" s="1199" t="s">
        <v>3403</v>
      </c>
      <c r="K485" s="451"/>
      <c r="L485" s="2062"/>
      <c r="M485" s="451"/>
      <c r="N485" s="452"/>
      <c r="O485" s="1193">
        <v>1</v>
      </c>
      <c r="P485" s="1193"/>
      <c r="Q485" s="1121"/>
    </row>
    <row r="486" spans="1:17" s="482" customFormat="1">
      <c r="C486" s="1200" t="s">
        <v>2789</v>
      </c>
      <c r="D486" s="89"/>
      <c r="E486" s="89"/>
      <c r="F486" s="451"/>
      <c r="G486" s="1201" t="s">
        <v>1035</v>
      </c>
      <c r="H486" s="1199"/>
      <c r="I486" s="1202"/>
      <c r="J486" s="1199" t="s">
        <v>3404</v>
      </c>
      <c r="K486" s="451"/>
      <c r="L486" s="2062"/>
      <c r="M486" s="451"/>
      <c r="N486" s="452"/>
      <c r="O486" s="1193">
        <v>1</v>
      </c>
      <c r="P486" s="1193"/>
      <c r="Q486" s="1121"/>
    </row>
    <row r="487" spans="1:17" s="482" customFormat="1">
      <c r="C487" s="1200" t="s">
        <v>2790</v>
      </c>
      <c r="D487" s="89"/>
      <c r="E487" s="89"/>
      <c r="F487" s="451"/>
      <c r="G487" s="1201" t="s">
        <v>2553</v>
      </c>
      <c r="H487" s="1199"/>
      <c r="I487" s="1202"/>
      <c r="J487" s="1199" t="s">
        <v>3765</v>
      </c>
      <c r="K487" s="451"/>
      <c r="L487" s="2062"/>
      <c r="M487" s="451"/>
      <c r="N487" s="452"/>
      <c r="O487" s="1193">
        <v>1</v>
      </c>
      <c r="P487" s="1193"/>
      <c r="Q487" s="1121"/>
    </row>
    <row r="488" spans="1:17" s="482" customFormat="1">
      <c r="C488" s="1200" t="s">
        <v>2791</v>
      </c>
      <c r="D488" s="89"/>
      <c r="E488" s="89"/>
      <c r="F488" s="451"/>
      <c r="G488" s="1201" t="s">
        <v>2070</v>
      </c>
      <c r="H488" s="1199"/>
      <c r="I488" s="1202"/>
      <c r="J488" s="1199" t="s">
        <v>3412</v>
      </c>
      <c r="K488" s="451"/>
      <c r="L488" s="2062"/>
      <c r="M488" s="451"/>
      <c r="N488" s="452"/>
      <c r="O488" s="1193">
        <v>1</v>
      </c>
      <c r="P488" s="1193"/>
      <c r="Q488" s="1121"/>
    </row>
    <row r="489" spans="1:17" s="482" customFormat="1">
      <c r="C489" s="1200"/>
      <c r="D489" s="89"/>
      <c r="E489" s="89"/>
      <c r="F489" s="451"/>
      <c r="G489" s="1201" t="s">
        <v>3804</v>
      </c>
      <c r="H489" s="1199"/>
      <c r="I489" s="1202"/>
      <c r="J489" s="1199" t="s">
        <v>3405</v>
      </c>
      <c r="K489" s="451"/>
      <c r="L489" s="2062"/>
      <c r="M489" s="451"/>
      <c r="N489" s="452"/>
      <c r="O489" s="1193">
        <v>1</v>
      </c>
      <c r="P489" s="1193"/>
      <c r="Q489" s="1121"/>
    </row>
    <row r="490" spans="1:17" s="482" customFormat="1">
      <c r="C490" s="1200"/>
      <c r="D490" s="89"/>
      <c r="E490" s="89"/>
      <c r="F490" s="451"/>
      <c r="G490" s="1201" t="s">
        <v>11</v>
      </c>
      <c r="H490" s="1199"/>
      <c r="I490" s="1202"/>
      <c r="J490" s="1199" t="s">
        <v>3406</v>
      </c>
      <c r="K490" s="451"/>
      <c r="L490" s="2062"/>
      <c r="M490" s="451"/>
      <c r="N490" s="452"/>
      <c r="O490" s="1193">
        <v>1</v>
      </c>
      <c r="P490" s="1193"/>
      <c r="Q490" s="1121"/>
    </row>
    <row r="491" spans="1:17" s="482" customFormat="1">
      <c r="C491" s="1200"/>
      <c r="D491" s="451"/>
      <c r="E491" s="451"/>
      <c r="F491" s="451"/>
      <c r="G491" s="1201" t="s">
        <v>356</v>
      </c>
      <c r="H491" s="1199"/>
      <c r="I491" s="1202"/>
      <c r="J491" s="1199" t="s">
        <v>3407</v>
      </c>
      <c r="K491" s="451"/>
      <c r="L491" s="1202"/>
      <c r="M491" s="451"/>
      <c r="N491" s="452"/>
      <c r="O491" s="1193">
        <v>1</v>
      </c>
      <c r="P491" s="1193"/>
      <c r="Q491" s="1121"/>
    </row>
    <row r="492" spans="1:17" s="482" customFormat="1">
      <c r="C492" s="451"/>
      <c r="D492" s="451"/>
      <c r="E492" s="451"/>
      <c r="F492" s="451"/>
      <c r="G492" s="1201" t="s">
        <v>1331</v>
      </c>
      <c r="H492" s="1199"/>
      <c r="I492" s="1202"/>
      <c r="J492" s="1199" t="s">
        <v>3408</v>
      </c>
      <c r="K492" s="451"/>
      <c r="L492" s="1202"/>
      <c r="M492" s="451"/>
      <c r="N492" s="452"/>
      <c r="O492" s="1193">
        <v>1</v>
      </c>
      <c r="P492" s="1193"/>
      <c r="Q492" s="1121"/>
    </row>
    <row r="493" spans="1:17" s="482" customFormat="1">
      <c r="C493" s="451"/>
      <c r="D493" s="451"/>
      <c r="E493" s="451"/>
      <c r="F493" s="451"/>
      <c r="G493" s="1201" t="s">
        <v>1503</v>
      </c>
      <c r="H493" s="1199"/>
      <c r="I493" s="1202"/>
      <c r="J493" s="1199" t="s">
        <v>3411</v>
      </c>
      <c r="K493" s="451"/>
      <c r="L493" s="1202"/>
      <c r="M493" s="451"/>
      <c r="N493" s="452"/>
      <c r="O493" s="1193">
        <v>1</v>
      </c>
      <c r="P493" s="1193"/>
      <c r="Q493" s="1121"/>
    </row>
    <row r="494" spans="1:17" s="482" customFormat="1">
      <c r="A494" s="1043" t="s">
        <v>2793</v>
      </c>
      <c r="C494" s="451"/>
      <c r="D494" s="451"/>
      <c r="E494" s="451"/>
      <c r="F494" s="451"/>
      <c r="G494" s="1201" t="s">
        <v>1021</v>
      </c>
      <c r="H494" s="1199"/>
      <c r="I494" s="1202"/>
      <c r="J494" s="1199" t="s">
        <v>3409</v>
      </c>
      <c r="K494" s="451"/>
      <c r="L494" s="1202"/>
      <c r="M494" s="451"/>
      <c r="N494" s="452"/>
      <c r="O494" s="1193">
        <v>1</v>
      </c>
      <c r="P494" s="1193"/>
      <c r="Q494" s="1121"/>
    </row>
    <row r="495" spans="1:17" s="482" customFormat="1">
      <c r="A495" s="1043" t="s">
        <v>2821</v>
      </c>
      <c r="C495" s="451"/>
      <c r="D495" s="451"/>
      <c r="E495" s="451"/>
      <c r="F495" s="451"/>
      <c r="G495" s="1201" t="s">
        <v>1757</v>
      </c>
      <c r="H495" s="1199"/>
      <c r="I495" s="1202"/>
      <c r="J495" s="1199" t="s">
        <v>3410</v>
      </c>
      <c r="K495" s="451"/>
      <c r="L495" s="1202"/>
      <c r="M495" s="451"/>
      <c r="N495" s="452"/>
      <c r="O495" s="1193">
        <v>1</v>
      </c>
      <c r="P495" s="1193"/>
      <c r="Q495" s="1121"/>
    </row>
    <row r="496" spans="1:17" s="482" customFormat="1">
      <c r="A496" s="1052" t="s">
        <v>3374</v>
      </c>
      <c r="C496" s="451"/>
      <c r="D496" s="1200"/>
      <c r="E496" s="1200">
        <v>3</v>
      </c>
      <c r="F496" s="451"/>
      <c r="G496" s="1201" t="s">
        <v>2059</v>
      </c>
      <c r="H496" s="1199"/>
      <c r="I496" s="1202"/>
      <c r="J496" s="451"/>
      <c r="K496" s="451"/>
      <c r="L496" s="2062"/>
      <c r="M496" s="451"/>
      <c r="N496" s="452"/>
      <c r="O496" s="1193"/>
      <c r="P496" s="1193"/>
      <c r="Q496" s="1121"/>
    </row>
    <row r="497" spans="1:17" s="482" customFormat="1">
      <c r="A497" s="1052" t="s">
        <v>3375</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3376</v>
      </c>
      <c r="C498" s="451"/>
      <c r="D498" s="1200"/>
      <c r="E498" s="1200">
        <v>10</v>
      </c>
      <c r="F498" s="451"/>
      <c r="G498" s="1201" t="s">
        <v>2488</v>
      </c>
      <c r="H498" s="1199"/>
      <c r="I498" s="1202"/>
      <c r="J498" s="2064" t="s">
        <v>3775</v>
      </c>
      <c r="K498" s="451"/>
      <c r="L498" s="2062"/>
      <c r="M498" s="451"/>
      <c r="N498" s="452"/>
      <c r="O498" s="1193"/>
      <c r="P498" s="1193"/>
      <c r="Q498" s="1121"/>
    </row>
    <row r="499" spans="1:17" s="482" customFormat="1">
      <c r="A499" s="1052" t="s">
        <v>2822</v>
      </c>
      <c r="C499" s="451"/>
      <c r="D499" s="1200"/>
      <c r="E499" s="1200"/>
      <c r="F499" s="451"/>
      <c r="G499" s="1201" t="s">
        <v>894</v>
      </c>
      <c r="H499" s="1199"/>
      <c r="I499" s="1202"/>
      <c r="J499" s="1199" t="s">
        <v>3977</v>
      </c>
      <c r="K499" s="451"/>
      <c r="L499" s="2062"/>
      <c r="M499" s="451"/>
      <c r="N499" s="452"/>
      <c r="O499" s="1193"/>
      <c r="P499" s="1193"/>
      <c r="Q499" s="1121"/>
    </row>
    <row r="500" spans="1:17" s="482" customFormat="1">
      <c r="C500" s="1200"/>
      <c r="D500" s="451"/>
      <c r="E500" s="451"/>
      <c r="F500" s="451"/>
      <c r="G500" s="1201" t="s">
        <v>2139</v>
      </c>
      <c r="H500" s="1199"/>
      <c r="I500" s="1202"/>
      <c r="J500" s="1199" t="s">
        <v>3972</v>
      </c>
      <c r="K500" s="451"/>
      <c r="L500" s="2062"/>
      <c r="M500" s="451"/>
      <c r="N500" s="452"/>
      <c r="O500" s="1193"/>
      <c r="P500" s="1193"/>
      <c r="Q500" s="1121"/>
    </row>
    <row r="501" spans="1:17" s="482" customFormat="1">
      <c r="C501" s="1200"/>
      <c r="D501" s="451"/>
      <c r="E501" s="451"/>
      <c r="F501" s="451"/>
      <c r="G501" s="1201" t="s">
        <v>2057</v>
      </c>
      <c r="H501" s="1199"/>
      <c r="I501" s="1202"/>
      <c r="J501" s="1199" t="s">
        <v>3768</v>
      </c>
      <c r="K501" s="1199"/>
      <c r="L501" s="2062"/>
      <c r="M501" s="451"/>
      <c r="N501" s="452"/>
      <c r="O501" s="1193"/>
      <c r="P501" s="1193"/>
      <c r="Q501" s="1121"/>
    </row>
    <row r="502" spans="1:17" s="482" customFormat="1">
      <c r="C502" s="1200"/>
      <c r="D502" s="451"/>
      <c r="E502" s="451"/>
      <c r="F502" s="451"/>
      <c r="G502" s="1201" t="s">
        <v>600</v>
      </c>
      <c r="H502" s="1202"/>
      <c r="I502" s="1199"/>
      <c r="J502" s="1199" t="s">
        <v>3966</v>
      </c>
      <c r="K502" s="451"/>
      <c r="L502" s="2062"/>
      <c r="M502" s="451"/>
      <c r="N502" s="452"/>
      <c r="O502" s="1193"/>
      <c r="P502" s="1193"/>
      <c r="Q502" s="1121"/>
    </row>
    <row r="503" spans="1:17" s="482" customFormat="1">
      <c r="C503" s="1200"/>
      <c r="D503" s="451"/>
      <c r="E503" s="451"/>
      <c r="F503" s="451"/>
      <c r="G503" s="1201" t="s">
        <v>335</v>
      </c>
      <c r="H503" s="1202"/>
      <c r="I503" s="1199"/>
      <c r="J503" s="1199" t="s">
        <v>3769</v>
      </c>
      <c r="K503" s="1199"/>
      <c r="L503" s="2062"/>
      <c r="M503" s="451"/>
      <c r="N503" s="452"/>
      <c r="O503" s="1193"/>
      <c r="P503" s="1193"/>
      <c r="Q503" s="1121"/>
    </row>
    <row r="504" spans="1:17" s="482" customFormat="1">
      <c r="C504" s="451"/>
      <c r="D504" s="451"/>
      <c r="E504" s="451"/>
      <c r="F504" s="451"/>
      <c r="G504" s="1201" t="s">
        <v>872</v>
      </c>
      <c r="H504" s="1202"/>
      <c r="I504" s="1199"/>
      <c r="J504" s="1199" t="s">
        <v>3967</v>
      </c>
      <c r="K504" s="451"/>
      <c r="L504" s="2062"/>
      <c r="M504" s="451"/>
      <c r="N504" s="452"/>
      <c r="O504" s="1193"/>
      <c r="P504" s="1193"/>
      <c r="Q504" s="1121"/>
    </row>
    <row r="505" spans="1:17" s="482" customFormat="1">
      <c r="C505" s="451"/>
      <c r="D505" s="451"/>
      <c r="E505" s="451"/>
      <c r="F505" s="451"/>
      <c r="G505" s="1201" t="s">
        <v>1923</v>
      </c>
      <c r="H505" s="1202"/>
      <c r="I505" s="1199"/>
      <c r="J505" s="1199" t="s">
        <v>3770</v>
      </c>
      <c r="K505" s="451"/>
      <c r="L505" s="2063"/>
      <c r="M505" s="451"/>
      <c r="N505" s="452"/>
      <c r="O505" s="1193"/>
      <c r="P505" s="1193"/>
      <c r="Q505" s="1121"/>
    </row>
    <row r="506" spans="1:17" s="482" customFormat="1">
      <c r="C506" s="451"/>
      <c r="D506" s="451"/>
      <c r="E506" s="451"/>
      <c r="F506" s="451"/>
      <c r="G506" s="1201" t="s">
        <v>1927</v>
      </c>
      <c r="H506" s="1202"/>
      <c r="I506" s="1199"/>
      <c r="J506" s="1199" t="s">
        <v>3968</v>
      </c>
      <c r="K506" s="451"/>
      <c r="L506" s="2062"/>
      <c r="M506" s="451"/>
      <c r="N506" s="452"/>
      <c r="O506" s="1193"/>
      <c r="P506" s="1193"/>
      <c r="Q506" s="1121"/>
    </row>
    <row r="507" spans="1:17" s="482" customFormat="1">
      <c r="C507" s="451"/>
      <c r="D507" s="451"/>
      <c r="E507" s="451"/>
      <c r="F507" s="451"/>
      <c r="G507" s="1201" t="s">
        <v>455</v>
      </c>
      <c r="H507" s="1202"/>
      <c r="I507" s="1199"/>
      <c r="J507" s="1199" t="s">
        <v>3973</v>
      </c>
      <c r="K507" s="451"/>
      <c r="L507" s="2062"/>
      <c r="M507" s="451"/>
      <c r="N507" s="452"/>
      <c r="O507" s="1193"/>
      <c r="P507" s="1193"/>
      <c r="Q507" s="1121"/>
    </row>
    <row r="508" spans="1:17" s="482" customFormat="1">
      <c r="C508" s="451"/>
      <c r="D508" s="451"/>
      <c r="E508" s="451"/>
      <c r="F508" s="451"/>
      <c r="G508" s="1201" t="s">
        <v>3616</v>
      </c>
      <c r="H508" s="1202"/>
      <c r="I508" s="1199"/>
      <c r="J508" s="1199" t="s">
        <v>3976</v>
      </c>
      <c r="K508" s="1199"/>
      <c r="L508" s="2063"/>
      <c r="M508" s="451"/>
      <c r="N508" s="452"/>
      <c r="O508" s="1193"/>
      <c r="P508" s="1193"/>
      <c r="Q508" s="1121"/>
    </row>
    <row r="509" spans="1:17" s="482" customFormat="1">
      <c r="C509" s="451"/>
      <c r="D509" s="1203"/>
      <c r="E509" s="451"/>
      <c r="F509" s="451"/>
      <c r="G509" s="1201" t="s">
        <v>420</v>
      </c>
      <c r="H509" s="1202"/>
      <c r="I509" s="1199"/>
      <c r="J509" s="1199" t="s">
        <v>3771</v>
      </c>
      <c r="K509" s="451"/>
      <c r="L509" s="2062"/>
      <c r="M509" s="451"/>
      <c r="N509" s="452"/>
      <c r="O509" s="1193"/>
      <c r="P509" s="1193"/>
      <c r="Q509" s="1121"/>
    </row>
    <row r="510" spans="1:17" s="482" customFormat="1">
      <c r="C510" s="451"/>
      <c r="D510" s="1203"/>
      <c r="E510" s="451"/>
      <c r="F510" s="451"/>
      <c r="G510" s="1201" t="s">
        <v>234</v>
      </c>
      <c r="H510" s="1202"/>
      <c r="I510" s="1199"/>
      <c r="J510" s="1199" t="s">
        <v>3772</v>
      </c>
      <c r="K510" s="451"/>
      <c r="L510" s="2062"/>
      <c r="M510" s="451"/>
      <c r="N510" s="452"/>
      <c r="O510" s="1193"/>
      <c r="P510" s="1193"/>
      <c r="Q510" s="1121"/>
    </row>
    <row r="511" spans="1:17" s="482" customFormat="1">
      <c r="C511" s="451"/>
      <c r="D511" s="1204"/>
      <c r="E511" s="451"/>
      <c r="F511" s="451"/>
      <c r="G511" s="1201" t="s">
        <v>1220</v>
      </c>
      <c r="H511" s="1202"/>
      <c r="I511" s="1199"/>
      <c r="J511" s="1199" t="s">
        <v>3971</v>
      </c>
      <c r="K511" s="451"/>
      <c r="L511" s="2062"/>
      <c r="M511" s="451"/>
      <c r="N511" s="452"/>
      <c r="O511" s="1193"/>
      <c r="P511" s="1193"/>
      <c r="Q511" s="1121"/>
    </row>
    <row r="512" spans="1:17" s="482" customFormat="1">
      <c r="C512" s="451"/>
      <c r="D512" s="1204"/>
      <c r="E512" s="1204"/>
      <c r="F512" s="451"/>
      <c r="G512" s="1201" t="s">
        <v>1222</v>
      </c>
      <c r="H512" s="1202"/>
      <c r="I512" s="1199"/>
      <c r="J512" s="1199" t="s">
        <v>3974</v>
      </c>
      <c r="K512" s="451"/>
      <c r="L512" s="2063"/>
      <c r="M512" s="451"/>
      <c r="N512" s="452"/>
      <c r="O512" s="1193"/>
      <c r="P512" s="1193"/>
      <c r="Q512" s="1121"/>
    </row>
    <row r="513" spans="3:17" s="482" customFormat="1">
      <c r="C513" s="451"/>
      <c r="D513" s="451"/>
      <c r="E513" s="451"/>
      <c r="F513" s="451"/>
      <c r="G513" s="1201" t="s">
        <v>1636</v>
      </c>
      <c r="H513" s="1202"/>
      <c r="I513" s="1199"/>
      <c r="J513" s="1199" t="s">
        <v>3975</v>
      </c>
      <c r="K513" s="451"/>
      <c r="L513" s="2062"/>
      <c r="M513" s="451"/>
      <c r="N513" s="452"/>
      <c r="O513" s="1193"/>
      <c r="P513" s="1193"/>
      <c r="Q513" s="1121"/>
    </row>
    <row r="514" spans="3:17" s="482" customFormat="1">
      <c r="C514" s="451"/>
      <c r="D514" s="451"/>
      <c r="E514" s="451"/>
      <c r="F514" s="451"/>
      <c r="G514" s="1201" t="s">
        <v>984</v>
      </c>
      <c r="H514" s="1202"/>
      <c r="I514" s="1199"/>
      <c r="J514" s="1199" t="s">
        <v>3773</v>
      </c>
      <c r="K514" s="451"/>
      <c r="L514" s="2062"/>
      <c r="M514" s="451"/>
      <c r="N514" s="452"/>
      <c r="O514" s="1193"/>
      <c r="P514" s="1193"/>
      <c r="Q514" s="1121"/>
    </row>
    <row r="515" spans="3:17" s="482" customFormat="1">
      <c r="C515" s="1203"/>
      <c r="D515" s="451"/>
      <c r="E515" s="451"/>
      <c r="F515" s="451"/>
      <c r="G515" s="1201" t="s">
        <v>573</v>
      </c>
      <c r="H515" s="1199"/>
      <c r="I515" s="1199"/>
      <c r="J515" s="1199" t="s">
        <v>3774</v>
      </c>
      <c r="K515" s="451"/>
      <c r="L515" s="2062"/>
      <c r="M515" s="451"/>
      <c r="N515" s="452"/>
      <c r="O515" s="1193"/>
      <c r="P515" s="1193"/>
      <c r="Q515" s="1121"/>
    </row>
    <row r="516" spans="3:17" s="482" customFormat="1">
      <c r="C516" s="1203"/>
      <c r="D516" s="451"/>
      <c r="E516" s="451"/>
      <c r="F516" s="451"/>
      <c r="G516" s="1201" t="s">
        <v>1637</v>
      </c>
      <c r="H516" s="1199"/>
      <c r="I516" s="1199"/>
      <c r="J516" s="1199"/>
      <c r="K516" s="451"/>
      <c r="L516" s="2062"/>
      <c r="M516" s="451"/>
      <c r="N516" s="452"/>
      <c r="O516" s="1193"/>
      <c r="P516" s="1193"/>
      <c r="Q516" s="1121"/>
    </row>
    <row r="517" spans="3:17" s="482" customFormat="1">
      <c r="C517" s="1203"/>
      <c r="D517" s="451"/>
      <c r="E517" s="451"/>
      <c r="F517" s="451"/>
      <c r="G517" s="1201" t="s">
        <v>1678</v>
      </c>
      <c r="H517" s="1199"/>
      <c r="I517" s="1199"/>
      <c r="J517" s="1199"/>
      <c r="K517" s="451"/>
      <c r="L517" s="2062"/>
      <c r="M517" s="451"/>
      <c r="N517" s="452"/>
      <c r="O517" s="1193"/>
      <c r="P517" s="1193"/>
      <c r="Q517" s="1121"/>
    </row>
    <row r="518" spans="3:17" s="482" customFormat="1">
      <c r="C518" s="1203"/>
      <c r="D518" s="451"/>
      <c r="E518" s="451"/>
      <c r="F518" s="451"/>
      <c r="G518" s="1201" t="s">
        <v>1739</v>
      </c>
      <c r="H518" s="1199"/>
      <c r="I518" s="1199"/>
      <c r="J518" s="1199"/>
      <c r="K518" s="451"/>
      <c r="L518" s="2062"/>
      <c r="M518" s="451"/>
      <c r="N518" s="452"/>
      <c r="O518" s="1193"/>
      <c r="P518" s="1193"/>
      <c r="Q518" s="1121"/>
    </row>
    <row r="519" spans="3:17" s="482" customFormat="1">
      <c r="C519" s="1203"/>
      <c r="D519" s="451"/>
      <c r="E519" s="451"/>
      <c r="F519" s="451"/>
      <c r="G519" s="1201" t="s">
        <v>3391</v>
      </c>
      <c r="H519" s="1199"/>
      <c r="I519" s="1199"/>
      <c r="J519" s="1199"/>
      <c r="K519" s="451"/>
      <c r="L519" s="2062"/>
      <c r="M519" s="451"/>
      <c r="N519" s="452"/>
      <c r="O519" s="1193"/>
      <c r="P519" s="1193"/>
      <c r="Q519" s="1121"/>
    </row>
    <row r="520" spans="3:17" s="482" customFormat="1">
      <c r="C520" s="1203"/>
      <c r="D520" s="451"/>
      <c r="E520" s="451"/>
      <c r="F520" s="451"/>
      <c r="G520" s="1201" t="s">
        <v>820</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4058</v>
      </c>
      <c r="H522" s="1199"/>
      <c r="I522" s="1199"/>
      <c r="J522" s="1199"/>
      <c r="K522" s="451"/>
      <c r="L522" s="2063"/>
      <c r="M522" s="451"/>
      <c r="N522" s="452"/>
      <c r="O522" s="1193"/>
      <c r="P522" s="1193"/>
      <c r="Q522" s="1121"/>
    </row>
    <row r="523" spans="3:17" s="482" customFormat="1">
      <c r="C523" s="1204"/>
      <c r="D523" s="451"/>
      <c r="E523" s="451"/>
      <c r="F523" s="451"/>
      <c r="G523" s="1201" t="s">
        <v>520</v>
      </c>
      <c r="H523" s="1199"/>
      <c r="I523" s="1199"/>
      <c r="J523" s="1199"/>
      <c r="K523" s="451"/>
      <c r="L523" s="1199"/>
      <c r="M523" s="451"/>
      <c r="N523" s="452"/>
      <c r="O523" s="1193"/>
      <c r="P523" s="1193"/>
      <c r="Q523" s="1121"/>
    </row>
    <row r="524" spans="3:17" s="482" customFormat="1">
      <c r="C524" s="451"/>
      <c r="D524" s="451"/>
      <c r="E524" s="451"/>
      <c r="F524" s="451"/>
      <c r="G524" s="1201" t="s">
        <v>528</v>
      </c>
      <c r="H524" s="1199"/>
      <c r="I524" s="1199"/>
      <c r="J524" s="1199"/>
      <c r="K524" s="451"/>
      <c r="L524" s="1199"/>
      <c r="M524" s="451"/>
      <c r="N524" s="452"/>
      <c r="O524" s="1193"/>
      <c r="P524" s="1193"/>
      <c r="Q524" s="1121"/>
    </row>
    <row r="525" spans="3:17" s="482" customFormat="1">
      <c r="C525" s="451"/>
      <c r="D525" s="451"/>
      <c r="E525" s="451"/>
      <c r="F525" s="451"/>
      <c r="G525" s="1201" t="s">
        <v>541</v>
      </c>
      <c r="H525" s="1199"/>
      <c r="I525" s="1199"/>
      <c r="J525" s="1199"/>
      <c r="K525" s="1199"/>
      <c r="L525" s="451"/>
      <c r="M525" s="451"/>
      <c r="N525" s="452"/>
      <c r="O525" s="1193"/>
      <c r="P525" s="1193"/>
      <c r="Q525" s="1121"/>
    </row>
    <row r="526" spans="3:17" s="482" customFormat="1">
      <c r="C526" s="451"/>
      <c r="D526" s="451"/>
      <c r="E526" s="451"/>
      <c r="F526" s="451"/>
      <c r="G526" s="1201" t="s">
        <v>1634</v>
      </c>
      <c r="H526" s="1199"/>
      <c r="I526" s="1199"/>
      <c r="J526" s="1199"/>
      <c r="K526" s="1199"/>
      <c r="L526" s="451"/>
      <c r="M526" s="451"/>
      <c r="N526" s="452"/>
      <c r="O526" s="1193"/>
      <c r="P526" s="1193"/>
      <c r="Q526" s="1121"/>
    </row>
    <row r="527" spans="3:17" s="482" customFormat="1">
      <c r="C527" s="451"/>
      <c r="D527" s="451"/>
      <c r="E527" s="451"/>
      <c r="F527" s="451"/>
      <c r="G527" s="1201" t="s">
        <v>2094</v>
      </c>
      <c r="H527" s="1199"/>
      <c r="I527" s="1199"/>
      <c r="J527" s="1199"/>
      <c r="K527" s="1199"/>
      <c r="L527" s="451"/>
      <c r="M527" s="451"/>
      <c r="N527" s="452"/>
      <c r="O527" s="1193"/>
      <c r="P527" s="1193"/>
      <c r="Q527" s="1121"/>
    </row>
    <row r="528" spans="3:17" s="482" customFormat="1">
      <c r="C528" s="451"/>
      <c r="D528" s="451"/>
      <c r="E528" s="451"/>
      <c r="F528" s="451"/>
      <c r="G528" s="1201" t="s">
        <v>2247</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1437</v>
      </c>
      <c r="H530" s="1199"/>
      <c r="I530" s="1199"/>
      <c r="J530" s="1199"/>
      <c r="K530" s="1199"/>
      <c r="L530" s="451"/>
      <c r="M530" s="451"/>
      <c r="N530" s="452"/>
      <c r="O530" s="1193"/>
      <c r="P530" s="1193"/>
      <c r="Q530" s="1121"/>
    </row>
    <row r="531" spans="3:17" s="482" customFormat="1">
      <c r="C531" s="451"/>
      <c r="D531" s="451"/>
      <c r="E531" s="451"/>
      <c r="F531" s="451"/>
      <c r="G531" s="1201" t="s">
        <v>2121</v>
      </c>
      <c r="H531" s="1199"/>
      <c r="I531" s="1199"/>
      <c r="J531" s="1199"/>
      <c r="K531" s="1199"/>
      <c r="L531" s="451"/>
      <c r="M531" s="451"/>
      <c r="N531" s="452"/>
      <c r="O531" s="1193"/>
      <c r="P531" s="1193"/>
      <c r="Q531" s="1121"/>
    </row>
    <row r="532" spans="3:17" s="482" customFormat="1">
      <c r="C532" s="451"/>
      <c r="D532" s="451"/>
      <c r="E532" s="451"/>
      <c r="F532" s="451"/>
      <c r="G532" s="1201" t="s">
        <v>1440</v>
      </c>
      <c r="H532" s="1199"/>
      <c r="I532" s="1199"/>
      <c r="J532" s="1199"/>
      <c r="K532" s="1199"/>
      <c r="L532" s="451"/>
      <c r="M532" s="451"/>
      <c r="N532" s="452"/>
      <c r="O532" s="1193"/>
      <c r="P532" s="1193"/>
      <c r="Q532" s="1121"/>
    </row>
    <row r="533" spans="3:17" s="482" customFormat="1">
      <c r="C533" s="451"/>
      <c r="D533" s="451"/>
      <c r="E533" s="451"/>
      <c r="F533" s="451"/>
      <c r="G533" s="1201" t="s">
        <v>1555</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1042</v>
      </c>
      <c r="H536" s="451"/>
      <c r="I536" s="451"/>
      <c r="J536" s="1199"/>
      <c r="K536" s="451"/>
      <c r="L536" s="89"/>
      <c r="M536" s="89"/>
      <c r="N536" s="2070"/>
      <c r="O536" s="2141"/>
      <c r="P536" s="2141"/>
      <c r="Q536" s="1121"/>
    </row>
    <row r="537" spans="3:17" s="482" customFormat="1">
      <c r="C537" s="451"/>
      <c r="D537" s="451"/>
      <c r="E537" s="451"/>
      <c r="F537" s="451"/>
      <c r="G537" s="1201" t="s">
        <v>2267</v>
      </c>
      <c r="H537" s="451"/>
      <c r="I537" s="451"/>
      <c r="J537" s="1199"/>
      <c r="K537" s="451"/>
      <c r="L537" s="89"/>
      <c r="M537" s="89"/>
      <c r="N537" s="2070"/>
      <c r="O537" s="2141"/>
      <c r="P537" s="2141"/>
      <c r="Q537" s="1121"/>
    </row>
    <row r="538" spans="3:17" s="482" customFormat="1">
      <c r="C538" s="451"/>
      <c r="D538" s="451"/>
      <c r="E538" s="451"/>
      <c r="F538" s="451"/>
      <c r="G538" s="1194" t="s">
        <v>2163</v>
      </c>
      <c r="H538" s="451"/>
      <c r="I538" s="451"/>
      <c r="J538" s="1199"/>
      <c r="K538" s="451"/>
      <c r="L538" s="89"/>
      <c r="M538" s="89"/>
      <c r="N538" s="2070"/>
      <c r="O538" s="2141"/>
      <c r="P538" s="2141"/>
      <c r="Q538" s="1121"/>
    </row>
    <row r="539" spans="3:17" s="482" customFormat="1">
      <c r="C539" s="451"/>
      <c r="D539" s="451"/>
      <c r="E539" s="451"/>
      <c r="F539" s="451"/>
      <c r="G539" s="1194" t="s">
        <v>1638</v>
      </c>
      <c r="H539" s="451"/>
      <c r="I539" s="451"/>
      <c r="J539" s="1199"/>
      <c r="K539" s="451"/>
      <c r="L539" s="89"/>
      <c r="M539" s="89"/>
      <c r="N539" s="2070"/>
      <c r="O539" s="2141"/>
      <c r="P539" s="2141"/>
      <c r="Q539" s="1121"/>
    </row>
    <row r="540" spans="3:17" s="482" customFormat="1">
      <c r="C540" s="451"/>
      <c r="D540" s="451"/>
      <c r="E540" s="451"/>
      <c r="F540" s="451"/>
      <c r="G540" s="1194" t="s">
        <v>1887</v>
      </c>
      <c r="H540" s="451"/>
      <c r="I540" s="451"/>
      <c r="J540" s="451"/>
      <c r="K540" s="451"/>
      <c r="L540" s="89"/>
      <c r="M540" s="89"/>
      <c r="N540" s="2070"/>
      <c r="O540" s="2141"/>
      <c r="P540" s="2141"/>
      <c r="Q540" s="1121"/>
    </row>
    <row r="541" spans="3:17" s="482" customFormat="1">
      <c r="C541" s="451"/>
      <c r="D541" s="451"/>
      <c r="E541" s="451"/>
      <c r="F541" s="451"/>
      <c r="G541" s="1194" t="s">
        <v>501</v>
      </c>
      <c r="H541" s="451"/>
      <c r="I541" s="451"/>
      <c r="J541" s="451"/>
      <c r="K541" s="451"/>
      <c r="L541" s="89"/>
      <c r="M541" s="89"/>
      <c r="N541" s="2070"/>
      <c r="O541" s="2141"/>
      <c r="P541" s="2141"/>
      <c r="Q541" s="1121"/>
    </row>
    <row r="542" spans="3:17" s="482" customFormat="1">
      <c r="C542" s="451"/>
      <c r="D542" s="451"/>
      <c r="E542" s="451"/>
      <c r="F542" s="451"/>
      <c r="G542" s="1194" t="s">
        <v>2259</v>
      </c>
      <c r="H542" s="451"/>
      <c r="I542" s="451"/>
      <c r="J542" s="451"/>
      <c r="K542" s="451"/>
      <c r="L542" s="89"/>
      <c r="M542" s="89"/>
      <c r="N542" s="2070"/>
      <c r="O542" s="2141"/>
      <c r="P542" s="2141"/>
      <c r="Q542" s="1121"/>
    </row>
    <row r="543" spans="3:17" s="482" customFormat="1">
      <c r="C543" s="451"/>
      <c r="D543" s="451"/>
      <c r="E543" s="451"/>
      <c r="F543" s="451"/>
      <c r="G543" s="1194" t="s">
        <v>2126</v>
      </c>
      <c r="H543" s="451"/>
      <c r="I543" s="451"/>
      <c r="J543" s="451"/>
      <c r="K543" s="451"/>
      <c r="L543" s="89"/>
      <c r="M543" s="89"/>
      <c r="N543" s="2070"/>
      <c r="O543" s="2141"/>
      <c r="P543" s="2141"/>
      <c r="Q543" s="1121"/>
    </row>
    <row r="544" spans="3:17" s="482" customFormat="1">
      <c r="C544" s="451"/>
      <c r="D544" s="451"/>
      <c r="E544" s="451"/>
      <c r="F544" s="451"/>
      <c r="G544" s="1194" t="s">
        <v>1639</v>
      </c>
      <c r="H544" s="451"/>
      <c r="I544" s="451"/>
      <c r="J544" s="451"/>
      <c r="K544" s="451"/>
      <c r="L544" s="89"/>
      <c r="M544" s="89"/>
      <c r="N544" s="2070"/>
      <c r="O544" s="2141"/>
      <c r="P544" s="2141"/>
      <c r="Q544" s="1121"/>
    </row>
    <row r="545" spans="3:17" s="482" customFormat="1">
      <c r="C545" s="451"/>
      <c r="D545" s="451"/>
      <c r="E545" s="451"/>
      <c r="F545" s="451"/>
      <c r="G545" s="1194" t="s">
        <v>2333</v>
      </c>
      <c r="H545" s="451"/>
      <c r="I545" s="451"/>
      <c r="J545" s="451"/>
      <c r="K545" s="451"/>
      <c r="L545" s="89"/>
      <c r="M545" s="89"/>
      <c r="N545" s="2070"/>
      <c r="O545" s="2141"/>
      <c r="P545" s="2141"/>
      <c r="Q545" s="1121"/>
    </row>
    <row r="546" spans="3:17" s="482" customFormat="1">
      <c r="G546" s="1194" t="s">
        <v>1685</v>
      </c>
      <c r="N546" s="1040"/>
      <c r="O546" s="1041"/>
      <c r="P546" s="1041"/>
    </row>
    <row r="547" spans="3:17" s="482" customFormat="1">
      <c r="G547" s="1194" t="s">
        <v>4604</v>
      </c>
      <c r="N547" s="1040"/>
      <c r="O547" s="1041"/>
      <c r="P547" s="1041"/>
    </row>
    <row r="548" spans="3:17" s="482" customFormat="1">
      <c r="G548" s="1199" t="s">
        <v>2260</v>
      </c>
      <c r="N548" s="1040"/>
      <c r="O548" s="1041"/>
      <c r="P548" s="1041"/>
    </row>
    <row r="549" spans="3:17" s="482" customFormat="1">
      <c r="G549" s="1199" t="s">
        <v>1692</v>
      </c>
      <c r="N549" s="1040"/>
      <c r="O549" s="1041"/>
      <c r="P549" s="1041"/>
    </row>
    <row r="550" spans="3:17" s="482" customFormat="1">
      <c r="G550" s="1199" t="s">
        <v>1695</v>
      </c>
      <c r="N550" s="1040"/>
      <c r="O550" s="1041"/>
      <c r="P550" s="1041"/>
    </row>
    <row r="551" spans="3:17" s="482" customFormat="1">
      <c r="G551" s="1121" t="s">
        <v>1700</v>
      </c>
      <c r="N551" s="1040"/>
      <c r="O551" s="1041"/>
      <c r="P551" s="1041"/>
    </row>
    <row r="552" spans="3:17" s="482" customFormat="1">
      <c r="G552" s="1121" t="s">
        <v>1703</v>
      </c>
      <c r="N552" s="1040"/>
      <c r="O552" s="1041"/>
      <c r="P552" s="1041"/>
    </row>
    <row r="553" spans="3:17" s="482" customFormat="1">
      <c r="G553" s="1121" t="s">
        <v>1708</v>
      </c>
      <c r="N553" s="1040"/>
      <c r="O553" s="1041"/>
      <c r="P553" s="1041"/>
    </row>
    <row r="554" spans="3:17">
      <c r="D554" s="158"/>
      <c r="E554" s="158"/>
      <c r="F554" s="158"/>
      <c r="G554" s="1121" t="s">
        <v>1709</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1542</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pqfU6DLZDC2Ln4MIthQINU5ybbgLk/BrPKnsQCwK3OrZENmRNKNM+2TgvEhuE6lXZIm6ERgQBCNoHM6/C7fM+g==" saltValue="DKzjwL1J/Tjw4QL/zRYRdg==" spinCount="100000" sheet="1" object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33203125" defaultRowHeight="13.2"/>
  <cols>
    <col min="1" max="1" width="88.44140625" style="26" customWidth="1"/>
    <col min="2" max="16384" width="9.33203125" style="26"/>
  </cols>
  <sheetData>
    <row r="1" spans="1:6" ht="15.6">
      <c r="A1" s="866" t="s">
        <v>4200</v>
      </c>
    </row>
    <row r="2" spans="1:6" s="32" customFormat="1" ht="13.5" customHeight="1">
      <c r="A2" s="865" t="str">
        <f>'Part I-Project Information'!$F$34</f>
        <v>Woodstone Apartments II</v>
      </c>
    </row>
    <row r="3" spans="1:6" s="32" customFormat="1" ht="13.5" customHeight="1">
      <c r="A3" s="865" t="str">
        <f>CONCATENATE('Part I-Project Information'!$F$38,", ", 'Part I-Project Information'!$J$39," County")</f>
        <v>Leesburg, Lee County</v>
      </c>
    </row>
    <row r="4" spans="1:6" ht="6.75" customHeight="1"/>
    <row r="5" spans="1:6" ht="113.25" customHeight="1">
      <c r="A5" s="4057" t="s">
        <v>4201</v>
      </c>
      <c r="B5" s="4058" t="s">
        <v>4202</v>
      </c>
      <c r="C5" s="4058"/>
      <c r="D5" s="4058"/>
      <c r="E5" s="4058"/>
      <c r="F5" s="4058"/>
    </row>
    <row r="6" spans="1:6" ht="6.6" customHeight="1">
      <c r="A6" s="4057"/>
      <c r="B6" s="4058"/>
      <c r="C6" s="4058"/>
      <c r="D6" s="4058"/>
      <c r="E6" s="4058"/>
      <c r="F6" s="4058"/>
    </row>
    <row r="7" spans="1:6" ht="134.25" customHeight="1">
      <c r="A7" s="4057"/>
      <c r="B7" s="4058"/>
      <c r="C7" s="4058"/>
      <c r="D7" s="4058"/>
      <c r="E7" s="4058"/>
      <c r="F7" s="4058"/>
    </row>
    <row r="8" spans="1:6" ht="6.6" customHeight="1">
      <c r="A8" s="4057"/>
    </row>
    <row r="9" spans="1:6" ht="111" customHeight="1">
      <c r="A9" s="4057"/>
    </row>
    <row r="10" spans="1:6" ht="6.6" customHeight="1">
      <c r="A10" s="4057"/>
    </row>
    <row r="11" spans="1:6" ht="111" customHeight="1">
      <c r="A11" s="4057"/>
    </row>
    <row r="12" spans="1:6" ht="6.6" customHeight="1">
      <c r="A12" s="4057"/>
    </row>
    <row r="13" spans="1:6" ht="111" customHeight="1">
      <c r="A13" s="4057"/>
    </row>
    <row r="14" spans="1:6" ht="6.6" customHeight="1">
      <c r="A14" s="4057"/>
    </row>
    <row r="15" spans="1:6" ht="111" customHeight="1">
      <c r="A15" s="4057"/>
    </row>
    <row r="16" spans="1:6" ht="6.6" customHeight="1">
      <c r="A16" s="4057"/>
    </row>
    <row r="17" spans="1:1" ht="111" customHeight="1">
      <c r="A17" s="4057"/>
    </row>
    <row r="18" spans="1:1" ht="6.6" customHeight="1">
      <c r="A18" s="4057"/>
    </row>
    <row r="19" spans="1:1" ht="105.75" customHeight="1">
      <c r="A19" s="4057"/>
    </row>
    <row r="20" spans="1:1" ht="6.6" customHeight="1">
      <c r="A20" s="4057"/>
    </row>
    <row r="21" spans="1:1" ht="105.75" customHeight="1">
      <c r="A21" s="4057"/>
    </row>
    <row r="22" spans="1:1" ht="6.6" customHeight="1">
      <c r="A22" s="4057"/>
    </row>
    <row r="23" spans="1:1" ht="105.75" customHeight="1">
      <c r="A23" s="4057"/>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33203125" defaultRowHeight="13.2"/>
  <cols>
    <col min="1" max="1" width="24.6640625" style="1231" customWidth="1"/>
    <col min="2" max="11" width="10.5546875" style="1231" customWidth="1"/>
    <col min="12" max="12" width="9.6640625" style="1231" customWidth="1"/>
    <col min="13" max="21" width="10.5546875" style="1231" customWidth="1"/>
    <col min="22" max="16384" width="9.33203125" style="1231"/>
  </cols>
  <sheetData>
    <row r="1" spans="1:7" ht="3" customHeight="1"/>
    <row r="2" spans="1:7">
      <c r="A2" s="1230" t="s">
        <v>4203</v>
      </c>
    </row>
    <row r="3" spans="1:7" ht="3" customHeight="1"/>
    <row r="4" spans="1:7">
      <c r="A4" s="1231" t="s">
        <v>4204</v>
      </c>
      <c r="B4" s="1232">
        <f>+'Part IV-A-Uses of Funds'!$G$132</f>
        <v>5168536</v>
      </c>
    </row>
    <row r="5" spans="1:7">
      <c r="A5" s="1231" t="s">
        <v>4235</v>
      </c>
      <c r="B5" s="1232">
        <f>+B18+B26+B38</f>
        <v>0</v>
      </c>
    </row>
    <row r="6" spans="1:7">
      <c r="A6" s="1231" t="s">
        <v>4205</v>
      </c>
      <c r="B6" s="1233">
        <f>+B5-B4</f>
        <v>-5168536</v>
      </c>
    </row>
    <row r="7" spans="1:7">
      <c r="A7" s="1231" t="s">
        <v>4206</v>
      </c>
      <c r="B7" s="1234">
        <f>+B6/B4</f>
        <v>-1</v>
      </c>
    </row>
    <row r="8" spans="1:7" ht="9" customHeight="1"/>
    <row r="9" spans="1:7">
      <c r="A9" s="1231" t="s">
        <v>4207</v>
      </c>
      <c r="B9" s="1232">
        <f>+B18+B26+B33</f>
        <v>0</v>
      </c>
    </row>
    <row r="10" spans="1:7">
      <c r="A10" s="1231" t="s">
        <v>4205</v>
      </c>
      <c r="B10" s="1233">
        <f>+B9-B4</f>
        <v>-5168536</v>
      </c>
    </row>
    <row r="11" spans="1:7">
      <c r="A11" s="1231" t="s">
        <v>4206</v>
      </c>
      <c r="B11" s="1234">
        <f>+B10/B4</f>
        <v>-1</v>
      </c>
    </row>
    <row r="12" spans="1:7" ht="24" customHeight="1"/>
    <row r="13" spans="1:7">
      <c r="A13" s="1230" t="s">
        <v>4208</v>
      </c>
      <c r="D13" s="1301" t="s">
        <v>4469</v>
      </c>
      <c r="E13" s="1302"/>
    </row>
    <row r="14" spans="1:7">
      <c r="A14" s="1231" t="s">
        <v>4209</v>
      </c>
      <c r="B14" s="1235">
        <f>+SUM('Part III-Sources of Funds'!L49:M50)</f>
        <v>5168534</v>
      </c>
      <c r="D14" s="1302"/>
      <c r="E14" s="1302"/>
    </row>
    <row r="15" spans="1:7">
      <c r="A15" s="1231" t="s">
        <v>4210</v>
      </c>
      <c r="B15" s="1236">
        <f>+'Part IV-A-Uses of Funds'!J167</f>
        <v>516853.6</v>
      </c>
      <c r="D15" s="1302" t="s">
        <v>2044</v>
      </c>
      <c r="G15" s="1303">
        <f>'Part IV-A-Uses of Funds'!J155</f>
        <v>0</v>
      </c>
    </row>
    <row r="16" spans="1:7" ht="12.75" customHeight="1">
      <c r="D16" s="1302" t="s">
        <v>4470</v>
      </c>
      <c r="G16" s="1307">
        <v>3.2800000000000003E-2</v>
      </c>
    </row>
    <row r="17" spans="1:7" ht="12.75" customHeight="1">
      <c r="A17" s="1231" t="s">
        <v>4211</v>
      </c>
      <c r="B17" s="1306">
        <v>1.45</v>
      </c>
      <c r="D17" s="1302" t="s">
        <v>4471</v>
      </c>
      <c r="G17" s="1308">
        <v>1.45</v>
      </c>
    </row>
    <row r="18" spans="1:7" ht="12.75" customHeight="1">
      <c r="A18" s="1231" t="s">
        <v>4212</v>
      </c>
      <c r="B18" s="1237">
        <f>+'Part IV-A-Uses of Funds'!J174*B17*10</f>
        <v>0</v>
      </c>
      <c r="D18" s="1302" t="s">
        <v>4472</v>
      </c>
      <c r="G18" s="1308">
        <v>3.28</v>
      </c>
    </row>
    <row r="19" spans="1:7" ht="12.75" customHeight="1">
      <c r="D19" s="1302" t="s">
        <v>4473</v>
      </c>
      <c r="G19" s="1304">
        <f>+G15*G16*G17*10</f>
        <v>0</v>
      </c>
    </row>
    <row r="20" spans="1:7">
      <c r="A20" s="1231" t="s">
        <v>4213</v>
      </c>
      <c r="B20" s="1235">
        <f>+B18-B14</f>
        <v>-5168534</v>
      </c>
      <c r="D20" s="1302" t="s">
        <v>4474</v>
      </c>
      <c r="G20" s="1305">
        <f>+B14-G19</f>
        <v>5168534</v>
      </c>
    </row>
    <row r="21" spans="1:7">
      <c r="A21" s="1231" t="s">
        <v>4214</v>
      </c>
      <c r="B21" s="1234">
        <f>+B20/B14</f>
        <v>-1</v>
      </c>
      <c r="D21" s="1302" t="s">
        <v>4475</v>
      </c>
      <c r="G21" s="1302" t="str">
        <f>+IF(G20&gt;(B28+B35),"No","Yes")</f>
        <v>No</v>
      </c>
    </row>
    <row r="22" spans="1:7" ht="24" customHeight="1"/>
    <row r="23" spans="1:7">
      <c r="A23" s="1230" t="s">
        <v>4215</v>
      </c>
    </row>
    <row r="24" spans="1:7">
      <c r="A24" s="1231" t="s">
        <v>4216</v>
      </c>
      <c r="B24" s="1238">
        <f>+SUM('Part III-Sources of Funds'!I38:J41)</f>
        <v>0</v>
      </c>
    </row>
    <row r="25" spans="1:7">
      <c r="A25" s="1231" t="s">
        <v>4217</v>
      </c>
      <c r="B25" s="1239">
        <f>IF('Part III-Sources of Funds'!E5="Yes","N/A",MAX(B46:P46))</f>
        <v>-21941.164727250245</v>
      </c>
    </row>
    <row r="26" spans="1:7">
      <c r="A26" s="1231" t="s">
        <v>4218</v>
      </c>
      <c r="B26" s="1229">
        <f>IFERROR(PV('Part III-Sources of Funds'!K38,'Part III-Sources of Funds'!L38,B25+B45),B24)</f>
        <v>0</v>
      </c>
    </row>
    <row r="27" spans="1:7" ht="9" customHeight="1">
      <c r="B27" s="1229"/>
    </row>
    <row r="28" spans="1:7">
      <c r="A28" s="1231" t="s">
        <v>4219</v>
      </c>
      <c r="B28" s="1240">
        <f>+B26-B24</f>
        <v>0</v>
      </c>
      <c r="C28" s="1241"/>
    </row>
    <row r="29" spans="1:7">
      <c r="A29" s="1231" t="s">
        <v>4214</v>
      </c>
      <c r="B29" s="1242" t="e">
        <f>+B28/B24</f>
        <v>#DIV/0!</v>
      </c>
    </row>
    <row r="30" spans="1:7" ht="24" customHeight="1"/>
    <row r="31" spans="1:7">
      <c r="A31" s="1230" t="s">
        <v>4081</v>
      </c>
    </row>
    <row r="32" spans="1:7">
      <c r="A32" s="1231" t="s">
        <v>4220</v>
      </c>
      <c r="B32" s="1243">
        <f>+'Part III-Sources of Funds'!I43</f>
        <v>637</v>
      </c>
    </row>
    <row r="33" spans="1:11">
      <c r="A33" s="1231" t="s">
        <v>4221</v>
      </c>
      <c r="B33" s="1229"/>
    </row>
    <row r="34" spans="1:11" ht="9" customHeight="1">
      <c r="B34" s="1229"/>
    </row>
    <row r="35" spans="1:11">
      <c r="A35" s="1231" t="s">
        <v>4222</v>
      </c>
      <c r="B35" s="1243">
        <f>+B33-B32</f>
        <v>-637</v>
      </c>
    </row>
    <row r="36" spans="1:11">
      <c r="A36" s="1231" t="s">
        <v>4223</v>
      </c>
      <c r="B36" s="1228">
        <f>+B35/B32</f>
        <v>-1</v>
      </c>
    </row>
    <row r="37" spans="1:11" ht="24" customHeight="1">
      <c r="B37" s="1229"/>
    </row>
    <row r="38" spans="1:11">
      <c r="A38" s="1230" t="s">
        <v>4224</v>
      </c>
      <c r="B38" s="1229">
        <f>+SUM('Part III-Sources of Funds'!I42,'Part III-Sources of Funds'!I47,'Part III-Sources of Funds'!I48,'Part III-Sources of Funds'!I51:I57)</f>
        <v>0</v>
      </c>
    </row>
    <row r="39" spans="1:11">
      <c r="B39" s="1229"/>
    </row>
    <row r="40" spans="1:11">
      <c r="B40" s="1229"/>
    </row>
    <row r="41" spans="1:11">
      <c r="B41" s="1229"/>
    </row>
    <row r="42" spans="1:11">
      <c r="A42" s="1230" t="s">
        <v>4225</v>
      </c>
      <c r="B42" s="1229"/>
    </row>
    <row r="43" spans="1:11">
      <c r="A43" s="1231" t="s">
        <v>2479</v>
      </c>
      <c r="B43" s="1309">
        <v>1</v>
      </c>
      <c r="C43" s="1309">
        <v>2</v>
      </c>
      <c r="D43" s="1309">
        <v>3</v>
      </c>
      <c r="E43" s="1309">
        <v>4</v>
      </c>
      <c r="F43" s="1309">
        <v>5</v>
      </c>
      <c r="G43" s="1309">
        <v>6</v>
      </c>
      <c r="H43" s="1309">
        <v>7</v>
      </c>
      <c r="I43" s="1309">
        <v>8</v>
      </c>
      <c r="J43" s="1309">
        <v>9</v>
      </c>
      <c r="K43" s="1309">
        <v>10</v>
      </c>
    </row>
    <row r="44" spans="1:11">
      <c r="A44" s="1231" t="s">
        <v>1202</v>
      </c>
      <c r="B44" s="1232">
        <f>+'Part VII-Pro Forma'!B24</f>
        <v>38655.071999999986</v>
      </c>
      <c r="C44" s="1232">
        <f>+'Part VII-Pro Forma'!C24</f>
        <v>37607.143439999985</v>
      </c>
      <c r="D44" s="1232">
        <f>+'Part VII-Pro Forma'!D24</f>
        <v>36485.369408800012</v>
      </c>
      <c r="E44" s="1232">
        <f>+'Part VII-Pro Forma'!E24</f>
        <v>35289.125389975976</v>
      </c>
      <c r="F44" s="1232">
        <f>+'Part VII-Pro Forma'!F24</f>
        <v>34012.691548565541</v>
      </c>
      <c r="G44" s="1232">
        <f>+'Part VII-Pro Forma'!G24</f>
        <v>32654.249539850556</v>
      </c>
      <c r="H44" s="1232">
        <f>+'Part VII-Pro Forma'!H24</f>
        <v>31209.879215770696</v>
      </c>
      <c r="I44" s="1232">
        <f>+'Part VII-Pro Forma'!I24</f>
        <v>29677.555225762822</v>
      </c>
      <c r="J44" s="1232">
        <f>+'Part VII-Pro Forma'!J24</f>
        <v>28051.143508725254</v>
      </c>
      <c r="K44" s="1232">
        <f>+'Part VII-Pro Forma'!K24</f>
        <v>26329.397672700292</v>
      </c>
    </row>
    <row r="45" spans="1:11">
      <c r="A45" s="1231" t="s">
        <v>4226</v>
      </c>
      <c r="B45" s="1232">
        <f>SUM('Part VII-Pro Forma'!B25:B28)</f>
        <v>0</v>
      </c>
      <c r="C45" s="1232">
        <f>SUM('Part VII-Pro Forma'!C25:C28)</f>
        <v>0</v>
      </c>
      <c r="D45" s="1232">
        <f>SUM('Part VII-Pro Forma'!D25:D28)</f>
        <v>0</v>
      </c>
      <c r="E45" s="1232">
        <f>SUM('Part VII-Pro Forma'!E25:E28)</f>
        <v>0</v>
      </c>
      <c r="F45" s="1232">
        <f>SUM('Part VII-Pro Forma'!F25:F28)</f>
        <v>0</v>
      </c>
      <c r="G45" s="1232">
        <f>SUM('Part VII-Pro Forma'!G25:G28)</f>
        <v>0</v>
      </c>
      <c r="H45" s="1232">
        <f>SUM('Part VII-Pro Forma'!H25:H28)</f>
        <v>0</v>
      </c>
      <c r="I45" s="1232">
        <f>SUM('Part VII-Pro Forma'!I25:I28)</f>
        <v>0</v>
      </c>
      <c r="J45" s="1232">
        <f>SUM('Part VII-Pro Forma'!J25:J28)</f>
        <v>0</v>
      </c>
      <c r="K45" s="1232">
        <f>SUM('Part VII-Pro Forma'!K25:K28)</f>
        <v>0</v>
      </c>
    </row>
    <row r="46" spans="1:11">
      <c r="A46" s="1231" t="s">
        <v>4227</v>
      </c>
      <c r="B46" s="1233">
        <f t="shared" ref="B46:K46" si="0">-B44/B48-B45</f>
        <v>-32212.55999999999</v>
      </c>
      <c r="C46" s="1233">
        <f t="shared" si="0"/>
        <v>-31339.286199999988</v>
      </c>
      <c r="D46" s="1233">
        <f t="shared" si="0"/>
        <v>-30404.474507333343</v>
      </c>
      <c r="E46" s="1233">
        <f t="shared" si="0"/>
        <v>-29407.604491646649</v>
      </c>
      <c r="F46" s="1233">
        <f t="shared" si="0"/>
        <v>-28343.909623804619</v>
      </c>
      <c r="G46" s="1233">
        <f t="shared" si="0"/>
        <v>-27211.874616542133</v>
      </c>
      <c r="H46" s="1233">
        <f t="shared" si="0"/>
        <v>-26008.232679808913</v>
      </c>
      <c r="I46" s="1233">
        <f t="shared" si="0"/>
        <v>-24731.296021469021</v>
      </c>
      <c r="J46" s="1233">
        <f t="shared" si="0"/>
        <v>-23375.952923937712</v>
      </c>
      <c r="K46" s="1233">
        <f t="shared" si="0"/>
        <v>-21941.164727250245</v>
      </c>
    </row>
    <row r="48" spans="1:11">
      <c r="A48" s="1231" t="s">
        <v>4228</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1163</v>
      </c>
    </row>
    <row r="51" spans="1:17">
      <c r="A51" s="1231" t="s">
        <v>1202</v>
      </c>
      <c r="B51" s="1233">
        <f>+B44</f>
        <v>38655.071999999986</v>
      </c>
      <c r="C51" s="1233">
        <f t="shared" ref="C51:K51" si="2">+C44</f>
        <v>37607.143439999985</v>
      </c>
      <c r="D51" s="1233">
        <f t="shared" si="2"/>
        <v>36485.369408800012</v>
      </c>
      <c r="E51" s="1233">
        <f t="shared" si="2"/>
        <v>35289.125389975976</v>
      </c>
      <c r="F51" s="1233">
        <f t="shared" si="2"/>
        <v>34012.691548565541</v>
      </c>
      <c r="G51" s="1233">
        <f t="shared" si="2"/>
        <v>32654.249539850556</v>
      </c>
      <c r="H51" s="1233">
        <f t="shared" si="2"/>
        <v>31209.879215770696</v>
      </c>
      <c r="I51" s="1233">
        <f t="shared" si="2"/>
        <v>29677.555225762822</v>
      </c>
      <c r="J51" s="1233">
        <f t="shared" si="2"/>
        <v>28051.143508725254</v>
      </c>
      <c r="K51" s="1233">
        <f t="shared" si="2"/>
        <v>26329.397672700292</v>
      </c>
    </row>
    <row r="52" spans="1:17">
      <c r="A52" s="1231" t="s">
        <v>4229</v>
      </c>
      <c r="B52" s="1233">
        <f>IF($B$25="N/A",B45,B45+$B$25)</f>
        <v>-21941.164727250245</v>
      </c>
      <c r="C52" s="1233">
        <f t="shared" ref="C52:K52" si="3">IF($B$25="N/A",C45,C45+$B$25)</f>
        <v>-21941.164727250245</v>
      </c>
      <c r="D52" s="1233">
        <f t="shared" si="3"/>
        <v>-21941.164727250245</v>
      </c>
      <c r="E52" s="1233">
        <f t="shared" si="3"/>
        <v>-21941.164727250245</v>
      </c>
      <c r="F52" s="1233">
        <f t="shared" si="3"/>
        <v>-21941.164727250245</v>
      </c>
      <c r="G52" s="1233">
        <f t="shared" si="3"/>
        <v>-21941.164727250245</v>
      </c>
      <c r="H52" s="1233">
        <f t="shared" si="3"/>
        <v>-21941.164727250245</v>
      </c>
      <c r="I52" s="1233">
        <f t="shared" si="3"/>
        <v>-21941.164727250245</v>
      </c>
      <c r="J52" s="1233">
        <f t="shared" si="3"/>
        <v>-21941.164727250245</v>
      </c>
      <c r="K52" s="1233">
        <f t="shared" si="3"/>
        <v>-21941.164727250245</v>
      </c>
    </row>
    <row r="53" spans="1:17">
      <c r="A53" s="1231" t="s">
        <v>4230</v>
      </c>
      <c r="B53" s="1232">
        <f>+'Part VII-Pro Forma'!B30</f>
        <v>-4500</v>
      </c>
      <c r="C53" s="1232">
        <f>+'Part VII-Pro Forma'!C30</f>
        <v>-4500</v>
      </c>
      <c r="D53" s="1232">
        <f>+'Part VII-Pro Forma'!D30</f>
        <v>-4500</v>
      </c>
      <c r="E53" s="1232">
        <f>+'Part VII-Pro Forma'!E30</f>
        <v>-4500</v>
      </c>
      <c r="F53" s="1232">
        <f>+'Part VII-Pro Forma'!F30</f>
        <v>-4500</v>
      </c>
      <c r="G53" s="1232">
        <f>+'Part VII-Pro Forma'!G30</f>
        <v>-4500</v>
      </c>
      <c r="H53" s="1232">
        <f>+'Part VII-Pro Forma'!H30</f>
        <v>-4500</v>
      </c>
      <c r="I53" s="1232">
        <f>+'Part VII-Pro Forma'!I30</f>
        <v>-4500</v>
      </c>
      <c r="J53" s="1232">
        <f>+'Part VII-Pro Forma'!J30</f>
        <v>-4500</v>
      </c>
      <c r="K53" s="1232">
        <f>+'Part VII-Pro Forma'!K30</f>
        <v>-4500</v>
      </c>
    </row>
    <row r="54" spans="1:17">
      <c r="A54" s="1231" t="s">
        <v>4231</v>
      </c>
      <c r="B54" s="1233">
        <f>+SUM(B51:B53)</f>
        <v>12213.907272749741</v>
      </c>
      <c r="C54" s="1233">
        <f t="shared" ref="C54:K54" si="4">+SUM(C51:C53)</f>
        <v>11165.97871274974</v>
      </c>
      <c r="D54" s="1233">
        <f t="shared" si="4"/>
        <v>10044.204681549767</v>
      </c>
      <c r="E54" s="1233">
        <f t="shared" si="4"/>
        <v>8847.9606627257308</v>
      </c>
      <c r="F54" s="1233">
        <f t="shared" si="4"/>
        <v>7571.5268213152958</v>
      </c>
      <c r="G54" s="1233">
        <f t="shared" si="4"/>
        <v>6213.0848126003111</v>
      </c>
      <c r="H54" s="1233">
        <f t="shared" si="4"/>
        <v>4768.7144885204507</v>
      </c>
      <c r="I54" s="1233">
        <f t="shared" si="4"/>
        <v>3236.3904985125773</v>
      </c>
      <c r="J54" s="1233">
        <f t="shared" si="4"/>
        <v>1609.9787814750089</v>
      </c>
      <c r="K54" s="1233">
        <f t="shared" si="4"/>
        <v>-111.76705454995317</v>
      </c>
    </row>
    <row r="55" spans="1:17">
      <c r="A55" s="1231" t="s">
        <v>4081</v>
      </c>
      <c r="B55" s="1233">
        <f>-B54</f>
        <v>-12213.907272749741</v>
      </c>
      <c r="C55" s="1233">
        <f t="shared" ref="C55:K55" si="5">-C54</f>
        <v>-11165.97871274974</v>
      </c>
      <c r="D55" s="1233">
        <f t="shared" si="5"/>
        <v>-10044.204681549767</v>
      </c>
      <c r="E55" s="1233">
        <f t="shared" si="5"/>
        <v>-8847.9606627257308</v>
      </c>
      <c r="F55" s="1233">
        <f t="shared" si="5"/>
        <v>-7571.5268213152958</v>
      </c>
      <c r="G55" s="1233">
        <f t="shared" si="5"/>
        <v>-6213.0848126003111</v>
      </c>
      <c r="H55" s="1233">
        <f t="shared" si="5"/>
        <v>-4768.7144885204507</v>
      </c>
      <c r="I55" s="1233">
        <f t="shared" si="5"/>
        <v>-3236.3904985125773</v>
      </c>
      <c r="J55" s="1233">
        <f t="shared" si="5"/>
        <v>-1609.9787814750089</v>
      </c>
      <c r="K55" s="1233">
        <f t="shared" si="5"/>
        <v>111.76705454995317</v>
      </c>
    </row>
    <row r="56" spans="1:17">
      <c r="A56" s="1231" t="s">
        <v>4232</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4233</v>
      </c>
      <c r="B58" s="1232">
        <f>IF($B$26="","",-FV('Part III-Sources of Funds'!$K$38/12,12,B52/12,B26))</f>
        <v>-21941.164727250245</v>
      </c>
      <c r="C58" s="1232">
        <f>IF($B$26="","",-FV('Part III-Sources of Funds'!$K$38/12,12,C52/12,B58))</f>
        <v>-43882.32945450049</v>
      </c>
      <c r="D58" s="1232">
        <f>IF($B$26="","",-FV('Part III-Sources of Funds'!$K$38/12,12,D52/12,C58))</f>
        <v>-65823.494181750735</v>
      </c>
      <c r="E58" s="1232">
        <f>IF($B$26="","",-FV('Part III-Sources of Funds'!$K$38/12,12,E52/12,D58))</f>
        <v>-87764.65890900098</v>
      </c>
      <c r="F58" s="1232">
        <f>IF($B$26="","",-FV('Part III-Sources of Funds'!$K$38/12,12,F52/12,E58))</f>
        <v>-109705.82363625123</v>
      </c>
      <c r="G58" s="1232">
        <f>IF($B$26="","",-FV('Part III-Sources of Funds'!$K$38/12,12,G52/12,F58))</f>
        <v>-131646.98836350147</v>
      </c>
      <c r="H58" s="1232">
        <f>IF($B$26="","",-FV('Part III-Sources of Funds'!$K$38/12,12,H52/12,G58))</f>
        <v>-153588.15309075173</v>
      </c>
      <c r="I58" s="1232">
        <f>IF($B$26="","",-FV('Part III-Sources of Funds'!$K$38/12,12,I52/12,H58))</f>
        <v>-175529.31781800196</v>
      </c>
      <c r="J58" s="1232">
        <f>IF($B$26="","",-FV('Part III-Sources of Funds'!$K$38/12,12,J52/12,I58))</f>
        <v>-197470.48254525219</v>
      </c>
      <c r="K58" s="1232">
        <f>IF($B$26="","",-FV('Part III-Sources of Funds'!$K$38/12,12,K52/12,J58))</f>
        <v>-219411.64727250242</v>
      </c>
    </row>
    <row r="59" spans="1:17">
      <c r="A59" s="1231" t="s">
        <v>4082</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4225</v>
      </c>
    </row>
    <row r="63" spans="1:17">
      <c r="A63" s="1231" t="s">
        <v>2479</v>
      </c>
      <c r="B63" s="1309">
        <v>11</v>
      </c>
      <c r="C63" s="1309">
        <v>12</v>
      </c>
      <c r="D63" s="1309">
        <v>13</v>
      </c>
      <c r="E63" s="1309">
        <v>14</v>
      </c>
      <c r="F63" s="1309">
        <v>15</v>
      </c>
      <c r="G63" s="1309">
        <v>16</v>
      </c>
      <c r="H63" s="1309">
        <v>17</v>
      </c>
      <c r="I63" s="1309">
        <v>18</v>
      </c>
      <c r="J63" s="1309">
        <v>19</v>
      </c>
      <c r="K63" s="1309">
        <v>20</v>
      </c>
    </row>
    <row r="64" spans="1:17">
      <c r="A64" s="1231" t="s">
        <v>1202</v>
      </c>
      <c r="B64" s="1232">
        <f>+'Part VII-Pro Forma'!B56</f>
        <v>20006.955258768805</v>
      </c>
      <c r="C64" s="1232">
        <f>+'Part VII-Pro Forma'!C56</f>
        <v>18080.3338855371</v>
      </c>
      <c r="D64" s="1232">
        <f>+'Part VII-Pro Forma'!D56</f>
        <v>16044.927270488701</v>
      </c>
      <c r="E64" s="1232">
        <f>+'Part VII-Pro Forma'!E56</f>
        <v>13898.001124356524</v>
      </c>
      <c r="F64" s="1232">
        <f>+'Part VII-Pro Forma'!F56</f>
        <v>11632.688914555325</v>
      </c>
      <c r="G64" s="1232">
        <f>+'Part VII-Pro Forma'!G56</f>
        <v>9246.9874935894404</v>
      </c>
      <c r="H64" s="1232">
        <f>+'Part VII-Pro Forma'!H56</f>
        <v>6734.7525882265909</v>
      </c>
      <c r="I64" s="1232">
        <f>+'Part VII-Pro Forma'!I56</f>
        <v>4090.6941450995582</v>
      </c>
      <c r="J64" s="1232">
        <f>+'Part VII-Pro Forma'!J56</f>
        <v>1311.3715282630728</v>
      </c>
      <c r="K64" s="1232">
        <f>+'Part VII-Pro Forma'!K56</f>
        <v>-1609.8114359022838</v>
      </c>
    </row>
    <row r="65" spans="1:11">
      <c r="A65" s="1231" t="s">
        <v>4226</v>
      </c>
      <c r="B65" s="1232">
        <f>SUM('Part VII-Pro Forma'!B57:B60)</f>
        <v>0</v>
      </c>
      <c r="C65" s="1232">
        <f>SUM('Part VII-Pro Forma'!C57:C60)</f>
        <v>0</v>
      </c>
      <c r="D65" s="1232">
        <f>SUM('Part VII-Pro Forma'!D57:D60)</f>
        <v>0</v>
      </c>
      <c r="E65" s="1232">
        <f>SUM('Part VII-Pro Forma'!E57:E60)</f>
        <v>0</v>
      </c>
      <c r="F65" s="1232">
        <f>SUM('Part VII-Pro Forma'!F57:F60)</f>
        <v>0</v>
      </c>
      <c r="G65" s="1232">
        <f>SUM('Part VII-Pro Forma'!G57:G60)</f>
        <v>0</v>
      </c>
      <c r="H65" s="1232">
        <f>SUM('Part VII-Pro Forma'!H57:H60)</f>
        <v>0</v>
      </c>
      <c r="I65" s="1232">
        <f>SUM('Part VII-Pro Forma'!I57:I60)</f>
        <v>0</v>
      </c>
      <c r="J65" s="1232">
        <f>SUM('Part VII-Pro Forma'!J57:J60)</f>
        <v>0</v>
      </c>
      <c r="K65" s="1232">
        <f>SUM('Part VII-Pro Forma'!K57:K60)</f>
        <v>0</v>
      </c>
    </row>
    <row r="66" spans="1:11">
      <c r="A66" s="1231" t="s">
        <v>4227</v>
      </c>
      <c r="B66" s="1233">
        <f t="shared" ref="B66:K66" si="7">-B64/B68-B65</f>
        <v>-16672.462715640671</v>
      </c>
      <c r="C66" s="1233">
        <f t="shared" si="7"/>
        <v>-15066.944904614251</v>
      </c>
      <c r="D66" s="1233">
        <f t="shared" si="7"/>
        <v>-13370.772725407251</v>
      </c>
      <c r="E66" s="1233">
        <f t="shared" si="7"/>
        <v>-11581.667603630438</v>
      </c>
      <c r="F66" s="1233">
        <f t="shared" si="7"/>
        <v>-9693.9074287961048</v>
      </c>
      <c r="G66" s="1233">
        <f t="shared" si="7"/>
        <v>-7705.8229113245343</v>
      </c>
      <c r="H66" s="1233">
        <f t="shared" si="7"/>
        <v>-5612.2938235221591</v>
      </c>
      <c r="I66" s="1233">
        <f t="shared" si="7"/>
        <v>-3408.9117875829652</v>
      </c>
      <c r="J66" s="1233">
        <f t="shared" si="7"/>
        <v>-1092.809606885894</v>
      </c>
      <c r="K66" s="1233">
        <f t="shared" si="7"/>
        <v>1341.50952991857</v>
      </c>
    </row>
    <row r="68" spans="1:11">
      <c r="A68" s="1231" t="s">
        <v>4228</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1163</v>
      </c>
    </row>
    <row r="71" spans="1:11">
      <c r="A71" s="1231" t="s">
        <v>1202</v>
      </c>
      <c r="B71" s="1233">
        <f t="shared" ref="B71:G71" si="9">+B64</f>
        <v>20006.955258768805</v>
      </c>
      <c r="C71" s="1233">
        <f t="shared" si="9"/>
        <v>18080.3338855371</v>
      </c>
      <c r="D71" s="1233">
        <f t="shared" si="9"/>
        <v>16044.927270488701</v>
      </c>
      <c r="E71" s="1233">
        <f t="shared" si="9"/>
        <v>13898.001124356524</v>
      </c>
      <c r="F71" s="1233">
        <f t="shared" si="9"/>
        <v>11632.688914555325</v>
      </c>
      <c r="G71" s="1233">
        <f t="shared" si="9"/>
        <v>9246.9874935894404</v>
      </c>
      <c r="H71" s="1233">
        <f>+H64</f>
        <v>6734.7525882265909</v>
      </c>
      <c r="I71" s="1233">
        <f>+I64</f>
        <v>4090.6941450995582</v>
      </c>
      <c r="J71" s="1233">
        <f>+J64</f>
        <v>1311.3715282630728</v>
      </c>
      <c r="K71" s="1233">
        <f>+K64</f>
        <v>-1609.8114359022838</v>
      </c>
    </row>
    <row r="72" spans="1:11">
      <c r="A72" s="1231" t="s">
        <v>4229</v>
      </c>
      <c r="B72" s="1233">
        <f t="shared" ref="B72:G72" si="10">IF($B$25="N/A",B65,B65+$B$25)</f>
        <v>-21941.164727250245</v>
      </c>
      <c r="C72" s="1233">
        <f t="shared" si="10"/>
        <v>-21941.164727250245</v>
      </c>
      <c r="D72" s="1233">
        <f t="shared" si="10"/>
        <v>-21941.164727250245</v>
      </c>
      <c r="E72" s="1233">
        <f t="shared" si="10"/>
        <v>-21941.164727250245</v>
      </c>
      <c r="F72" s="1233">
        <f t="shared" si="10"/>
        <v>-21941.164727250245</v>
      </c>
      <c r="G72" s="1233">
        <f t="shared" si="10"/>
        <v>-21941.164727250245</v>
      </c>
      <c r="H72" s="1233">
        <f>IF($B$25="N/A",H65,H65+$B$25)</f>
        <v>-21941.164727250245</v>
      </c>
      <c r="I72" s="1233">
        <f>IF($B$25="N/A",I65,I65+$B$25)</f>
        <v>-21941.164727250245</v>
      </c>
      <c r="J72" s="1233">
        <f>IF($B$25="N/A",J65,J65+$B$25)</f>
        <v>-21941.164727250245</v>
      </c>
      <c r="K72" s="1233">
        <f>IF($B$25="N/A",K65,K65+$B$25)</f>
        <v>-21941.164727250245</v>
      </c>
    </row>
    <row r="73" spans="1:11">
      <c r="A73" s="1231" t="s">
        <v>4230</v>
      </c>
      <c r="B73" s="1232">
        <f>+'Part VII-Pro Forma'!B62</f>
        <v>0</v>
      </c>
      <c r="C73" s="1232">
        <f>+'Part VII-Pro Forma'!C62</f>
        <v>0</v>
      </c>
      <c r="D73" s="1232">
        <f>+'Part VII-Pro Forma'!D62</f>
        <v>0</v>
      </c>
      <c r="E73" s="1232">
        <f>+'Part VII-Pro Forma'!E62</f>
        <v>0</v>
      </c>
      <c r="F73" s="1232">
        <f>+'Part VII-Pro Forma'!F62</f>
        <v>0</v>
      </c>
      <c r="G73" s="1232">
        <f>+'Part VII-Pro Forma'!G62</f>
        <v>0</v>
      </c>
      <c r="H73" s="1232">
        <f>+'Part VII-Pro Forma'!H62</f>
        <v>0</v>
      </c>
      <c r="I73" s="1232">
        <f>+'Part VII-Pro Forma'!I62</f>
        <v>0</v>
      </c>
      <c r="J73" s="1232">
        <f>+'Part VII-Pro Forma'!J62</f>
        <v>0</v>
      </c>
      <c r="K73" s="1232">
        <f>+'Part VII-Pro Forma'!K62</f>
        <v>0</v>
      </c>
    </row>
    <row r="74" spans="1:11">
      <c r="A74" s="1231" t="s">
        <v>4231</v>
      </c>
      <c r="B74" s="1233">
        <f t="shared" ref="B74:G74" si="11">+SUM(B71:B73)</f>
        <v>-1934.2094684814401</v>
      </c>
      <c r="C74" s="1233">
        <f t="shared" si="11"/>
        <v>-3860.8308417131448</v>
      </c>
      <c r="D74" s="1233">
        <f t="shared" si="11"/>
        <v>-5896.2374567615443</v>
      </c>
      <c r="E74" s="1233">
        <f t="shared" si="11"/>
        <v>-8043.163602893721</v>
      </c>
      <c r="F74" s="1233">
        <f t="shared" si="11"/>
        <v>-10308.47581269492</v>
      </c>
      <c r="G74" s="1233">
        <f t="shared" si="11"/>
        <v>-12694.177233660805</v>
      </c>
      <c r="H74" s="1233">
        <f>+SUM(H71:H73)</f>
        <v>-15206.412139023654</v>
      </c>
      <c r="I74" s="1233">
        <f>+SUM(I71:I73)</f>
        <v>-17850.470582150687</v>
      </c>
      <c r="J74" s="1233">
        <f>+SUM(J71:J73)</f>
        <v>-20629.793198987172</v>
      </c>
      <c r="K74" s="1233">
        <f>+SUM(K71:K73)</f>
        <v>-23550.976163152529</v>
      </c>
    </row>
    <row r="75" spans="1:11">
      <c r="A75" s="1231" t="s">
        <v>4081</v>
      </c>
      <c r="B75" s="1233">
        <f t="shared" ref="B75:G75" si="12">-B74</f>
        <v>1934.2094684814401</v>
      </c>
      <c r="C75" s="1233">
        <f t="shared" si="12"/>
        <v>3860.8308417131448</v>
      </c>
      <c r="D75" s="1233">
        <f t="shared" si="12"/>
        <v>5896.2374567615443</v>
      </c>
      <c r="E75" s="1233">
        <f t="shared" si="12"/>
        <v>8043.163602893721</v>
      </c>
      <c r="F75" s="1233">
        <f t="shared" si="12"/>
        <v>10308.47581269492</v>
      </c>
      <c r="G75" s="1233">
        <f t="shared" si="12"/>
        <v>12694.177233660805</v>
      </c>
      <c r="H75" s="1233">
        <f>-H74</f>
        <v>15206.412139023654</v>
      </c>
      <c r="I75" s="1233">
        <f>-I74</f>
        <v>17850.470582150687</v>
      </c>
      <c r="J75" s="1233">
        <f>-J74</f>
        <v>20629.793198987172</v>
      </c>
      <c r="K75" s="1233">
        <f>-K74</f>
        <v>23550.976163152529</v>
      </c>
    </row>
    <row r="76" spans="1:11">
      <c r="A76" s="1231" t="s">
        <v>4232</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4233</v>
      </c>
      <c r="B78" s="1232">
        <f>IF($B$26="","",-FV('Part III-Sources of Funds'!$K$38/12,12,B72/12,K58))</f>
        <v>-241352.81199975265</v>
      </c>
      <c r="C78" s="1232">
        <f>IF($B$26="","",-FV('Part III-Sources of Funds'!$K$38/12,12,C72/12,B78))</f>
        <v>-263293.97672700288</v>
      </c>
      <c r="D78" s="1232">
        <f>IF($B$26="","",-FV('Part III-Sources of Funds'!$K$38/12,12,D72/12,C78))</f>
        <v>-285235.14145425311</v>
      </c>
      <c r="E78" s="1232">
        <f>IF($B$26="","",-FV('Part III-Sources of Funds'!$K$38/12,12,E72/12,D78))</f>
        <v>-307176.30618150334</v>
      </c>
      <c r="F78" s="1232">
        <f>IF($B$26="","",-FV('Part III-Sources of Funds'!$K$38/12,12,F72/12,E78))</f>
        <v>-329117.47090875357</v>
      </c>
      <c r="G78" s="1232">
        <f>IF($B$26="","",-FV('Part III-Sources of Funds'!$K$38/12,12,G72/12,F78))</f>
        <v>-351058.6356360038</v>
      </c>
      <c r="H78" s="1232">
        <f>IF($B$26="","",-FV('Part III-Sources of Funds'!$K$38/12,12,H72/12,G78))</f>
        <v>-372999.80036325403</v>
      </c>
      <c r="I78" s="1232">
        <f>IF($B$26="","",-FV('Part III-Sources of Funds'!$K$38/12,12,I72/12,H78))</f>
        <v>-394940.96509050427</v>
      </c>
      <c r="J78" s="1232">
        <f>IF($B$26="","",-FV('Part III-Sources of Funds'!$K$38/12,12,J72/12,I78))</f>
        <v>-416882.1298177545</v>
      </c>
      <c r="K78" s="1232">
        <f>IF($B$26="","",-FV('Part III-Sources of Funds'!$K$38/12,12,K72/12,J78))</f>
        <v>-438823.29454500473</v>
      </c>
    </row>
    <row r="79" spans="1:11">
      <c r="A79" s="1231" t="s">
        <v>4082</v>
      </c>
    </row>
    <row r="82" spans="1:2">
      <c r="A82" s="1231" t="s">
        <v>4234</v>
      </c>
      <c r="B82" s="1306" t="s">
        <v>1348</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33203125" defaultRowHeight="15"/>
  <cols>
    <col min="1" max="3" width="12.6640625" style="640" customWidth="1"/>
    <col min="4" max="4" width="15.44140625" style="640" customWidth="1"/>
    <col min="5" max="5" width="4.6640625" style="640" customWidth="1"/>
    <col min="6" max="9" width="12.6640625" style="640" customWidth="1"/>
    <col min="10" max="10" width="5.33203125" style="640" customWidth="1"/>
    <col min="11" max="16384" width="9.33203125" style="640"/>
  </cols>
  <sheetData>
    <row r="1" spans="1:16" ht="15.6">
      <c r="A1" s="4065" t="s">
        <v>2912</v>
      </c>
      <c r="B1" s="4065"/>
      <c r="C1" s="4065"/>
      <c r="D1" s="4065"/>
      <c r="E1" s="4065"/>
      <c r="F1" s="4065"/>
      <c r="G1" s="4065"/>
      <c r="H1" s="4065"/>
      <c r="I1" s="4065"/>
      <c r="J1" s="4065"/>
    </row>
    <row r="2" spans="1:16" ht="15.6">
      <c r="A2" s="4065" t="str">
        <f>Overview!C8</f>
        <v>Woodstone Apartments II</v>
      </c>
      <c r="B2" s="4065"/>
      <c r="C2" s="4065"/>
      <c r="D2" s="4065"/>
      <c r="E2" s="4065"/>
      <c r="F2" s="4065"/>
      <c r="G2" s="4065"/>
      <c r="H2" s="4065"/>
      <c r="I2" s="4065"/>
      <c r="J2" s="4065"/>
    </row>
    <row r="3" spans="1:16" ht="15.6">
      <c r="A3" s="4065" t="str">
        <f>'Subsidy Layering Memo'!F14</f>
        <v>Leesburg, Lee</v>
      </c>
      <c r="B3" s="4065"/>
      <c r="C3" s="4065"/>
      <c r="D3" s="4065"/>
      <c r="E3" s="4065"/>
      <c r="F3" s="4065"/>
      <c r="G3" s="4065"/>
      <c r="H3" s="4065"/>
      <c r="I3" s="4065"/>
      <c r="J3" s="4065"/>
    </row>
    <row r="4" spans="1:16" ht="15.6">
      <c r="A4" s="4066" t="s">
        <v>2913</v>
      </c>
      <c r="B4" s="4065"/>
      <c r="C4" s="4065"/>
      <c r="D4" s="4065"/>
      <c r="E4" s="4065"/>
      <c r="F4" s="4065"/>
      <c r="G4" s="4065"/>
      <c r="H4" s="4065"/>
      <c r="I4" s="4065"/>
      <c r="J4" s="4065"/>
    </row>
    <row r="5" spans="1:16" ht="5.25" customHeight="1"/>
    <row r="6" spans="1:16" ht="5.25" customHeight="1"/>
    <row r="7" spans="1:16" ht="15.6">
      <c r="A7" s="4067" t="s">
        <v>2914</v>
      </c>
      <c r="B7" s="4067"/>
      <c r="C7" s="4068"/>
      <c r="M7" s="4059"/>
      <c r="N7" s="4059"/>
      <c r="O7" s="4059"/>
      <c r="P7" s="4059"/>
    </row>
    <row r="8" spans="1:16" ht="57" customHeight="1">
      <c r="A8" s="4060" t="s">
        <v>5063</v>
      </c>
      <c r="B8" s="4060"/>
      <c r="C8" s="4060"/>
      <c r="D8" s="4060"/>
      <c r="E8" s="4060"/>
      <c r="F8" s="4060"/>
      <c r="G8" s="4060"/>
      <c r="H8" s="4060"/>
      <c r="I8" s="4060"/>
      <c r="J8" s="4060"/>
      <c r="K8" s="641"/>
    </row>
    <row r="9" spans="1:16" ht="45.75" customHeight="1">
      <c r="A9" s="4060"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Leesburg, Lee County, Georgia, with the development of 40 units (UNIT DESCRIPTION) set aside for Family.</v>
      </c>
      <c r="B9" s="4060"/>
      <c r="C9" s="4060"/>
      <c r="D9" s="4060"/>
      <c r="E9" s="4060"/>
      <c r="F9" s="4060"/>
      <c r="G9" s="4060"/>
      <c r="H9" s="4060"/>
      <c r="I9" s="4060"/>
      <c r="J9" s="4060"/>
      <c r="K9" s="641"/>
    </row>
    <row r="10" spans="1:16" ht="15.6">
      <c r="A10" s="642" t="s">
        <v>2915</v>
      </c>
    </row>
    <row r="11" spans="1:16" ht="16.5" customHeight="1">
      <c r="A11" s="4060" t="str">
        <f>'Subsidy Layering Memo'!A44</f>
        <v xml:space="preserve">Ownership entity:  (NAME) LP, a Georgia Limited Partnership, will be the ownership entity for the proposed project. </v>
      </c>
      <c r="B11" s="4062"/>
      <c r="C11" s="4062"/>
      <c r="D11" s="4062"/>
      <c r="E11" s="4062"/>
      <c r="F11" s="4062"/>
      <c r="G11" s="4062"/>
      <c r="H11" s="4062"/>
      <c r="I11" s="4062"/>
      <c r="J11" s="4060"/>
    </row>
    <row r="12" spans="1:16" ht="63.75" customHeight="1">
      <c r="A12" s="4060" t="s">
        <v>2945</v>
      </c>
      <c r="B12" s="4060"/>
      <c r="C12" s="4060"/>
      <c r="D12" s="4060"/>
      <c r="E12" s="4060"/>
      <c r="F12" s="4060"/>
      <c r="G12" s="4060"/>
      <c r="H12" s="4060"/>
      <c r="I12" s="4060"/>
      <c r="J12" s="4060"/>
    </row>
    <row r="13" spans="1:16" ht="48.75" customHeight="1">
      <c r="A13" s="4060" t="s">
        <v>2946</v>
      </c>
      <c r="B13" s="4060"/>
      <c r="C13" s="4060"/>
      <c r="D13" s="4060"/>
      <c r="E13" s="4060"/>
      <c r="F13" s="4060"/>
      <c r="G13" s="4060"/>
      <c r="H13" s="4060"/>
      <c r="I13" s="4060"/>
      <c r="J13" s="4060"/>
    </row>
    <row r="14" spans="1:16" ht="15.6">
      <c r="A14" s="642" t="s">
        <v>2916</v>
      </c>
      <c r="B14" s="643"/>
    </row>
    <row r="15" spans="1:16">
      <c r="A15" s="640" t="s">
        <v>2917</v>
      </c>
      <c r="D15" s="2226" t="s">
        <v>2918</v>
      </c>
    </row>
    <row r="16" spans="1:16">
      <c r="A16" s="640" t="s">
        <v>2919</v>
      </c>
      <c r="D16" s="2224">
        <f>Overview!C25</f>
        <v>0</v>
      </c>
    </row>
    <row r="17" spans="1:11">
      <c r="A17" s="644" t="s">
        <v>2920</v>
      </c>
      <c r="D17" s="2225">
        <f>Overview!C13</f>
        <v>40</v>
      </c>
    </row>
    <row r="18" spans="1:11" ht="14.25" customHeight="1"/>
    <row r="19" spans="1:11" ht="15.6">
      <c r="A19" s="642" t="s">
        <v>2921</v>
      </c>
      <c r="B19" s="643"/>
      <c r="C19" s="643"/>
    </row>
    <row r="20" spans="1:11" ht="48.75" customHeight="1">
      <c r="A20" s="4063" t="s">
        <v>2948</v>
      </c>
      <c r="B20" s="4063"/>
      <c r="C20" s="4063"/>
      <c r="D20" s="4063"/>
      <c r="E20" s="4063"/>
      <c r="F20" s="4063"/>
      <c r="G20" s="4063"/>
      <c r="H20" s="4063"/>
      <c r="I20" s="4063"/>
      <c r="J20" s="4063"/>
    </row>
    <row r="21" spans="1:11" ht="72.75" customHeight="1">
      <c r="A21" s="4060" t="s">
        <v>5062</v>
      </c>
      <c r="B21" s="4060"/>
      <c r="C21" s="4060"/>
      <c r="D21" s="4060"/>
      <c r="E21" s="4060"/>
      <c r="F21" s="4060"/>
      <c r="G21" s="4060"/>
      <c r="H21" s="4060"/>
      <c r="I21" s="4060"/>
      <c r="J21" s="4060"/>
    </row>
    <row r="22" spans="1:11" ht="15.6">
      <c r="A22" s="642" t="s">
        <v>2922</v>
      </c>
      <c r="B22" s="643"/>
      <c r="C22" s="643"/>
      <c r="D22" s="643"/>
      <c r="E22" s="643"/>
      <c r="F22" s="643"/>
    </row>
    <row r="23" spans="1:11" ht="102.75" customHeight="1">
      <c r="A23" s="4064" t="s">
        <v>2941</v>
      </c>
      <c r="B23" s="4064"/>
      <c r="C23" s="4064"/>
      <c r="D23" s="4064"/>
      <c r="E23" s="4064"/>
      <c r="F23" s="4064"/>
      <c r="G23" s="4064"/>
      <c r="H23" s="4064"/>
      <c r="I23" s="4064"/>
      <c r="J23" s="4064"/>
      <c r="K23" s="1862"/>
    </row>
    <row r="24" spans="1:11" ht="15" customHeight="1">
      <c r="A24" s="4061"/>
      <c r="B24" s="4061"/>
      <c r="C24" s="4061"/>
      <c r="D24" s="4061"/>
      <c r="E24" s="4061"/>
      <c r="F24" s="4061"/>
      <c r="G24" s="4061"/>
      <c r="H24" s="4061"/>
      <c r="I24" s="4061"/>
      <c r="J24" s="4061"/>
      <c r="K24" s="640" t="s">
        <v>243</v>
      </c>
    </row>
    <row r="25" spans="1:11" ht="15" customHeight="1">
      <c r="B25" s="1861"/>
      <c r="C25" s="1861"/>
      <c r="D25" s="1861"/>
      <c r="E25" s="1861"/>
      <c r="F25" s="1861"/>
      <c r="G25" s="1861"/>
      <c r="H25" s="1861"/>
      <c r="I25" s="1861" t="s">
        <v>243</v>
      </c>
      <c r="J25" s="1861"/>
    </row>
    <row r="26" spans="1:11" ht="15.6">
      <c r="A26" s="643" t="s">
        <v>2923</v>
      </c>
    </row>
    <row r="28" spans="1:11" ht="15.6" thickBot="1">
      <c r="A28" s="645"/>
      <c r="B28" s="645"/>
      <c r="C28" s="645"/>
      <c r="D28" s="645"/>
      <c r="F28" s="645"/>
      <c r="G28" s="645"/>
      <c r="H28" s="645"/>
      <c r="I28" s="645"/>
    </row>
    <row r="29" spans="1:11">
      <c r="A29" s="640" t="s">
        <v>2924</v>
      </c>
      <c r="D29" s="640" t="s">
        <v>924</v>
      </c>
      <c r="F29" s="640" t="s">
        <v>2925</v>
      </c>
      <c r="I29" s="640" t="s">
        <v>924</v>
      </c>
      <c r="J29" s="640"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33203125" defaultRowHeight="13.2"/>
  <cols>
    <col min="1" max="1" width="16.6640625" style="26" customWidth="1"/>
    <col min="2" max="3" width="26.3320312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6640625" style="26" customWidth="1"/>
    <col min="12" max="12" width="7.5546875" style="26" customWidth="1"/>
    <col min="13" max="17" width="10.6640625" style="26" customWidth="1"/>
    <col min="18" max="16384" width="9.33203125" style="26"/>
  </cols>
  <sheetData>
    <row r="1" spans="1:14" s="246" customFormat="1" ht="17.399999999999999">
      <c r="A1" s="1244" t="s">
        <v>2984</v>
      </c>
      <c r="B1" s="703"/>
      <c r="C1" s="703"/>
      <c r="D1" s="703"/>
      <c r="E1" s="703"/>
      <c r="F1" s="703"/>
      <c r="G1" s="703"/>
      <c r="H1" s="703"/>
      <c r="I1" s="703"/>
      <c r="J1" s="703"/>
      <c r="K1" s="703"/>
      <c r="L1" s="643"/>
      <c r="M1" s="643"/>
    </row>
    <row r="2" spans="1:14" s="246" customFormat="1" ht="17.399999999999999">
      <c r="A2" s="1244" t="str">
        <f>+"Financial Analysis for:  "&amp;E8&amp;"  "&amp;C8</f>
        <v>Financial Analysis for:  2019-049  Woodstone Apartments II</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2985</v>
      </c>
      <c r="B7" s="640"/>
      <c r="C7" s="677"/>
      <c r="D7" s="678"/>
      <c r="E7" s="678"/>
      <c r="F7" s="643" t="s">
        <v>3314</v>
      </c>
      <c r="G7" s="640"/>
      <c r="H7" s="407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070"/>
      <c r="J7" s="4070"/>
      <c r="K7" s="4070"/>
      <c r="L7" s="640"/>
      <c r="M7" s="640"/>
    </row>
    <row r="8" spans="1:14" ht="15.6">
      <c r="A8" s="643" t="s">
        <v>2986</v>
      </c>
      <c r="B8" s="643"/>
      <c r="C8" s="4070" t="str">
        <f>'Part I-Project Information'!F34</f>
        <v>Woodstone Apartments II</v>
      </c>
      <c r="D8" s="4070"/>
      <c r="E8" s="1863" t="str">
        <f>'Part I-Project Information'!O6</f>
        <v>2019-049</v>
      </c>
      <c r="F8" s="679" t="s">
        <v>2987</v>
      </c>
      <c r="G8" s="678"/>
      <c r="H8" s="4070" t="str">
        <f>CONCATENATE('Part I-Project Information'!F38,", ",'Part I-Project Information'!J39)</f>
        <v>Leesburg, Lee</v>
      </c>
      <c r="I8" s="4070"/>
      <c r="J8" s="4070"/>
      <c r="K8" s="4070"/>
      <c r="L8" s="640"/>
      <c r="M8" s="680"/>
    </row>
    <row r="9" spans="1:14" ht="15.6">
      <c r="A9" s="643" t="s">
        <v>2989</v>
      </c>
      <c r="B9" s="643"/>
      <c r="C9" s="4070" t="s">
        <v>1770</v>
      </c>
      <c r="D9" s="4070"/>
      <c r="E9" s="678"/>
      <c r="F9" s="679" t="s">
        <v>2990</v>
      </c>
      <c r="G9" s="678"/>
      <c r="H9" s="4070" t="str">
        <f>'Part II-Development Team'!H5</f>
        <v>Woodstone Apartments II, LP</v>
      </c>
      <c r="I9" s="4070"/>
      <c r="J9" s="4070"/>
      <c r="K9" s="4070"/>
      <c r="L9" s="4070"/>
      <c r="M9" s="680"/>
    </row>
    <row r="10" spans="1:14" ht="15.6">
      <c r="A10" s="643" t="s">
        <v>2992</v>
      </c>
      <c r="B10" s="640"/>
      <c r="C10" s="1863" t="str">
        <f>'Part II-Development Team'!H14</f>
        <v>Olympia GP Holdings, LLC</v>
      </c>
      <c r="D10" s="678"/>
      <c r="E10" s="678"/>
      <c r="F10" s="679" t="s">
        <v>3558</v>
      </c>
      <c r="G10" s="678"/>
      <c r="H10" s="4070" t="str">
        <f>'Part II-Development Team'!H33</f>
        <v>Regions Bank</v>
      </c>
      <c r="I10" s="4070"/>
      <c r="J10" s="4070"/>
      <c r="K10" s="4070" t="str">
        <f>'Part II-Development Team'!H39</f>
        <v>Sugar Creek Capital</v>
      </c>
      <c r="L10" s="4070"/>
    </row>
    <row r="11" spans="1:14" ht="15.6">
      <c r="A11" s="643" t="s">
        <v>2993</v>
      </c>
      <c r="B11" s="640"/>
      <c r="C11" s="1863" t="str">
        <f>IF('Part II-Development Team'!H20="","",'Part II-Development Team'!H20)</f>
        <v/>
      </c>
      <c r="D11" s="678"/>
      <c r="E11" s="1246" t="str">
        <f>IF('Part II-Development Team'!H26="","",'Part II-Development Team'!H26)</f>
        <v/>
      </c>
      <c r="F11" s="679" t="s">
        <v>651</v>
      </c>
      <c r="G11" s="678"/>
      <c r="H11" s="4070" t="str">
        <f>'Part II-Development Team'!H54</f>
        <v xml:space="preserve">Olympia Construction, Inc. </v>
      </c>
      <c r="I11" s="4070"/>
      <c r="J11" s="4070"/>
      <c r="K11" s="4070">
        <f>'Part II-Development Team'!H60</f>
        <v>0</v>
      </c>
      <c r="L11" s="4070"/>
      <c r="M11" s="4070">
        <f>'Part II-Development Team'!H66</f>
        <v>0</v>
      </c>
      <c r="N11" s="4070"/>
    </row>
    <row r="12" spans="1:14" ht="15.6">
      <c r="A12" s="643" t="s">
        <v>2994</v>
      </c>
      <c r="B12" s="640"/>
      <c r="C12" s="1863" t="str">
        <f>'Part II-Development Team'!H86</f>
        <v>Olympia Construction, Inc.</v>
      </c>
      <c r="D12" s="678"/>
      <c r="E12" s="678"/>
      <c r="F12" s="679" t="s">
        <v>2995</v>
      </c>
      <c r="G12" s="678"/>
      <c r="H12" s="4070" t="str">
        <f>'Part II-Development Team'!H92</f>
        <v>Olympia Management, Inc.</v>
      </c>
      <c r="I12" s="4070"/>
      <c r="J12" s="4070"/>
      <c r="K12" s="4070"/>
      <c r="L12" s="640"/>
      <c r="M12" s="640"/>
    </row>
    <row r="13" spans="1:14" ht="15.6">
      <c r="A13" s="643" t="s">
        <v>2996</v>
      </c>
      <c r="B13" s="679"/>
      <c r="C13" s="639">
        <f>'Part VI-Revenues &amp; Expenses'!$O$67</f>
        <v>40</v>
      </c>
      <c r="E13" s="1247">
        <f>'Part VI-Revenues &amp; Expenses'!$O$63</f>
        <v>39</v>
      </c>
      <c r="F13" s="679" t="s">
        <v>4241</v>
      </c>
      <c r="G13" s="678"/>
      <c r="H13" s="1864">
        <f>'Part I-Project Information'!H76</f>
        <v>6</v>
      </c>
      <c r="I13" s="1248"/>
      <c r="J13" s="1248"/>
      <c r="K13" s="1864">
        <f>'Part I-Project Information'!P75</f>
        <v>36972</v>
      </c>
      <c r="L13" s="640"/>
      <c r="M13" s="640"/>
    </row>
    <row r="14" spans="1:14" ht="15.6">
      <c r="A14" s="643" t="s">
        <v>3304</v>
      </c>
      <c r="B14" s="640"/>
      <c r="C14" s="1864" t="str">
        <f>'Part I-Project Information'!H82</f>
        <v>Family</v>
      </c>
      <c r="D14" s="4070" t="str">
        <f>IF('Part I-Project Information'!N74=0,"",'Part I-Project Information'!N74)</f>
        <v/>
      </c>
      <c r="E14" s="4070"/>
      <c r="F14" s="679" t="s">
        <v>2997</v>
      </c>
      <c r="G14" s="678"/>
      <c r="H14" s="4075" t="s">
        <v>3497</v>
      </c>
      <c r="I14" s="4075"/>
      <c r="J14" s="4075"/>
      <c r="K14" s="4075" t="s">
        <v>3497</v>
      </c>
      <c r="L14" s="4075"/>
      <c r="M14" s="640"/>
    </row>
    <row r="15" spans="1:14" ht="15.6">
      <c r="A15" s="643" t="s">
        <v>2998</v>
      </c>
      <c r="B15" s="640"/>
      <c r="C15" s="681" t="s">
        <v>1770</v>
      </c>
      <c r="D15" s="678"/>
      <c r="E15" s="678"/>
      <c r="F15" s="679" t="s">
        <v>3305</v>
      </c>
      <c r="G15" s="678"/>
      <c r="H15" s="1863" t="str">
        <f>'Part I-Project Information'!K40</f>
        <v>Rural</v>
      </c>
      <c r="I15" s="678"/>
      <c r="J15" s="678"/>
      <c r="K15" s="678"/>
      <c r="L15" s="640"/>
      <c r="M15" s="640"/>
    </row>
    <row r="16" spans="1:14" ht="15.6">
      <c r="A16" s="643" t="s">
        <v>3531</v>
      </c>
      <c r="B16" s="640"/>
      <c r="C16" s="1863" t="str">
        <f>'Part I-Project Information'!H100</f>
        <v>No</v>
      </c>
      <c r="D16" s="682" t="s">
        <v>2678</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3307</v>
      </c>
      <c r="B18" s="640"/>
      <c r="C18" s="1866">
        <f>'Part IV-A-Uses of Funds'!G132</f>
        <v>5168536</v>
      </c>
      <c r="D18" s="1293">
        <f>IF(C18=0,"",$C$29/C18)</f>
        <v>0</v>
      </c>
      <c r="E18" s="678" t="s">
        <v>3308</v>
      </c>
      <c r="F18" s="679" t="s">
        <v>3309</v>
      </c>
      <c r="G18" s="678"/>
      <c r="H18" s="4069">
        <f>'Part IV-A-Uses of Funds'!B44</f>
        <v>2476588</v>
      </c>
      <c r="I18" s="4069"/>
      <c r="J18" s="1292">
        <f>IF(H18=0,"",$C$29/H18)</f>
        <v>0</v>
      </c>
      <c r="K18" s="4070" t="s">
        <v>3310</v>
      </c>
      <c r="L18" s="4070"/>
      <c r="M18" s="640"/>
    </row>
    <row r="19" spans="1:13" ht="15.6">
      <c r="A19" s="643" t="s">
        <v>2999</v>
      </c>
      <c r="B19" s="640"/>
      <c r="C19" s="1865">
        <f>C18/C13</f>
        <v>129213.4</v>
      </c>
      <c r="D19" s="678"/>
      <c r="E19" s="640"/>
      <c r="F19" s="643" t="s">
        <v>2999</v>
      </c>
      <c r="G19" s="640"/>
      <c r="H19" s="4071">
        <f>H18/C13</f>
        <v>61914.7</v>
      </c>
      <c r="I19" s="4071"/>
      <c r="J19" s="640"/>
      <c r="K19" s="640"/>
      <c r="L19" s="640"/>
      <c r="M19" s="640"/>
    </row>
    <row r="20" spans="1:13" ht="15.6">
      <c r="A20" s="643" t="s">
        <v>3000</v>
      </c>
      <c r="B20" s="640"/>
      <c r="C20" s="1867">
        <f>C18/K13</f>
        <v>139.79595369468788</v>
      </c>
      <c r="D20" s="683"/>
      <c r="E20" s="684"/>
      <c r="F20" s="643" t="s">
        <v>3000</v>
      </c>
      <c r="G20" s="640"/>
      <c r="H20" s="4072">
        <f>H18/K13</f>
        <v>66.985502542464573</v>
      </c>
      <c r="I20" s="4071"/>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3001</v>
      </c>
      <c r="B23" s="687"/>
      <c r="C23" s="687"/>
      <c r="D23" s="687"/>
      <c r="E23" s="678"/>
      <c r="F23" s="678"/>
      <c r="G23" s="678"/>
      <c r="H23" s="678"/>
      <c r="I23" s="678"/>
      <c r="J23" s="678"/>
      <c r="K23" s="678"/>
      <c r="L23" s="640"/>
      <c r="M23" s="680"/>
    </row>
    <row r="24" spans="1:13" ht="27" customHeight="1">
      <c r="A24" s="640"/>
      <c r="B24" s="640"/>
      <c r="C24" s="640"/>
      <c r="D24" s="688" t="s">
        <v>3002</v>
      </c>
      <c r="E24" s="640"/>
      <c r="F24" s="640"/>
      <c r="G24" s="640"/>
      <c r="H24" s="640"/>
      <c r="I24" s="640"/>
      <c r="J24" s="640"/>
      <c r="K24" s="640"/>
      <c r="L24" s="640"/>
      <c r="M24" s="680"/>
    </row>
    <row r="25" spans="1:13" ht="15.6">
      <c r="A25" s="643" t="s">
        <v>3003</v>
      </c>
      <c r="B25" s="689">
        <f>'Part III-Sources of Funds'!E38</f>
        <v>0</v>
      </c>
      <c r="C25" s="690">
        <f>'Part III-Sources of Funds'!I38</f>
        <v>0</v>
      </c>
      <c r="D25" s="691" t="s">
        <v>3004</v>
      </c>
      <c r="E25" s="640"/>
      <c r="F25" s="678"/>
      <c r="G25" s="640" t="s">
        <v>3005</v>
      </c>
      <c r="H25" s="640"/>
      <c r="I25" s="640"/>
      <c r="K25" s="690"/>
      <c r="L25" s="678"/>
      <c r="M25" s="680"/>
    </row>
    <row r="26" spans="1:13" ht="15">
      <c r="A26" s="640"/>
      <c r="B26" s="689"/>
      <c r="C26" s="690"/>
      <c r="D26" s="691"/>
      <c r="E26" s="640"/>
      <c r="F26" s="678"/>
      <c r="G26" s="640" t="s">
        <v>3006</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3007</v>
      </c>
      <c r="H28" s="640"/>
      <c r="I28" s="640"/>
      <c r="K28" s="690"/>
      <c r="L28" s="678"/>
      <c r="M28" s="640"/>
    </row>
    <row r="29" spans="1:13" ht="16.2" thickBot="1">
      <c r="A29" s="640"/>
      <c r="B29" s="693" t="s">
        <v>3008</v>
      </c>
      <c r="C29" s="694">
        <f>SUM(C25:C27)</f>
        <v>0</v>
      </c>
      <c r="D29" s="640"/>
      <c r="E29" s="640"/>
      <c r="F29" s="678"/>
      <c r="G29" s="640" t="s">
        <v>3009</v>
      </c>
      <c r="H29" s="640"/>
      <c r="I29" s="640"/>
      <c r="K29" s="692" t="e">
        <f>C29/K28</f>
        <v>#DIV/0!</v>
      </c>
      <c r="L29" s="678"/>
      <c r="M29" s="640"/>
    </row>
    <row r="30" spans="1:13" ht="16.2" thickTop="1">
      <c r="A30" s="643" t="s">
        <v>3010</v>
      </c>
      <c r="B30" s="693"/>
      <c r="C30" s="695">
        <f>'Part III-Sources of Funds'!$I$49+'Part III-Sources of Funds'!$I$50</f>
        <v>5167899</v>
      </c>
      <c r="D30" s="640"/>
      <c r="E30" s="640"/>
      <c r="F30" s="678"/>
      <c r="G30" s="640"/>
      <c r="H30" s="640"/>
      <c r="I30" s="640"/>
      <c r="K30" s="696"/>
      <c r="L30" s="678"/>
      <c r="M30" s="640"/>
    </row>
    <row r="31" spans="1:13" ht="15">
      <c r="A31" s="697" t="s">
        <v>3011</v>
      </c>
      <c r="B31" s="689">
        <f>'Part III-Sources of Funds'!E39</f>
        <v>0</v>
      </c>
      <c r="C31" s="690">
        <f>'Part III-Sources of Funds'!I39</f>
        <v>0</v>
      </c>
      <c r="D31" s="691"/>
      <c r="E31" s="640"/>
      <c r="F31" s="678"/>
      <c r="G31" s="640"/>
      <c r="H31" s="640"/>
      <c r="I31" s="640"/>
      <c r="K31" s="640"/>
      <c r="L31" s="678"/>
      <c r="M31" s="640"/>
    </row>
    <row r="32" spans="1:13" ht="15">
      <c r="A32" s="697" t="s">
        <v>3011</v>
      </c>
      <c r="B32" s="689">
        <f>'Part III-Sources of Funds'!E40</f>
        <v>0</v>
      </c>
      <c r="C32" s="690">
        <f>'Part III-Sources of Funds'!I40</f>
        <v>0</v>
      </c>
      <c r="D32" s="691"/>
      <c r="E32" s="640" t="s">
        <v>243</v>
      </c>
      <c r="F32" s="678"/>
      <c r="G32" s="640" t="s">
        <v>3012</v>
      </c>
      <c r="H32" s="640"/>
      <c r="I32" s="640"/>
      <c r="K32" s="690"/>
      <c r="L32" s="678"/>
      <c r="M32" s="678"/>
    </row>
    <row r="33" spans="1:13" ht="15.6">
      <c r="A33" s="640"/>
      <c r="B33" s="678"/>
      <c r="C33" s="698"/>
      <c r="D33" s="640"/>
      <c r="E33" s="640"/>
      <c r="F33" s="678"/>
      <c r="G33" s="1251" t="s">
        <v>3013</v>
      </c>
      <c r="H33" s="1251"/>
      <c r="I33" s="1251"/>
      <c r="K33" s="692" t="e">
        <f>$C$29/K32</f>
        <v>#DIV/0!</v>
      </c>
      <c r="L33" s="678"/>
      <c r="M33" s="699"/>
    </row>
    <row r="34" spans="1:13" ht="15.6">
      <c r="A34" s="640"/>
      <c r="B34" s="693" t="s">
        <v>3014</v>
      </c>
      <c r="C34" s="698">
        <f>SUM(C31:C32)</f>
        <v>0</v>
      </c>
      <c r="D34" s="640"/>
      <c r="E34" s="640"/>
      <c r="F34" s="640"/>
      <c r="G34" s="640"/>
      <c r="H34" s="640"/>
      <c r="I34" s="640"/>
      <c r="K34" s="678"/>
      <c r="L34" s="640"/>
      <c r="M34" s="699"/>
    </row>
    <row r="35" spans="1:13" ht="15.6">
      <c r="A35" s="640"/>
      <c r="B35" s="693"/>
      <c r="C35" s="640"/>
      <c r="D35" s="640"/>
      <c r="E35" s="640"/>
      <c r="F35" s="640"/>
      <c r="G35" s="1251" t="s">
        <v>3015</v>
      </c>
      <c r="H35" s="1251"/>
      <c r="I35" s="1251"/>
      <c r="K35" s="700" t="e">
        <f>(C36)/K25</f>
        <v>#DIV/0!</v>
      </c>
      <c r="L35" s="640"/>
      <c r="M35" s="678"/>
    </row>
    <row r="36" spans="1:13" ht="15.6">
      <c r="A36" s="640"/>
      <c r="B36" s="693" t="s">
        <v>3016</v>
      </c>
      <c r="C36" s="698">
        <f>C29+C34</f>
        <v>0</v>
      </c>
      <c r="D36" s="640"/>
      <c r="E36" s="640"/>
      <c r="F36" s="640"/>
      <c r="G36" s="640"/>
      <c r="H36" s="640"/>
      <c r="I36" s="640"/>
      <c r="K36" s="678"/>
      <c r="L36" s="640"/>
      <c r="M36" s="678"/>
    </row>
    <row r="37" spans="1:13" ht="15.6">
      <c r="A37" s="640"/>
      <c r="B37" s="693"/>
      <c r="C37" s="701"/>
      <c r="D37" s="640"/>
      <c r="E37" s="640"/>
      <c r="F37" s="640"/>
      <c r="G37" s="1251" t="s">
        <v>3017</v>
      </c>
      <c r="H37" s="1251"/>
      <c r="I37" s="1251"/>
      <c r="K37" s="1252" t="e">
        <f>+(C36)/K32</f>
        <v>#DIV/0!</v>
      </c>
      <c r="L37" s="640"/>
      <c r="M37" s="699"/>
    </row>
    <row r="38" spans="1:13" ht="15.6">
      <c r="A38" s="640"/>
      <c r="B38" s="693" t="s">
        <v>3018</v>
      </c>
      <c r="C38" s="702">
        <f>C36/C18</f>
        <v>0</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3019</v>
      </c>
      <c r="C40" s="702">
        <f>C36/H18</f>
        <v>0</v>
      </c>
      <c r="D40" s="640"/>
      <c r="E40" s="640"/>
      <c r="F40" s="643"/>
      <c r="G40" s="643" t="s">
        <v>3020</v>
      </c>
      <c r="H40" s="640"/>
      <c r="I40" s="640"/>
      <c r="K40" s="692">
        <f>C30/C18</f>
        <v>0.99987675426852018</v>
      </c>
      <c r="L40" s="640"/>
      <c r="M40" s="640"/>
    </row>
    <row r="46" spans="1:13" ht="15.6">
      <c r="A46" s="703" t="s">
        <v>3021</v>
      </c>
      <c r="B46" s="673"/>
      <c r="C46" s="673"/>
      <c r="D46" s="673"/>
      <c r="E46" s="673"/>
      <c r="F46" s="673"/>
      <c r="G46" s="673"/>
      <c r="H46" s="673"/>
      <c r="I46" s="673"/>
      <c r="J46" s="673"/>
      <c r="K46" s="673"/>
      <c r="L46" s="673"/>
      <c r="M46" s="640"/>
    </row>
    <row r="47" spans="1:13" ht="15.6">
      <c r="A47" s="703" t="str">
        <f>C8</f>
        <v>Woodstone Apartments II</v>
      </c>
      <c r="B47" s="673"/>
      <c r="C47" s="673"/>
      <c r="D47" s="673"/>
      <c r="E47" s="673"/>
      <c r="F47" s="673"/>
      <c r="G47" s="673"/>
      <c r="H47" s="673"/>
      <c r="I47" s="673"/>
      <c r="J47" s="673"/>
      <c r="K47" s="673"/>
      <c r="L47" s="673"/>
      <c r="M47" s="640"/>
    </row>
    <row r="50" spans="1:14" s="640" customFormat="1" ht="15.6">
      <c r="A50" s="643" t="s">
        <v>3022</v>
      </c>
      <c r="C50" s="704" t="s">
        <v>3023</v>
      </c>
      <c r="E50" s="705" t="s">
        <v>3498</v>
      </c>
      <c r="F50" s="706">
        <v>0.1</v>
      </c>
      <c r="G50" s="705" t="s">
        <v>3499</v>
      </c>
      <c r="H50" s="706">
        <v>0.05</v>
      </c>
      <c r="I50" s="705" t="s">
        <v>3500</v>
      </c>
      <c r="J50" s="706">
        <v>0.03</v>
      </c>
      <c r="K50" s="4073" t="s">
        <v>3024</v>
      </c>
      <c r="L50" s="4074"/>
      <c r="M50" s="26"/>
      <c r="N50" s="26"/>
    </row>
    <row r="51" spans="1:14" s="640" customFormat="1" ht="15.6">
      <c r="A51" s="643"/>
      <c r="C51" s="704"/>
      <c r="E51" s="704"/>
      <c r="F51" s="707"/>
      <c r="G51" s="704"/>
      <c r="H51" s="707"/>
      <c r="I51" s="704"/>
      <c r="J51" s="707"/>
      <c r="K51" s="704"/>
      <c r="M51" s="26"/>
      <c r="N51" s="26"/>
    </row>
    <row r="52" spans="1:14" s="640" customFormat="1" ht="18.75" customHeight="1">
      <c r="B52" s="708" t="s">
        <v>3025</v>
      </c>
      <c r="C52" s="709">
        <f>'Part VII-Pro Forma'!B14</f>
        <v>218520</v>
      </c>
      <c r="D52" s="709"/>
      <c r="E52" s="709">
        <f>$C$52</f>
        <v>218520</v>
      </c>
      <c r="F52" s="709"/>
      <c r="G52" s="709">
        <f>$C$52</f>
        <v>218520</v>
      </c>
      <c r="H52" s="709"/>
      <c r="I52" s="709">
        <f>$C$52</f>
        <v>218520</v>
      </c>
      <c r="J52" s="709"/>
      <c r="K52" s="709">
        <f>$C$52</f>
        <v>218520</v>
      </c>
      <c r="L52" s="710"/>
      <c r="M52" s="26"/>
      <c r="N52" s="26"/>
    </row>
    <row r="53" spans="1:14" s="640" customFormat="1" ht="18.75" customHeight="1">
      <c r="B53" s="708" t="s">
        <v>3028</v>
      </c>
      <c r="C53" s="709">
        <f>'Part VII-Pro Forma'!B15</f>
        <v>4370.3999999999996</v>
      </c>
      <c r="D53" s="709"/>
      <c r="E53" s="709">
        <f>$C$53</f>
        <v>4370.3999999999996</v>
      </c>
      <c r="F53" s="709"/>
      <c r="G53" s="709">
        <f>$C$53</f>
        <v>4370.3999999999996</v>
      </c>
      <c r="H53" s="709"/>
      <c r="I53" s="709">
        <f>$C$53</f>
        <v>4370.3999999999996</v>
      </c>
      <c r="J53" s="709"/>
      <c r="K53" s="709">
        <f>$C$53</f>
        <v>4370.3999999999996</v>
      </c>
      <c r="L53" s="710"/>
      <c r="M53" s="26"/>
      <c r="N53" s="26"/>
    </row>
    <row r="54" spans="1:14" s="640" customFormat="1" ht="18.75" customHeight="1">
      <c r="B54" s="708" t="s">
        <v>3026</v>
      </c>
      <c r="C54" s="709">
        <f>'Part VII-Pro Forma'!B16</f>
        <v>-15602.328000000001</v>
      </c>
      <c r="D54" s="709"/>
      <c r="E54" s="709">
        <f>-($C$52+E53)*F50</f>
        <v>-22289.040000000001</v>
      </c>
      <c r="F54" s="711"/>
      <c r="G54" s="709">
        <f>-($C$52+G53)*0.07</f>
        <v>-15602.328000000001</v>
      </c>
      <c r="H54" s="709"/>
      <c r="I54" s="709">
        <f>-($C$52+I53)*0.07</f>
        <v>-15602.328000000001</v>
      </c>
      <c r="J54" s="709"/>
      <c r="K54" s="709">
        <f>-($C$52+K53)*L54</f>
        <v>-22289.040000000001</v>
      </c>
      <c r="L54" s="712">
        <v>0.1</v>
      </c>
      <c r="M54" s="26"/>
      <c r="N54" s="26"/>
    </row>
    <row r="55" spans="1:14" s="640" customFormat="1" ht="18.75" customHeight="1">
      <c r="B55" s="708" t="s">
        <v>3027</v>
      </c>
      <c r="C55" s="709">
        <f>'Part VII-Pro Forma'!B17</f>
        <v>4500</v>
      </c>
      <c r="D55" s="709"/>
      <c r="E55" s="709">
        <f>$C$55</f>
        <v>4500</v>
      </c>
      <c r="F55" s="711"/>
      <c r="G55" s="709">
        <f>$C$55</f>
        <v>4500</v>
      </c>
      <c r="H55" s="709"/>
      <c r="I55" s="709">
        <f>$C$55</f>
        <v>4500</v>
      </c>
      <c r="J55" s="709"/>
      <c r="K55" s="709">
        <f>$C$55</f>
        <v>4500</v>
      </c>
      <c r="L55" s="713"/>
      <c r="M55" s="26"/>
      <c r="N55" s="26"/>
    </row>
    <row r="56" spans="1:14" s="640" customFormat="1" ht="18.75" customHeight="1">
      <c r="B56" s="714" t="s">
        <v>3029</v>
      </c>
      <c r="C56" s="715">
        <f>SUM(C52:C55)</f>
        <v>211788.07199999999</v>
      </c>
      <c r="D56" s="709"/>
      <c r="E56" s="715">
        <f>SUM(E52:E55)</f>
        <v>205101.36</v>
      </c>
      <c r="F56" s="709"/>
      <c r="G56" s="715">
        <f>SUM(G52:G55)</f>
        <v>211788.07199999999</v>
      </c>
      <c r="H56" s="709"/>
      <c r="I56" s="715">
        <f>SUM(I52:I55)</f>
        <v>211788.07199999999</v>
      </c>
      <c r="J56" s="709"/>
      <c r="K56" s="715">
        <f>SUM(K52:K55)</f>
        <v>205101.36</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3030</v>
      </c>
      <c r="C58" s="709">
        <f>+'Part VI-Revenues &amp; Expenses'!F219+'Part VI-Revenues &amp; Expenses'!F228+'Part VI-Revenues &amp; Expenses'!K217+'Part VI-Revenues &amp; Expenses'!K226</f>
        <v>44378</v>
      </c>
      <c r="D58" s="709"/>
      <c r="E58" s="709">
        <f>$C$58</f>
        <v>44378</v>
      </c>
      <c r="F58" s="709"/>
      <c r="G58" s="709">
        <f>$C$58</f>
        <v>44378</v>
      </c>
      <c r="H58" s="709"/>
      <c r="I58" s="709">
        <f>$C$58</f>
        <v>44378</v>
      </c>
      <c r="J58" s="709"/>
      <c r="K58" s="709">
        <f>$C$58</f>
        <v>44378</v>
      </c>
      <c r="L58" s="710"/>
      <c r="M58" s="26"/>
      <c r="N58" s="26"/>
    </row>
    <row r="59" spans="1:14" s="640" customFormat="1" ht="18.75" customHeight="1">
      <c r="B59" s="708" t="s">
        <v>3031</v>
      </c>
      <c r="C59" s="709">
        <f>+'Part VI-Revenues &amp; Expenses'!F239</f>
        <v>32825</v>
      </c>
      <c r="D59" s="709"/>
      <c r="E59" s="709">
        <f>$C$59</f>
        <v>32825</v>
      </c>
      <c r="F59" s="709"/>
      <c r="G59" s="709">
        <f>$C$59</f>
        <v>32825</v>
      </c>
      <c r="H59" s="709"/>
      <c r="I59" s="709">
        <f>$C$59</f>
        <v>32825</v>
      </c>
      <c r="J59" s="709"/>
      <c r="K59" s="709">
        <f>$C$59*(1+$L$59)</f>
        <v>34138</v>
      </c>
      <c r="L59" s="717">
        <v>0.04</v>
      </c>
      <c r="M59" s="26"/>
      <c r="N59" s="26"/>
    </row>
    <row r="60" spans="1:14" s="640" customFormat="1" ht="18.75" customHeight="1">
      <c r="B60" s="708" t="s">
        <v>1374</v>
      </c>
      <c r="C60" s="709">
        <f>+'Part VI-Revenues &amp; Expenses'!K236</f>
        <v>26200</v>
      </c>
      <c r="D60" s="709"/>
      <c r="E60" s="709">
        <f>$C$60</f>
        <v>26200</v>
      </c>
      <c r="F60" s="709"/>
      <c r="G60" s="709">
        <f>$C$60</f>
        <v>26200</v>
      </c>
      <c r="H60" s="709"/>
      <c r="I60" s="709">
        <f>$C$60*(1+$J$50)</f>
        <v>26986</v>
      </c>
      <c r="J60" s="711"/>
      <c r="K60" s="709">
        <f>$C$60*(1+$J$50)</f>
        <v>26986</v>
      </c>
      <c r="L60" s="712">
        <v>0.03</v>
      </c>
      <c r="M60" s="26"/>
      <c r="N60" s="26"/>
    </row>
    <row r="61" spans="1:14" s="640" customFormat="1" ht="18.75" customHeight="1">
      <c r="B61" s="708" t="s">
        <v>1375</v>
      </c>
      <c r="C61" s="709">
        <f>+'Part VI-Revenues &amp; Expenses'!P218</f>
        <v>41220</v>
      </c>
      <c r="D61" s="709"/>
      <c r="E61" s="709">
        <f>$C$61</f>
        <v>41220</v>
      </c>
      <c r="F61" s="709"/>
      <c r="G61" s="709">
        <f>$C$61*(1+H50)</f>
        <v>43281</v>
      </c>
      <c r="H61" s="711"/>
      <c r="I61" s="709">
        <f>$C$61</f>
        <v>41220</v>
      </c>
      <c r="J61" s="709"/>
      <c r="K61" s="709">
        <f>$C$61*(1+$L$61)</f>
        <v>43281</v>
      </c>
      <c r="L61" s="712">
        <v>0.05</v>
      </c>
      <c r="M61" s="26"/>
      <c r="N61" s="26"/>
    </row>
    <row r="62" spans="1:14" s="640" customFormat="1" ht="18.75" customHeight="1">
      <c r="B62" s="714" t="s">
        <v>3032</v>
      </c>
      <c r="C62" s="715">
        <f>SUM(C58:C61)</f>
        <v>144623</v>
      </c>
      <c r="D62" s="709"/>
      <c r="E62" s="715">
        <f>SUM(E58:E61)</f>
        <v>144623</v>
      </c>
      <c r="F62" s="709"/>
      <c r="G62" s="715">
        <f>SUM(G58:G61)</f>
        <v>146684</v>
      </c>
      <c r="H62" s="709"/>
      <c r="I62" s="715">
        <f>SUM(I58:I61)</f>
        <v>145409</v>
      </c>
      <c r="J62" s="709"/>
      <c r="K62" s="715">
        <f>SUM(K58:K61)</f>
        <v>148783</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3033</v>
      </c>
      <c r="C64" s="721">
        <f>C56-C62</f>
        <v>67165.071999999986</v>
      </c>
      <c r="D64" s="721"/>
      <c r="E64" s="721">
        <f>E56-E62</f>
        <v>60478.359999999986</v>
      </c>
      <c r="F64" s="721"/>
      <c r="G64" s="721">
        <f>G56-G62</f>
        <v>65104.071999999986</v>
      </c>
      <c r="H64" s="721"/>
      <c r="I64" s="721">
        <f>I56-I62</f>
        <v>66379.071999999986</v>
      </c>
      <c r="J64" s="721"/>
      <c r="K64" s="721">
        <f>K56-K62</f>
        <v>56318.359999999986</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3034</v>
      </c>
      <c r="C66" s="716">
        <f>'Part VI-Revenues &amp; Expenses'!P230</f>
        <v>14000</v>
      </c>
      <c r="D66" s="716"/>
      <c r="E66" s="716">
        <f>$C$66</f>
        <v>14000</v>
      </c>
      <c r="F66" s="716"/>
      <c r="G66" s="716">
        <f>$C$66</f>
        <v>14000</v>
      </c>
      <c r="H66" s="716"/>
      <c r="I66" s="716">
        <f>$C$66</f>
        <v>14000</v>
      </c>
      <c r="J66" s="716"/>
      <c r="K66" s="716">
        <f>$C$66</f>
        <v>14000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3035</v>
      </c>
      <c r="C68" s="716">
        <f>'Part VI-Revenues &amp; Expenses'!P221</f>
        <v>14510</v>
      </c>
      <c r="D68" s="716"/>
      <c r="E68" s="716">
        <f>$C$68</f>
        <v>14510</v>
      </c>
      <c r="F68" s="716"/>
      <c r="G68" s="716">
        <f>$C$68</f>
        <v>14510</v>
      </c>
      <c r="H68" s="716"/>
      <c r="I68" s="716">
        <f>$C$68</f>
        <v>14510</v>
      </c>
      <c r="J68" s="716"/>
      <c r="K68" s="716">
        <f>$C$68</f>
        <v>14510</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3036</v>
      </c>
      <c r="C70" s="724">
        <f>C64-C66-C68</f>
        <v>38655.071999999986</v>
      </c>
      <c r="D70" s="725"/>
      <c r="E70" s="724">
        <f>E64-E66-E68</f>
        <v>31968.359999999986</v>
      </c>
      <c r="F70" s="725"/>
      <c r="G70" s="724">
        <f>G64-G66-G68</f>
        <v>36594.071999999986</v>
      </c>
      <c r="H70" s="725"/>
      <c r="I70" s="724">
        <f>I64-I66-I68</f>
        <v>37869.071999999986</v>
      </c>
      <c r="J70" s="725"/>
      <c r="K70" s="724">
        <f>K64-K66-K68</f>
        <v>27808.359999999986</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3037</v>
      </c>
      <c r="C72" s="1294" t="e">
        <f>-C70/C75</f>
        <v>#DIV/0!</v>
      </c>
      <c r="D72" s="727"/>
      <c r="E72" s="1294" t="e">
        <f>-E70/E75</f>
        <v>#DIV/0!</v>
      </c>
      <c r="F72" s="727"/>
      <c r="G72" s="1294" t="e">
        <f>-G70/G75</f>
        <v>#DIV/0!</v>
      </c>
      <c r="H72" s="727"/>
      <c r="I72" s="1294" t="e">
        <f>-I70/I75</f>
        <v>#DIV/0!</v>
      </c>
      <c r="J72" s="727"/>
      <c r="K72" s="1294" t="e">
        <f>-K70/K75</f>
        <v>#DIV/0!</v>
      </c>
      <c r="L72" s="728"/>
      <c r="M72" s="246"/>
      <c r="N72" s="246"/>
    </row>
    <row r="73" spans="1:14" s="640" customFormat="1" ht="18.75" customHeight="1">
      <c r="A73" s="26"/>
      <c r="B73" s="708" t="s">
        <v>3038</v>
      </c>
      <c r="C73" s="1295">
        <f>C76/C62</f>
        <v>0.26728163570109864</v>
      </c>
      <c r="D73" s="729"/>
      <c r="E73" s="1295">
        <f>E76/E62</f>
        <v>0.22104616831347701</v>
      </c>
      <c r="F73" s="729"/>
      <c r="G73" s="1295">
        <f>G76/G62</f>
        <v>0.24947555288920389</v>
      </c>
      <c r="H73" s="729"/>
      <c r="I73" s="1295">
        <f>I76/I62</f>
        <v>0.26043141758763205</v>
      </c>
      <c r="J73" s="729"/>
      <c r="K73" s="1295">
        <f>K76/K62</f>
        <v>0.18690549323511413</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3039</v>
      </c>
      <c r="C75" s="709">
        <f>+SUM('Part VII-Pro Forma'!B25:B28)</f>
        <v>0</v>
      </c>
      <c r="D75" s="709"/>
      <c r="E75" s="709">
        <f>$C$75</f>
        <v>0</v>
      </c>
      <c r="F75" s="709"/>
      <c r="G75" s="709">
        <f>$C$75</f>
        <v>0</v>
      </c>
      <c r="H75" s="709"/>
      <c r="I75" s="709">
        <f>$C$75</f>
        <v>0</v>
      </c>
      <c r="J75" s="709"/>
      <c r="K75" s="709">
        <f>$C$75</f>
        <v>0</v>
      </c>
      <c r="L75" s="32"/>
      <c r="M75" s="26"/>
      <c r="N75" s="26"/>
    </row>
    <row r="76" spans="1:14" s="640" customFormat="1" ht="18.75" customHeight="1">
      <c r="A76" s="26"/>
      <c r="B76" s="708" t="s">
        <v>1163</v>
      </c>
      <c r="C76" s="709">
        <f>C70+C75</f>
        <v>38655.071999999986</v>
      </c>
      <c r="D76" s="709"/>
      <c r="E76" s="709">
        <f>E70+E75</f>
        <v>31968.359999999986</v>
      </c>
      <c r="F76" s="709"/>
      <c r="G76" s="709">
        <f>G70+G75</f>
        <v>36594.071999999986</v>
      </c>
      <c r="H76" s="709"/>
      <c r="I76" s="709">
        <f>I70+I75</f>
        <v>37869.071999999986</v>
      </c>
      <c r="J76" s="709"/>
      <c r="K76" s="709">
        <f>K70+K75</f>
        <v>27808.359999999986</v>
      </c>
      <c r="L76" s="32"/>
      <c r="M76" s="26"/>
      <c r="N76" s="26"/>
    </row>
    <row r="77" spans="1:14" s="640" customFormat="1" ht="15" hidden="1">
      <c r="A77" s="26"/>
      <c r="B77" s="708" t="s">
        <v>3040</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3041</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3042</v>
      </c>
      <c r="C80" s="732" t="e">
        <f>MIN(C77,E77,G77,I77,K77)</f>
        <v>#NAME?</v>
      </c>
      <c r="D80" s="718"/>
      <c r="E80" s="718" t="s">
        <v>3043</v>
      </c>
      <c r="F80" s="733">
        <v>0.06</v>
      </c>
      <c r="G80" s="32"/>
      <c r="H80" s="32"/>
      <c r="I80" s="32"/>
      <c r="J80" s="32"/>
      <c r="K80" s="32"/>
      <c r="L80" s="32"/>
      <c r="M80" s="26"/>
      <c r="N80" s="26"/>
    </row>
    <row r="81" spans="1:14" s="640" customFormat="1" ht="15" hidden="1">
      <c r="A81" s="26"/>
      <c r="B81" s="718" t="s">
        <v>1729</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33203125" defaultRowHeight="13.8"/>
  <cols>
    <col min="1" max="1" width="9.33203125" style="649"/>
    <col min="2" max="2" width="7.6640625" style="649" customWidth="1"/>
    <col min="3" max="3" width="14.6640625" style="649" customWidth="1"/>
    <col min="4" max="4" width="20.33203125" style="649" customWidth="1"/>
    <col min="5" max="5" width="8" style="649" customWidth="1"/>
    <col min="6" max="6" width="5.33203125" style="649" customWidth="1"/>
    <col min="7" max="7" width="5.44140625" style="649" customWidth="1"/>
    <col min="8" max="8" width="8.5546875" style="649" customWidth="1"/>
    <col min="9" max="9" width="28.5546875" style="649" customWidth="1"/>
    <col min="10" max="10" width="4.33203125" style="649" hidden="1" customWidth="1"/>
    <col min="11" max="11" width="9.33203125" style="649"/>
    <col min="12" max="12" width="16.33203125" style="649" customWidth="1"/>
    <col min="13" max="13" width="11.33203125" style="649" customWidth="1"/>
    <col min="14" max="14" width="10.6640625" style="649" bestFit="1" customWidth="1"/>
    <col min="15" max="15" width="28.5546875" style="649" customWidth="1"/>
    <col min="16" max="16384" width="9.33203125" style="649"/>
  </cols>
  <sheetData>
    <row r="2" spans="1:10">
      <c r="A2" s="646" t="s">
        <v>2926</v>
      </c>
      <c r="B2" s="647"/>
      <c r="C2" s="647"/>
      <c r="D2" s="647"/>
      <c r="E2" s="648"/>
      <c r="F2" s="647"/>
      <c r="G2" s="647"/>
      <c r="H2" s="647"/>
      <c r="I2" s="647"/>
      <c r="J2" s="647"/>
    </row>
    <row r="3" spans="1:10">
      <c r="A3" s="650"/>
    </row>
    <row r="4" spans="1:10">
      <c r="A4" s="650" t="s">
        <v>2927</v>
      </c>
      <c r="D4" s="649" t="s">
        <v>2928</v>
      </c>
    </row>
    <row r="5" spans="1:10">
      <c r="A5" s="650"/>
    </row>
    <row r="6" spans="1:10">
      <c r="A6" s="650" t="s">
        <v>2929</v>
      </c>
      <c r="D6" s="649" t="s">
        <v>2930</v>
      </c>
    </row>
    <row r="7" spans="1:10">
      <c r="A7" s="650"/>
    </row>
    <row r="8" spans="1:10">
      <c r="A8" s="650" t="s">
        <v>2931</v>
      </c>
      <c r="D8" s="651" t="s">
        <v>2932</v>
      </c>
    </row>
    <row r="9" spans="1:10">
      <c r="A9" s="650"/>
    </row>
    <row r="10" spans="1:10">
      <c r="A10" s="650" t="s">
        <v>2933</v>
      </c>
      <c r="D10" s="651" t="s">
        <v>2934</v>
      </c>
    </row>
    <row r="11" spans="1:10">
      <c r="A11" s="650"/>
      <c r="D11" s="2223"/>
    </row>
    <row r="12" spans="1:10">
      <c r="A12" s="650" t="s">
        <v>2935</v>
      </c>
      <c r="D12" s="649" t="s">
        <v>616</v>
      </c>
      <c r="F12" s="2223" t="str">
        <f>Overview!$C$8</f>
        <v>Woodstone Apartments II</v>
      </c>
    </row>
    <row r="13" spans="1:10">
      <c r="A13" s="650"/>
      <c r="D13" s="649" t="s">
        <v>2936</v>
      </c>
      <c r="F13" s="2223" t="str">
        <f>Overview!E8</f>
        <v>2019-049</v>
      </c>
    </row>
    <row r="14" spans="1:10">
      <c r="A14" s="650"/>
      <c r="D14" s="649" t="s">
        <v>2937</v>
      </c>
      <c r="F14" s="2223" t="str">
        <f>Overview!H8</f>
        <v>Leesburg, Lee</v>
      </c>
    </row>
    <row r="15" spans="1:10">
      <c r="A15" s="650"/>
      <c r="D15" s="649" t="s">
        <v>3301</v>
      </c>
      <c r="F15" s="4076">
        <f>Overview!$C$25</f>
        <v>0</v>
      </c>
      <c r="G15" s="4076"/>
      <c r="H15" s="4076"/>
    </row>
    <row r="16" spans="1:10">
      <c r="A16" s="650"/>
      <c r="D16" s="652" t="s">
        <v>2938</v>
      </c>
      <c r="F16" s="653">
        <f>Overview!C13</f>
        <v>40</v>
      </c>
      <c r="G16" s="654" t="s">
        <v>3302</v>
      </c>
      <c r="H16" s="1249">
        <f>Overview!E13</f>
        <v>39</v>
      </c>
    </row>
    <row r="17" spans="1:18">
      <c r="A17" s="650"/>
      <c r="D17" s="652" t="s">
        <v>2902</v>
      </c>
      <c r="F17" s="653" t="str">
        <f>Overview!C14</f>
        <v>Family</v>
      </c>
    </row>
    <row r="18" spans="1:18">
      <c r="A18" s="650"/>
      <c r="D18" s="652" t="s">
        <v>3306</v>
      </c>
      <c r="F18" s="2223" t="str">
        <f>Overview!H15</f>
        <v>Rural</v>
      </c>
    </row>
    <row r="19" spans="1:18">
      <c r="A19" s="650"/>
      <c r="D19" s="652" t="s">
        <v>3303</v>
      </c>
      <c r="F19" s="2223" t="str">
        <f>Overview!E16</f>
        <v>No</v>
      </c>
    </row>
    <row r="20" spans="1:18">
      <c r="A20" s="650"/>
      <c r="D20" s="652"/>
    </row>
    <row r="21" spans="1:18">
      <c r="A21" s="655" t="s">
        <v>2939</v>
      </c>
    </row>
    <row r="22" spans="1:18" ht="111.75" customHeight="1">
      <c r="A22" s="4083" t="s">
        <v>3496</v>
      </c>
      <c r="B22" s="4083"/>
      <c r="C22" s="4083"/>
      <c r="D22" s="4083"/>
      <c r="E22" s="4083"/>
      <c r="F22" s="4083"/>
      <c r="G22" s="4083"/>
      <c r="H22" s="4083"/>
      <c r="I22" s="4083"/>
      <c r="J22" s="4083"/>
      <c r="K22" s="4090" t="s">
        <v>5064</v>
      </c>
      <c r="L22" s="4090"/>
      <c r="M22" s="4090"/>
      <c r="N22" s="4090"/>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4091"/>
      <c r="B24" s="4091"/>
      <c r="C24" s="4091"/>
      <c r="D24" s="4091"/>
      <c r="E24" s="4091"/>
      <c r="F24" s="4091"/>
      <c r="G24" s="4091"/>
      <c r="H24" s="4091"/>
      <c r="I24" s="4091"/>
      <c r="J24" s="4091"/>
    </row>
    <row r="25" spans="1:18" ht="10.5" hidden="1" customHeight="1">
      <c r="A25" s="4092"/>
      <c r="B25" s="4092"/>
      <c r="C25" s="4092"/>
      <c r="D25" s="4092"/>
      <c r="E25" s="4092"/>
      <c r="F25" s="4092"/>
      <c r="G25" s="4092"/>
      <c r="H25" s="4092"/>
      <c r="I25" s="4092"/>
      <c r="J25" s="4092"/>
    </row>
    <row r="26" spans="1:18">
      <c r="A26" s="655" t="s">
        <v>2940</v>
      </c>
    </row>
    <row r="27" spans="1:18" ht="14.25" customHeight="1">
      <c r="A27" s="4093" t="s">
        <v>2941</v>
      </c>
      <c r="B27" s="4093"/>
      <c r="C27" s="4093"/>
      <c r="D27" s="4093"/>
      <c r="E27" s="4093"/>
      <c r="F27" s="4093"/>
      <c r="G27" s="4093"/>
      <c r="H27" s="4093"/>
      <c r="I27" s="4093"/>
      <c r="J27" s="4093"/>
    </row>
    <row r="28" spans="1:18" ht="14.25" customHeight="1">
      <c r="A28" s="4093"/>
      <c r="B28" s="4093"/>
      <c r="C28" s="4093"/>
      <c r="D28" s="4093"/>
      <c r="E28" s="4093"/>
      <c r="F28" s="4093"/>
      <c r="G28" s="4093"/>
      <c r="H28" s="4093"/>
      <c r="I28" s="4093"/>
      <c r="J28" s="4093"/>
    </row>
    <row r="29" spans="1:18" ht="6.75" customHeight="1">
      <c r="A29" s="4093"/>
      <c r="B29" s="4093"/>
      <c r="C29" s="4093"/>
      <c r="D29" s="4093"/>
      <c r="E29" s="4093"/>
      <c r="F29" s="4093"/>
      <c r="G29" s="4093"/>
      <c r="H29" s="4093"/>
      <c r="I29" s="4093"/>
      <c r="J29" s="4093"/>
    </row>
    <row r="30" spans="1:18" ht="14.25" customHeight="1">
      <c r="A30" s="4093"/>
      <c r="B30" s="4093"/>
      <c r="C30" s="4093"/>
      <c r="D30" s="4093"/>
      <c r="E30" s="4093"/>
      <c r="F30" s="4093"/>
      <c r="G30" s="4093"/>
      <c r="H30" s="4093"/>
      <c r="I30" s="4093"/>
      <c r="J30" s="4093"/>
    </row>
    <row r="31" spans="1:18" ht="14.25" customHeight="1">
      <c r="A31" s="4093"/>
      <c r="B31" s="4093"/>
      <c r="C31" s="4093"/>
      <c r="D31" s="4093"/>
      <c r="E31" s="4093"/>
      <c r="F31" s="4093"/>
      <c r="G31" s="4093"/>
      <c r="H31" s="4093"/>
      <c r="I31" s="4093"/>
      <c r="J31" s="4093"/>
    </row>
    <row r="32" spans="1:18" ht="54.75" customHeight="1">
      <c r="A32" s="4093"/>
      <c r="B32" s="4093"/>
      <c r="C32" s="4093"/>
      <c r="D32" s="4093"/>
      <c r="E32" s="4093"/>
      <c r="F32" s="4093"/>
      <c r="G32" s="4093"/>
      <c r="H32" s="4093"/>
      <c r="I32" s="4093"/>
      <c r="J32" s="4093"/>
    </row>
    <row r="33" spans="1:10" ht="0.75" hidden="1" customHeight="1">
      <c r="A33" s="4093"/>
      <c r="B33" s="4093"/>
      <c r="C33" s="4093"/>
      <c r="D33" s="4093"/>
      <c r="E33" s="4093"/>
      <c r="F33" s="4093"/>
      <c r="G33" s="4093"/>
      <c r="H33" s="4093"/>
      <c r="I33" s="4093"/>
      <c r="J33" s="4093"/>
    </row>
    <row r="34" spans="1:10" ht="3.75" hidden="1" customHeight="1">
      <c r="A34" s="4093"/>
      <c r="B34" s="4093"/>
      <c r="C34" s="4093"/>
      <c r="D34" s="4093"/>
      <c r="E34" s="4093"/>
      <c r="F34" s="4093"/>
      <c r="G34" s="4093"/>
      <c r="H34" s="4093"/>
      <c r="I34" s="4093"/>
      <c r="J34" s="4093"/>
    </row>
    <row r="35" spans="1:10" ht="5.25" customHeight="1">
      <c r="A35" s="2219"/>
      <c r="B35" s="2219"/>
      <c r="C35" s="2219"/>
      <c r="D35" s="2219"/>
      <c r="E35" s="2219"/>
      <c r="F35" s="2219"/>
      <c r="G35" s="2219"/>
      <c r="H35" s="2219"/>
      <c r="I35" s="2219"/>
      <c r="J35" s="2219"/>
    </row>
    <row r="36" spans="1:10" ht="19.5" customHeight="1">
      <c r="A36" s="4091" t="s">
        <v>2942</v>
      </c>
      <c r="B36" s="4091"/>
      <c r="C36" s="4091"/>
      <c r="D36" s="2217"/>
      <c r="E36" s="2217"/>
      <c r="F36" s="2217"/>
      <c r="G36" s="2217"/>
      <c r="H36" s="2217"/>
      <c r="I36" s="2217"/>
      <c r="J36" s="2217"/>
    </row>
    <row r="37" spans="1:10" ht="15" customHeight="1">
      <c r="A37" s="4060"/>
      <c r="B37" s="4060"/>
      <c r="C37" s="4060"/>
      <c r="D37" s="4060"/>
      <c r="E37" s="4060"/>
      <c r="F37" s="4060"/>
      <c r="G37" s="4060"/>
      <c r="H37" s="4060"/>
      <c r="I37" s="4060"/>
      <c r="J37" s="4060"/>
    </row>
    <row r="38" spans="1:10" ht="33.75" customHeight="1">
      <c r="A38" s="4060"/>
      <c r="B38" s="4060"/>
      <c r="C38" s="4060"/>
      <c r="D38" s="4060"/>
      <c r="E38" s="4060"/>
      <c r="F38" s="4060"/>
      <c r="G38" s="4060"/>
      <c r="H38" s="4060"/>
      <c r="I38" s="4060"/>
      <c r="J38" s="4060"/>
    </row>
    <row r="39" spans="1:10" ht="2.25" customHeight="1">
      <c r="A39" s="2217"/>
      <c r="B39" s="2217"/>
      <c r="C39" s="2217"/>
      <c r="D39" s="2217"/>
      <c r="E39" s="2217"/>
      <c r="F39" s="2217"/>
      <c r="G39" s="2217"/>
      <c r="H39" s="2217"/>
      <c r="I39" s="2217"/>
      <c r="J39" s="2217"/>
    </row>
    <row r="40" spans="1:10">
      <c r="A40" s="655" t="s">
        <v>2943</v>
      </c>
    </row>
    <row r="41" spans="1:10" ht="135" customHeight="1">
      <c r="A41" s="4092" t="s">
        <v>5061</v>
      </c>
      <c r="B41" s="4092"/>
      <c r="C41" s="4092"/>
      <c r="D41" s="4092"/>
      <c r="E41" s="4092"/>
      <c r="F41" s="4092"/>
      <c r="G41" s="4092"/>
      <c r="H41" s="4092"/>
      <c r="I41" s="4092"/>
      <c r="J41" s="4092"/>
    </row>
    <row r="42" spans="1:10" ht="6" customHeight="1">
      <c r="A42" s="2218"/>
      <c r="B42" s="2218"/>
      <c r="C42" s="2218"/>
      <c r="D42" s="2218"/>
      <c r="E42" s="2218"/>
      <c r="F42" s="2218"/>
      <c r="G42" s="2218"/>
      <c r="H42" s="2218"/>
      <c r="I42" s="2218"/>
      <c r="J42" s="2218"/>
    </row>
    <row r="43" spans="1:10">
      <c r="A43" s="655" t="s">
        <v>2944</v>
      </c>
    </row>
    <row r="44" spans="1:10" ht="33" customHeight="1">
      <c r="A44" s="4060" t="s">
        <v>4242</v>
      </c>
      <c r="B44" s="4062"/>
      <c r="C44" s="4062"/>
      <c r="D44" s="4062"/>
      <c r="E44" s="4062"/>
      <c r="F44" s="4062"/>
      <c r="G44" s="4062"/>
      <c r="H44" s="4062"/>
      <c r="I44" s="4062"/>
      <c r="J44" s="4060"/>
    </row>
    <row r="45" spans="1:10" ht="3" customHeight="1"/>
    <row r="46" spans="1:10" ht="72.75" customHeight="1">
      <c r="A46" s="4060" t="s">
        <v>4243</v>
      </c>
      <c r="B46" s="4060"/>
      <c r="C46" s="4060"/>
      <c r="D46" s="4060"/>
      <c r="E46" s="4060"/>
      <c r="F46" s="4060"/>
      <c r="G46" s="4060"/>
      <c r="H46" s="4060"/>
      <c r="I46" s="4060"/>
      <c r="J46" s="4060"/>
    </row>
    <row r="47" spans="1:10" ht="3" customHeight="1">
      <c r="A47" s="2217"/>
      <c r="B47" s="2217"/>
      <c r="C47" s="2217"/>
      <c r="D47" s="2217"/>
      <c r="E47" s="2217"/>
      <c r="F47" s="2217"/>
      <c r="G47" s="2217"/>
      <c r="H47" s="2217"/>
      <c r="I47" s="2217"/>
      <c r="J47" s="2217"/>
    </row>
    <row r="48" spans="1:10" ht="56.25" customHeight="1">
      <c r="A48" s="4060" t="s">
        <v>4244</v>
      </c>
      <c r="B48" s="4060"/>
      <c r="C48" s="4060"/>
      <c r="D48" s="4060"/>
      <c r="E48" s="4060"/>
      <c r="F48" s="4060"/>
      <c r="G48" s="4060"/>
      <c r="H48" s="4060"/>
      <c r="I48" s="4060"/>
      <c r="J48" s="4060"/>
    </row>
    <row r="49" spans="1:17" ht="3" customHeight="1">
      <c r="A49" s="2217"/>
      <c r="B49" s="2217"/>
      <c r="C49" s="2217"/>
      <c r="D49" s="2217"/>
      <c r="E49" s="2217"/>
      <c r="F49" s="2217"/>
      <c r="G49" s="2217"/>
      <c r="H49" s="2217"/>
      <c r="I49" s="2217"/>
      <c r="J49" s="2217"/>
    </row>
    <row r="50" spans="1:17" ht="49.5" customHeight="1">
      <c r="A50" s="4060" t="s">
        <v>4245</v>
      </c>
      <c r="B50" s="4060"/>
      <c r="C50" s="4060"/>
      <c r="D50" s="4060"/>
      <c r="E50" s="4060"/>
      <c r="F50" s="4060"/>
      <c r="G50" s="4060"/>
      <c r="H50" s="4060"/>
      <c r="I50" s="4060"/>
      <c r="J50" s="2217"/>
    </row>
    <row r="51" spans="1:17" ht="3" customHeight="1">
      <c r="A51" s="2217"/>
      <c r="B51" s="2217"/>
      <c r="C51" s="2217"/>
      <c r="D51" s="2217"/>
      <c r="E51" s="2217"/>
      <c r="F51" s="2217"/>
      <c r="G51" s="2217"/>
      <c r="H51" s="2217"/>
      <c r="I51" s="2217"/>
      <c r="J51" s="2217"/>
    </row>
    <row r="52" spans="1:17" ht="54.75" customHeight="1">
      <c r="A52" s="4082" t="s">
        <v>3311</v>
      </c>
      <c r="B52" s="4080"/>
      <c r="C52" s="4080"/>
      <c r="D52" s="4080"/>
      <c r="E52" s="4080"/>
      <c r="F52" s="4080"/>
      <c r="G52" s="4080"/>
      <c r="H52" s="4080"/>
      <c r="I52" s="4080"/>
      <c r="J52" s="2217"/>
    </row>
    <row r="53" spans="1:17" ht="3" customHeight="1">
      <c r="A53" s="2217"/>
      <c r="B53" s="2217"/>
      <c r="C53" s="2217"/>
      <c r="D53" s="2217"/>
      <c r="E53" s="2217"/>
      <c r="F53" s="2217"/>
      <c r="G53" s="2217"/>
      <c r="H53" s="2217"/>
      <c r="I53" s="2217"/>
      <c r="J53" s="2217"/>
    </row>
    <row r="54" spans="1:17" ht="62.25" customHeight="1">
      <c r="A54" s="4080" t="s">
        <v>4246</v>
      </c>
      <c r="B54" s="4080"/>
      <c r="C54" s="4080"/>
      <c r="D54" s="4080"/>
      <c r="E54" s="4080"/>
      <c r="F54" s="4080"/>
      <c r="G54" s="4080"/>
      <c r="H54" s="4080"/>
      <c r="I54" s="4080"/>
      <c r="J54" s="4080"/>
    </row>
    <row r="55" spans="1:17" ht="3" customHeight="1"/>
    <row r="56" spans="1:17" ht="73.5" customHeight="1">
      <c r="A56" s="4060" t="s">
        <v>4247</v>
      </c>
      <c r="B56" s="4060"/>
      <c r="C56" s="4060"/>
      <c r="D56" s="4060"/>
      <c r="E56" s="4060"/>
      <c r="F56" s="4060"/>
      <c r="G56" s="4060"/>
      <c r="H56" s="4060"/>
      <c r="I56" s="4060"/>
      <c r="J56" s="4060"/>
    </row>
    <row r="57" spans="1:17" ht="6" customHeight="1">
      <c r="A57" s="2217" t="s">
        <v>243</v>
      </c>
      <c r="B57" s="2217"/>
      <c r="C57" s="2217"/>
      <c r="D57" s="2217"/>
      <c r="E57" s="2217"/>
      <c r="F57" s="2217"/>
      <c r="G57" s="2217"/>
      <c r="H57" s="2217"/>
      <c r="I57" s="2217"/>
      <c r="J57" s="2217"/>
    </row>
    <row r="58" spans="1:17">
      <c r="A58" s="655" t="s">
        <v>2947</v>
      </c>
      <c r="L58" s="656" t="s">
        <v>3488</v>
      </c>
    </row>
    <row r="59" spans="1:17" ht="73.5" customHeight="1">
      <c r="A59" s="4083" t="s">
        <v>2948</v>
      </c>
      <c r="B59" s="4083"/>
      <c r="C59" s="4083"/>
      <c r="D59" s="4083"/>
      <c r="E59" s="4083"/>
      <c r="F59" s="4083"/>
      <c r="G59" s="4083"/>
      <c r="H59" s="4083"/>
      <c r="I59" s="4083"/>
      <c r="J59" s="4083"/>
      <c r="L59" s="657">
        <f>'Closing term sheet'!C133</f>
        <v>183701.5</v>
      </c>
      <c r="M59" s="658"/>
      <c r="N59" s="658"/>
      <c r="O59" s="658"/>
    </row>
    <row r="60" spans="1:17" ht="7.5" customHeight="1">
      <c r="A60" s="2217"/>
      <c r="B60" s="2217"/>
      <c r="C60" s="2217"/>
      <c r="D60" s="2217"/>
      <c r="E60" s="2217"/>
      <c r="F60" s="2217"/>
      <c r="G60" s="2217"/>
      <c r="H60" s="2217"/>
      <c r="I60" s="2217"/>
      <c r="J60" s="2217"/>
      <c r="L60" s="659" t="s">
        <v>3489</v>
      </c>
      <c r="M60" s="660" t="s">
        <v>3494</v>
      </c>
      <c r="N60" s="661" t="s">
        <v>3491</v>
      </c>
      <c r="O60" s="659" t="s">
        <v>3490</v>
      </c>
      <c r="P60" s="660" t="s">
        <v>3493</v>
      </c>
      <c r="Q60" s="661" t="s">
        <v>3492</v>
      </c>
    </row>
    <row r="61" spans="1:17" ht="78.75" customHeight="1">
      <c r="A61" s="4080" t="s">
        <v>3388</v>
      </c>
      <c r="B61" s="4080"/>
      <c r="C61" s="4080"/>
      <c r="D61" s="4080"/>
      <c r="E61" s="4080"/>
      <c r="F61" s="4080"/>
      <c r="G61" s="4080"/>
      <c r="H61" s="4080"/>
      <c r="I61" s="4080"/>
      <c r="J61" s="662"/>
      <c r="L61" s="663">
        <f>'Part III-Sources of Funds'!I49</f>
        <v>3174322</v>
      </c>
      <c r="M61" s="664">
        <f>'Part IV-A-Uses of Funds'!$J$175</f>
        <v>369181</v>
      </c>
      <c r="N61" s="665">
        <f>'Part IV-A-Uses of Funds'!N168</f>
        <v>0.86</v>
      </c>
      <c r="O61" s="663">
        <f>'Part III-Sources of Funds'!I50</f>
        <v>1993577</v>
      </c>
      <c r="P61" s="664">
        <f>M61</f>
        <v>369181</v>
      </c>
      <c r="Q61" s="665">
        <f>'Part IV-A-Uses of Funds'!Q168</f>
        <v>0.54</v>
      </c>
    </row>
    <row r="62" spans="1:17" ht="18.75" customHeight="1">
      <c r="A62" s="666" t="s">
        <v>2949</v>
      </c>
    </row>
    <row r="63" spans="1:17" ht="159.75" customHeight="1">
      <c r="A63" s="4080" t="s">
        <v>4248</v>
      </c>
      <c r="B63" s="4080"/>
      <c r="C63" s="4080"/>
      <c r="D63" s="4080"/>
      <c r="E63" s="4080"/>
      <c r="F63" s="4080"/>
      <c r="G63" s="4080"/>
      <c r="H63" s="4080"/>
      <c r="I63" s="4080"/>
      <c r="J63" s="4080"/>
      <c r="L63" s="667" t="str">
        <f>'Part VII-Pro Forma'!K71</f>
        <v/>
      </c>
      <c r="M63" s="4084" t="s">
        <v>3495</v>
      </c>
      <c r="N63" s="4085"/>
    </row>
    <row r="64" spans="1:17" ht="6" customHeight="1">
      <c r="A64" s="655"/>
    </row>
    <row r="65" spans="1:10">
      <c r="A65" s="655" t="s">
        <v>2950</v>
      </c>
    </row>
    <row r="66" spans="1:10" ht="66.75" customHeight="1">
      <c r="A66" s="4080" t="s">
        <v>2951</v>
      </c>
      <c r="B66" s="4080"/>
      <c r="C66" s="4080"/>
      <c r="D66" s="4080"/>
      <c r="E66" s="4080"/>
      <c r="F66" s="4080"/>
      <c r="G66" s="4080"/>
      <c r="H66" s="4080"/>
      <c r="I66" s="4080"/>
      <c r="J66" s="4080"/>
    </row>
    <row r="67" spans="1:10" ht="36" customHeight="1">
      <c r="A67" s="4080" t="s">
        <v>2952</v>
      </c>
      <c r="B67" s="4080"/>
      <c r="C67" s="4080"/>
      <c r="D67" s="4080"/>
      <c r="E67" s="4080"/>
      <c r="F67" s="4080"/>
      <c r="G67" s="4080"/>
      <c r="H67" s="4080"/>
      <c r="I67" s="4080"/>
      <c r="J67" s="4080"/>
    </row>
    <row r="68" spans="1:10" ht="6" customHeight="1">
      <c r="A68" s="655"/>
    </row>
    <row r="69" spans="1:10">
      <c r="A69" s="655" t="s">
        <v>2953</v>
      </c>
    </row>
    <row r="70" spans="1:10" ht="105.75" customHeight="1">
      <c r="A70" s="4060" t="s">
        <v>2954</v>
      </c>
      <c r="B70" s="4060"/>
      <c r="C70" s="4060"/>
      <c r="D70" s="4060"/>
      <c r="E70" s="4060"/>
      <c r="F70" s="4060"/>
      <c r="G70" s="4060"/>
      <c r="H70" s="4060"/>
      <c r="I70" s="4060"/>
      <c r="J70" s="4060"/>
    </row>
    <row r="71" spans="1:10" ht="6" customHeight="1">
      <c r="A71" s="655"/>
    </row>
    <row r="72" spans="1:10">
      <c r="A72" s="655" t="s">
        <v>2955</v>
      </c>
    </row>
    <row r="73" spans="1:10" ht="66" customHeight="1">
      <c r="A73" s="4060" t="s">
        <v>2956</v>
      </c>
      <c r="B73" s="4060"/>
      <c r="C73" s="4060"/>
      <c r="D73" s="4060"/>
      <c r="E73" s="4060"/>
      <c r="F73" s="4060"/>
      <c r="G73" s="4060"/>
      <c r="H73" s="4060"/>
      <c r="I73" s="4060"/>
      <c r="J73" s="4060"/>
    </row>
    <row r="74" spans="1:10" s="2219" customFormat="1" ht="6" customHeight="1">
      <c r="A74" s="4060"/>
      <c r="B74" s="4060"/>
      <c r="C74" s="4060"/>
      <c r="D74" s="4060"/>
      <c r="E74" s="4060"/>
      <c r="F74" s="4060"/>
      <c r="G74" s="4060"/>
      <c r="H74" s="4060"/>
      <c r="I74" s="4060"/>
      <c r="J74" s="4060"/>
    </row>
    <row r="75" spans="1:10" ht="16.5" customHeight="1">
      <c r="A75" s="2221" t="s">
        <v>2957</v>
      </c>
      <c r="B75" s="654"/>
      <c r="C75" s="654"/>
      <c r="D75" s="2223"/>
      <c r="E75" s="654"/>
      <c r="F75" s="654"/>
      <c r="G75" s="654"/>
      <c r="H75" s="654"/>
      <c r="I75" s="654"/>
      <c r="J75" s="668"/>
    </row>
    <row r="76" spans="1:10" s="2219" customFormat="1" ht="63" customHeight="1">
      <c r="A76" s="4060" t="s">
        <v>4459</v>
      </c>
      <c r="B76" s="4060"/>
      <c r="C76" s="4060"/>
      <c r="D76" s="4060"/>
      <c r="E76" s="4060"/>
      <c r="F76" s="4060"/>
      <c r="G76" s="4060"/>
      <c r="H76" s="4060"/>
      <c r="I76" s="4060"/>
      <c r="J76" s="4060"/>
    </row>
    <row r="77" spans="1:10" s="2219" customFormat="1" ht="6" customHeight="1">
      <c r="A77" s="2217"/>
      <c r="B77" s="2217"/>
      <c r="C77" s="2217"/>
      <c r="D77" s="2217"/>
      <c r="E77" s="2217"/>
      <c r="F77" s="2217"/>
      <c r="G77" s="2217"/>
      <c r="H77" s="2217"/>
      <c r="I77" s="2217"/>
      <c r="J77" s="2217"/>
    </row>
    <row r="78" spans="1:10" ht="16.5" customHeight="1">
      <c r="A78" s="4087" t="s">
        <v>2958</v>
      </c>
      <c r="B78" s="4088"/>
      <c r="C78" s="4088"/>
      <c r="D78" s="654"/>
      <c r="E78" s="654"/>
      <c r="F78" s="654"/>
      <c r="G78" s="654"/>
      <c r="H78" s="654"/>
      <c r="I78" s="654"/>
      <c r="J78" s="668"/>
    </row>
    <row r="79" spans="1:10" ht="41.25" customHeight="1">
      <c r="A79" s="4080" t="s">
        <v>4249</v>
      </c>
      <c r="B79" s="4089"/>
      <c r="C79" s="4089"/>
      <c r="D79" s="4089"/>
      <c r="E79" s="4089"/>
      <c r="F79" s="4089"/>
      <c r="G79" s="4089"/>
      <c r="H79" s="4089"/>
      <c r="I79" s="4089"/>
      <c r="J79" s="4089"/>
    </row>
    <row r="80" spans="1:10" ht="6" customHeight="1">
      <c r="A80" s="669"/>
      <c r="B80" s="654"/>
      <c r="C80" s="654"/>
      <c r="D80" s="654"/>
      <c r="E80" s="654"/>
      <c r="F80" s="654"/>
      <c r="G80" s="654"/>
      <c r="H80" s="654"/>
      <c r="I80" s="654"/>
      <c r="J80" s="668"/>
    </row>
    <row r="81" spans="1:15">
      <c r="A81" s="655" t="s">
        <v>2959</v>
      </c>
    </row>
    <row r="82" spans="1:15" ht="139.5" customHeight="1">
      <c r="A82" s="4080" t="s">
        <v>2960</v>
      </c>
      <c r="B82" s="4080"/>
      <c r="C82" s="4080"/>
      <c r="D82" s="4080"/>
      <c r="E82" s="4080"/>
      <c r="F82" s="4080"/>
      <c r="G82" s="4080"/>
      <c r="H82" s="4080"/>
      <c r="I82" s="4080"/>
      <c r="J82" s="4080"/>
      <c r="L82" s="4090" t="s">
        <v>2961</v>
      </c>
      <c r="M82" s="4090"/>
      <c r="N82" s="4090"/>
    </row>
    <row r="83" spans="1:15" ht="6" customHeight="1">
      <c r="A83" s="2220"/>
      <c r="B83" s="2220"/>
      <c r="C83" s="2220"/>
      <c r="D83" s="2220"/>
      <c r="E83" s="2220"/>
      <c r="F83" s="2220"/>
      <c r="G83" s="2220"/>
      <c r="H83" s="2220"/>
      <c r="I83" s="2220"/>
      <c r="J83" s="2220"/>
      <c r="L83" s="2222"/>
      <c r="M83" s="2222"/>
      <c r="N83" s="2222"/>
    </row>
    <row r="84" spans="1:15" ht="17.25" customHeight="1">
      <c r="A84" s="655" t="s">
        <v>2962</v>
      </c>
    </row>
    <row r="85" spans="1:15" ht="111" customHeight="1">
      <c r="A85" s="4080" t="s">
        <v>2963</v>
      </c>
      <c r="B85" s="4080"/>
      <c r="C85" s="4080"/>
      <c r="D85" s="4080"/>
      <c r="E85" s="4080"/>
      <c r="F85" s="4080"/>
      <c r="G85" s="4080"/>
      <c r="H85" s="4080"/>
      <c r="I85" s="4080"/>
      <c r="J85" s="4080"/>
      <c r="L85" s="4090" t="s">
        <v>2964</v>
      </c>
      <c r="M85" s="4090"/>
      <c r="N85" s="670" t="e">
        <f>'After-Tax Analysis'!G66</f>
        <v>#VALUE!</v>
      </c>
      <c r="O85" s="671" t="s">
        <v>2965</v>
      </c>
    </row>
    <row r="86" spans="1:15" ht="6" customHeight="1">
      <c r="A86" s="655"/>
    </row>
    <row r="87" spans="1:15">
      <c r="A87" s="655" t="s">
        <v>2966</v>
      </c>
    </row>
    <row r="88" spans="1:15" ht="118.5" customHeight="1">
      <c r="A88" s="4060" t="s">
        <v>2967</v>
      </c>
      <c r="B88" s="4060"/>
      <c r="C88" s="4060"/>
      <c r="D88" s="4060"/>
      <c r="E88" s="4060"/>
      <c r="F88" s="4060"/>
      <c r="G88" s="4060"/>
      <c r="H88" s="4060"/>
      <c r="I88" s="4060"/>
      <c r="J88" s="4060"/>
    </row>
    <row r="89" spans="1:15" ht="20.25" customHeight="1">
      <c r="A89" s="4062" t="s">
        <v>2968</v>
      </c>
      <c r="B89" s="4062"/>
      <c r="C89" s="4062"/>
      <c r="D89" s="4060"/>
      <c r="E89" s="2217"/>
      <c r="F89" s="2217"/>
      <c r="G89" s="2217"/>
      <c r="H89" s="2217"/>
      <c r="I89" s="2217"/>
      <c r="J89" s="2217"/>
    </row>
    <row r="90" spans="1:15" ht="109.5" customHeight="1">
      <c r="A90" s="4078" t="s">
        <v>2969</v>
      </c>
      <c r="B90" s="4079"/>
      <c r="C90" s="4079"/>
      <c r="D90" s="4079"/>
      <c r="E90" s="4079"/>
      <c r="F90" s="4079"/>
      <c r="G90" s="4079"/>
      <c r="H90" s="4079"/>
      <c r="I90" s="4079"/>
      <c r="J90" s="4079"/>
    </row>
    <row r="91" spans="1:15" ht="11.25" customHeight="1">
      <c r="A91" s="655"/>
    </row>
    <row r="92" spans="1:15">
      <c r="A92" s="655" t="s">
        <v>2970</v>
      </c>
    </row>
    <row r="93" spans="1:15" ht="122.25" customHeight="1">
      <c r="A93" s="4083" t="s">
        <v>2971</v>
      </c>
      <c r="B93" s="4083"/>
      <c r="C93" s="4083"/>
      <c r="D93" s="4083"/>
      <c r="E93" s="4083"/>
      <c r="F93" s="4083"/>
      <c r="G93" s="4083"/>
      <c r="H93" s="4083"/>
      <c r="I93" s="4083"/>
      <c r="J93" s="4083"/>
      <c r="L93" s="1253" t="str">
        <f>'Part VII-Pro Forma'!K71</f>
        <v/>
      </c>
      <c r="M93" s="4086" t="s">
        <v>2972</v>
      </c>
      <c r="N93" s="4086"/>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4062" t="s">
        <v>2973</v>
      </c>
      <c r="B97" s="4062"/>
      <c r="C97" s="4062"/>
      <c r="D97" s="2217"/>
      <c r="E97" s="2217"/>
      <c r="F97" s="2217"/>
      <c r="G97" s="2217"/>
      <c r="H97" s="2217"/>
      <c r="I97" s="2217"/>
      <c r="J97" s="668"/>
    </row>
    <row r="98" spans="1:10" ht="37.5" customHeight="1">
      <c r="A98" s="4080" t="s">
        <v>2974</v>
      </c>
      <c r="B98" s="4080"/>
      <c r="C98" s="4080"/>
      <c r="D98" s="4080"/>
      <c r="E98" s="4080"/>
      <c r="F98" s="4080"/>
      <c r="G98" s="4080"/>
      <c r="H98" s="4080"/>
      <c r="I98" s="4080"/>
      <c r="J98" s="4080"/>
    </row>
    <row r="99" spans="1:10" ht="6" customHeight="1">
      <c r="A99" s="655"/>
    </row>
    <row r="100" spans="1:10">
      <c r="A100" s="655" t="s">
        <v>2975</v>
      </c>
    </row>
    <row r="101" spans="1:10" ht="43.5" customHeight="1">
      <c r="A101" s="4060" t="s">
        <v>2976</v>
      </c>
      <c r="B101" s="4060"/>
      <c r="C101" s="4060"/>
      <c r="D101" s="4060"/>
      <c r="E101" s="4060"/>
      <c r="F101" s="4060"/>
      <c r="G101" s="4060"/>
      <c r="H101" s="4060"/>
      <c r="I101" s="4060"/>
      <c r="J101" s="4060"/>
    </row>
    <row r="102" spans="1:10" ht="6" customHeight="1">
      <c r="A102" s="2217"/>
      <c r="B102" s="2217"/>
      <c r="C102" s="2217"/>
      <c r="D102" s="2217"/>
      <c r="E102" s="2217"/>
      <c r="F102" s="2217"/>
      <c r="G102" s="2217"/>
      <c r="H102" s="2217"/>
      <c r="I102" s="2217"/>
      <c r="J102" s="2217"/>
    </row>
    <row r="103" spans="1:10">
      <c r="A103" s="655" t="s">
        <v>2977</v>
      </c>
    </row>
    <row r="105" spans="1:10">
      <c r="A105" s="4081" t="s">
        <v>2978</v>
      </c>
      <c r="B105" s="4081"/>
      <c r="C105" s="4081"/>
      <c r="D105" s="4081"/>
      <c r="E105" s="4081"/>
      <c r="F105" s="4081"/>
      <c r="G105" s="4081"/>
      <c r="H105" s="4081"/>
      <c r="I105" s="4081"/>
      <c r="J105" s="4081"/>
    </row>
    <row r="107" spans="1:10" ht="14.4" thickBot="1">
      <c r="A107" s="672"/>
      <c r="B107" s="649" t="s">
        <v>2979</v>
      </c>
    </row>
    <row r="110" spans="1:10" ht="14.4" thickBot="1">
      <c r="A110" s="672"/>
      <c r="B110" s="649" t="s">
        <v>2980</v>
      </c>
    </row>
    <row r="112" spans="1:10">
      <c r="A112" s="649" t="s">
        <v>2981</v>
      </c>
    </row>
    <row r="115" spans="1:10" ht="14.4" thickBot="1">
      <c r="A115" s="672"/>
      <c r="B115" s="672"/>
      <c r="C115" s="672"/>
      <c r="D115" s="672"/>
      <c r="E115" s="672"/>
      <c r="H115" s="672"/>
      <c r="I115" s="672"/>
      <c r="J115" s="672"/>
    </row>
    <row r="116" spans="1:10">
      <c r="A116" s="4077" t="s">
        <v>5065</v>
      </c>
      <c r="B116" s="4077"/>
      <c r="C116" s="4077"/>
      <c r="D116" s="4077"/>
      <c r="E116" s="4077"/>
      <c r="H116" s="4077" t="s">
        <v>2982</v>
      </c>
      <c r="I116" s="4077"/>
      <c r="J116" s="4077"/>
    </row>
    <row r="118" spans="1:10" ht="14.4" thickBot="1">
      <c r="A118" s="649" t="s">
        <v>2983</v>
      </c>
      <c r="B118" s="672"/>
      <c r="C118" s="672"/>
      <c r="H118" s="649" t="s">
        <v>2983</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649" customWidth="1"/>
    <col min="2" max="2" width="1.6640625" style="649" customWidth="1"/>
    <col min="3" max="3" width="13" style="649" customWidth="1"/>
    <col min="4" max="4" width="11.33203125" style="649" customWidth="1"/>
    <col min="5" max="5" width="14.6640625" style="649" customWidth="1"/>
    <col min="6" max="6" width="15.33203125" style="649" customWidth="1"/>
    <col min="7" max="7" width="11.6640625" style="649" customWidth="1"/>
    <col min="8" max="8" width="11.44140625" style="649" customWidth="1"/>
    <col min="9" max="9" width="10.5546875" style="649" customWidth="1"/>
    <col min="10" max="10" width="6" style="649" customWidth="1"/>
    <col min="11" max="11" width="12.6640625" style="649" customWidth="1"/>
    <col min="12" max="12" width="10.6640625" style="649" customWidth="1"/>
    <col min="13" max="13" width="26.33203125" style="649" customWidth="1"/>
    <col min="14" max="14" width="9.33203125" style="649"/>
    <col min="15" max="15" width="12.44140625" style="649" customWidth="1"/>
    <col min="16" max="16" width="9.33203125" style="649"/>
    <col min="17" max="17" width="11.6640625" style="649" bestFit="1" customWidth="1"/>
    <col min="18" max="16384" width="9.33203125" style="649"/>
  </cols>
  <sheetData>
    <row r="1" spans="1:15" ht="13.5" customHeight="1">
      <c r="A1" s="650" t="s">
        <v>3044</v>
      </c>
      <c r="B1" s="734"/>
      <c r="C1" s="649" t="str">
        <f>Overview!C8</f>
        <v>Woodstone Apartments II</v>
      </c>
    </row>
    <row r="2" spans="1:15" ht="13.5" customHeight="1"/>
    <row r="3" spans="1:15" ht="13.5" customHeight="1">
      <c r="A3" s="650" t="s">
        <v>3045</v>
      </c>
      <c r="C3" s="649" t="s">
        <v>3046</v>
      </c>
      <c r="E3" s="735">
        <f>SUM('Part IV-A-Uses of Funds'!J149,'Part IV-A-Uses of Funds'!M149,'Part IV-A-Uses of Funds'!P149)</f>
        <v>4441752</v>
      </c>
      <c r="F3" s="1868" t="s">
        <v>3047</v>
      </c>
      <c r="H3" s="1296">
        <v>27.5</v>
      </c>
      <c r="I3" s="649" t="s">
        <v>2468</v>
      </c>
      <c r="K3" s="654" t="s">
        <v>3068</v>
      </c>
      <c r="M3" s="1868"/>
      <c r="O3" s="736"/>
    </row>
    <row r="4" spans="1:15" ht="13.5" customHeight="1">
      <c r="C4" s="649" t="s">
        <v>3553</v>
      </c>
      <c r="E4" s="735">
        <f>SUM('Part IV-A-Uses of Funds'!G85:H89)</f>
        <v>0</v>
      </c>
      <c r="F4" s="1868" t="s">
        <v>4461</v>
      </c>
      <c r="H4" s="650">
        <f>'Part III-Sources of Funds'!M38</f>
        <v>0</v>
      </c>
      <c r="I4" s="649" t="s">
        <v>2468</v>
      </c>
      <c r="K4" s="737" t="s">
        <v>3312</v>
      </c>
      <c r="M4" s="1868"/>
    </row>
    <row r="5" spans="1:15" ht="13.5" customHeight="1">
      <c r="C5" s="649" t="s">
        <v>3554</v>
      </c>
      <c r="E5" s="735">
        <f>SUM('Part IV-A-Uses of Funds'!G96:H102)</f>
        <v>72533</v>
      </c>
      <c r="F5" s="1868" t="s">
        <v>4460</v>
      </c>
      <c r="H5" s="1296">
        <v>15</v>
      </c>
      <c r="I5" s="649" t="s">
        <v>2468</v>
      </c>
      <c r="K5" s="736">
        <f>-E6</f>
        <v>-5167899</v>
      </c>
    </row>
    <row r="6" spans="1:15" ht="13.5" customHeight="1">
      <c r="C6" s="649" t="s">
        <v>3048</v>
      </c>
      <c r="E6" s="738">
        <f>'Part III-Sources of Funds'!$I$49+'Part III-Sources of Funds'!$I$50</f>
        <v>5167899</v>
      </c>
      <c r="F6" s="1868" t="s">
        <v>3049</v>
      </c>
      <c r="H6" s="739">
        <v>0.35</v>
      </c>
      <c r="K6" s="736" t="e">
        <f>C24</f>
        <v>#VALUE!</v>
      </c>
      <c r="M6" s="649" t="s">
        <v>3050</v>
      </c>
      <c r="O6" s="740">
        <f>Overview!K32</f>
        <v>0</v>
      </c>
    </row>
    <row r="7" spans="1:15" ht="13.5" customHeight="1">
      <c r="K7" s="736" t="e">
        <f>D24</f>
        <v>#VALUE!</v>
      </c>
      <c r="O7" s="741"/>
    </row>
    <row r="8" spans="1:15" ht="13.5" customHeight="1">
      <c r="A8" s="650" t="s">
        <v>2479</v>
      </c>
      <c r="C8" s="742">
        <v>1</v>
      </c>
      <c r="D8" s="742">
        <v>2</v>
      </c>
      <c r="E8" s="742">
        <v>3</v>
      </c>
      <c r="F8" s="742">
        <v>4</v>
      </c>
      <c r="G8" s="742">
        <v>5</v>
      </c>
      <c r="H8" s="742">
        <v>6</v>
      </c>
      <c r="I8" s="742">
        <v>7</v>
      </c>
      <c r="K8" s="736" t="e">
        <f>E24</f>
        <v>#VALUE!</v>
      </c>
      <c r="M8" s="649" t="s">
        <v>3051</v>
      </c>
      <c r="O8" s="1259" t="e">
        <f>'Part VII-Pro Forma'!$K$71+'Part VII-Pro Forma'!$K$72+'Part VII-Pro Forma'!$K$73</f>
        <v>#VALUE!</v>
      </c>
    </row>
    <row r="9" spans="1:15" ht="13.5" customHeight="1">
      <c r="A9" s="649" t="s">
        <v>3052</v>
      </c>
      <c r="C9" s="743">
        <f>'Part VII-Pro Forma'!B32</f>
        <v>33518.071999999986</v>
      </c>
      <c r="D9" s="743">
        <f>'Part VII-Pro Forma'!C32</f>
        <v>33107.143439999985</v>
      </c>
      <c r="E9" s="743">
        <f>'Part VII-Pro Forma'!D32</f>
        <v>31985.369408800012</v>
      </c>
      <c r="F9" s="743">
        <f>'Part VII-Pro Forma'!E32</f>
        <v>30789.125389975976</v>
      </c>
      <c r="G9" s="743">
        <f>'Part VII-Pro Forma'!F32</f>
        <v>29512.691548565541</v>
      </c>
      <c r="H9" s="743">
        <f>'Part VII-Pro Forma'!G32</f>
        <v>28154.249539850556</v>
      </c>
      <c r="I9" s="743">
        <f>'Part VII-Pro Forma'!H32</f>
        <v>26709.879215770696</v>
      </c>
      <c r="K9" s="736" t="e">
        <f>F24</f>
        <v>#VALUE!</v>
      </c>
      <c r="N9" s="744" t="s">
        <v>3054</v>
      </c>
    </row>
    <row r="10" spans="1:15" ht="13.5" customHeight="1">
      <c r="A10" s="649" t="s">
        <v>3053</v>
      </c>
      <c r="C10" s="1256" t="e">
        <f>'Part III-Sources of Funds'!I38-'Part VII-Pro Forma'!B39</f>
        <v>#VALUE!</v>
      </c>
      <c r="D10" s="745" t="e">
        <f>'Part VII-Pro Forma'!B39-'Part VII-Pro Forma'!C39</f>
        <v>#VALUE!</v>
      </c>
      <c r="E10" s="745" t="e">
        <f>'Part VII-Pro Forma'!C39-'Part VII-Pro Forma'!D39</f>
        <v>#VALUE!</v>
      </c>
      <c r="F10" s="745" t="e">
        <f>'Part VII-Pro Forma'!D39-'Part VII-Pro Forma'!E39</f>
        <v>#VALUE!</v>
      </c>
      <c r="G10" s="745" t="e">
        <f>'Part VII-Pro Forma'!E39-'Part VII-Pro Forma'!F39</f>
        <v>#VALUE!</v>
      </c>
      <c r="H10" s="745" t="e">
        <f>'Part VII-Pro Forma'!F39-'Part VII-Pro Forma'!G39</f>
        <v>#VALUE!</v>
      </c>
      <c r="I10" s="745" t="e">
        <f>'Part VII-Pro Forma'!G39-'Part VII-Pro Forma'!H39</f>
        <v>#VALUE!</v>
      </c>
      <c r="K10" s="736" t="e">
        <f>G24</f>
        <v>#VALUE!</v>
      </c>
      <c r="N10" s="744" t="s">
        <v>3055</v>
      </c>
      <c r="O10" s="741"/>
    </row>
    <row r="11" spans="1:15" ht="13.5" customHeight="1">
      <c r="A11" s="649" t="s">
        <v>3053</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3053</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3057</v>
      </c>
      <c r="N12" s="746">
        <v>0.06</v>
      </c>
      <c r="O12" s="741">
        <f>N12*O6</f>
        <v>0</v>
      </c>
    </row>
    <row r="13" spans="1:15" ht="13.5" customHeight="1">
      <c r="A13" s="747" t="s">
        <v>3556</v>
      </c>
      <c r="B13" s="748"/>
      <c r="C13" s="1257">
        <f>'Part VII-Pro Forma'!B22</f>
        <v>-14000</v>
      </c>
      <c r="D13" s="1257">
        <f>'Part VII-Pro Forma'!C22</f>
        <v>-14420</v>
      </c>
      <c r="E13" s="1257">
        <f>'Part VII-Pro Forma'!D22</f>
        <v>-14852.599999999999</v>
      </c>
      <c r="F13" s="1257">
        <f>'Part VII-Pro Forma'!E22</f>
        <v>-15298.178</v>
      </c>
      <c r="G13" s="1257">
        <f>'Part VII-Pro Forma'!F22</f>
        <v>-15757.123339999998</v>
      </c>
      <c r="H13" s="1257">
        <f>'Part VII-Pro Forma'!G22</f>
        <v>-16229.837040199998</v>
      </c>
      <c r="I13" s="1257">
        <f>'Part VII-Pro Forma'!H22</f>
        <v>-16716.732151405999</v>
      </c>
      <c r="K13" s="736" t="e">
        <f>C44</f>
        <v>#VALUE!</v>
      </c>
      <c r="O13" s="741"/>
    </row>
    <row r="14" spans="1:15" ht="13.5" customHeight="1">
      <c r="A14" s="747" t="s">
        <v>3557</v>
      </c>
      <c r="B14" s="748"/>
      <c r="C14" s="1257">
        <f>'Part VII-Pro Forma'!B31</f>
        <v>-637</v>
      </c>
      <c r="D14" s="1257">
        <f>'Part VII-Pro Forma'!C31</f>
        <v>0</v>
      </c>
      <c r="E14" s="1257">
        <f>'Part VII-Pro Forma'!D31</f>
        <v>0</v>
      </c>
      <c r="F14" s="1257">
        <f>'Part VII-Pro Forma'!E31</f>
        <v>0</v>
      </c>
      <c r="G14" s="1257">
        <f>'Part VII-Pro Forma'!F31</f>
        <v>0</v>
      </c>
      <c r="H14" s="1257">
        <f>'Part VII-Pro Forma'!G31</f>
        <v>0</v>
      </c>
      <c r="I14" s="1257">
        <f>'Part VII-Pro Forma'!H31</f>
        <v>0</v>
      </c>
      <c r="K14" s="736" t="e">
        <f>D44</f>
        <v>#VALUE!</v>
      </c>
      <c r="M14" s="649" t="s">
        <v>3060</v>
      </c>
      <c r="O14" s="741" t="e">
        <f>O6-O8-O12</f>
        <v>#VALUE!</v>
      </c>
    </row>
    <row r="15" spans="1:15" ht="13.5" customHeight="1">
      <c r="A15" s="749" t="s">
        <v>3056</v>
      </c>
      <c r="C15" s="750">
        <f t="shared" ref="C15:I15" si="0">$E$3/$H$3</f>
        <v>161518.25454545455</v>
      </c>
      <c r="D15" s="750">
        <f t="shared" si="0"/>
        <v>161518.25454545455</v>
      </c>
      <c r="E15" s="750">
        <f t="shared" si="0"/>
        <v>161518.25454545455</v>
      </c>
      <c r="F15" s="750">
        <f t="shared" si="0"/>
        <v>161518.25454545455</v>
      </c>
      <c r="G15" s="750">
        <f t="shared" si="0"/>
        <v>161518.25454545455</v>
      </c>
      <c r="H15" s="750">
        <f t="shared" si="0"/>
        <v>161518.25454545455</v>
      </c>
      <c r="I15" s="750">
        <f t="shared" si="0"/>
        <v>161518.25454545455</v>
      </c>
      <c r="K15" s="736" t="e">
        <f>E44</f>
        <v>#VALUE!</v>
      </c>
      <c r="O15" s="741"/>
    </row>
    <row r="16" spans="1:15" ht="13.5" customHeight="1">
      <c r="A16" s="749" t="s">
        <v>3058</v>
      </c>
      <c r="C16" s="750">
        <f>IF(C$8&lt;=$H$4,($E$4/$H$4),0)+IF(C$8&lt;=$H$5,($E$5/$H$5),0)</f>
        <v>4835.5333333333338</v>
      </c>
      <c r="D16" s="750">
        <f t="shared" ref="D16:I16" si="1">IF(D$8&lt;=$H$4,($E$4/$H$4),0)+IF(D$8&lt;=$H$5,($E$5/$H$5),0)</f>
        <v>4835.5333333333338</v>
      </c>
      <c r="E16" s="750">
        <f t="shared" si="1"/>
        <v>4835.5333333333338</v>
      </c>
      <c r="F16" s="750">
        <f t="shared" si="1"/>
        <v>4835.5333333333338</v>
      </c>
      <c r="G16" s="750">
        <f t="shared" si="1"/>
        <v>4835.5333333333338</v>
      </c>
      <c r="H16" s="750">
        <f t="shared" si="1"/>
        <v>4835.5333333333338</v>
      </c>
      <c r="I16" s="750">
        <f t="shared" si="1"/>
        <v>4835.5333333333338</v>
      </c>
      <c r="K16" s="736" t="e">
        <f>F44</f>
        <v>#VALUE!</v>
      </c>
      <c r="M16" s="649" t="s">
        <v>3062</v>
      </c>
      <c r="O16" s="741">
        <f>E3</f>
        <v>4441752</v>
      </c>
    </row>
    <row r="17" spans="1:17" ht="13.5" customHeight="1">
      <c r="A17" s="749" t="s">
        <v>3059</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3056</v>
      </c>
      <c r="O17" s="741">
        <f>20*(E3/H3)</f>
        <v>3230365.0909090908</v>
      </c>
    </row>
    <row r="18" spans="1:17" ht="13.5" customHeight="1">
      <c r="A18" s="749" t="s">
        <v>3061</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3066</v>
      </c>
      <c r="O19" s="741">
        <f>O16-O17</f>
        <v>1211386.9090909092</v>
      </c>
    </row>
    <row r="20" spans="1:17" ht="13.5" customHeight="1">
      <c r="A20" s="649" t="s">
        <v>3063</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3064</v>
      </c>
      <c r="C21" s="751">
        <f>'Part IV-A-Uses of Funds'!$J$175</f>
        <v>369181</v>
      </c>
      <c r="D21" s="751">
        <f t="shared" ref="D21:I21" si="5">C21</f>
        <v>369181</v>
      </c>
      <c r="E21" s="751">
        <f t="shared" si="5"/>
        <v>369181</v>
      </c>
      <c r="F21" s="751">
        <f t="shared" si="5"/>
        <v>369181</v>
      </c>
      <c r="G21" s="751">
        <f t="shared" si="5"/>
        <v>369181</v>
      </c>
      <c r="H21" s="751">
        <f t="shared" si="5"/>
        <v>369181</v>
      </c>
      <c r="I21" s="751">
        <f t="shared" si="5"/>
        <v>369181</v>
      </c>
      <c r="J21" s="649" t="s">
        <v>243</v>
      </c>
      <c r="K21" s="736" t="e">
        <f>D64</f>
        <v>#VALUE!</v>
      </c>
      <c r="O21" s="741"/>
    </row>
    <row r="22" spans="1:17" ht="13.5" customHeight="1">
      <c r="A22" s="649" t="s">
        <v>3065</v>
      </c>
      <c r="C22" s="751">
        <f>C21</f>
        <v>369181</v>
      </c>
      <c r="D22" s="751">
        <f t="shared" ref="D22:I22" si="6">D21</f>
        <v>369181</v>
      </c>
      <c r="E22" s="751">
        <f t="shared" si="6"/>
        <v>369181</v>
      </c>
      <c r="F22" s="751">
        <f t="shared" si="6"/>
        <v>369181</v>
      </c>
      <c r="G22" s="751">
        <f t="shared" si="6"/>
        <v>369181</v>
      </c>
      <c r="H22" s="751">
        <f t="shared" si="6"/>
        <v>369181</v>
      </c>
      <c r="I22" s="751">
        <f t="shared" si="6"/>
        <v>369181</v>
      </c>
      <c r="K22" s="736" t="e">
        <f>E64</f>
        <v>#VALUE!</v>
      </c>
      <c r="M22" s="649" t="s">
        <v>3050</v>
      </c>
      <c r="O22" s="741">
        <f>O6</f>
        <v>0</v>
      </c>
    </row>
    <row r="23" spans="1:17" ht="13.5" customHeight="1">
      <c r="A23" s="649" t="s">
        <v>3067</v>
      </c>
      <c r="C23" s="743">
        <v>0</v>
      </c>
      <c r="D23" s="743">
        <v>0</v>
      </c>
      <c r="E23" s="743">
        <v>0</v>
      </c>
      <c r="F23" s="743">
        <v>0</v>
      </c>
      <c r="G23" s="743">
        <v>0</v>
      </c>
      <c r="H23" s="743">
        <v>0</v>
      </c>
      <c r="I23" s="743">
        <v>0</v>
      </c>
      <c r="K23" s="736" t="e">
        <f>F64</f>
        <v>#VALUE!</v>
      </c>
      <c r="M23" s="649" t="s">
        <v>3069</v>
      </c>
      <c r="O23" s="741">
        <f>O19</f>
        <v>1211386.9090909092</v>
      </c>
    </row>
    <row r="24" spans="1:17" ht="13.5" customHeight="1">
      <c r="A24" s="649" t="s">
        <v>3068</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3070</v>
      </c>
      <c r="O25" s="741">
        <f>O22-O23</f>
        <v>-1211386.9090909092</v>
      </c>
      <c r="Q25" s="752"/>
    </row>
    <row r="26" spans="1:17" ht="13.5" customHeight="1">
      <c r="A26" s="753"/>
      <c r="B26" s="753"/>
      <c r="C26" s="753"/>
      <c r="D26" s="753"/>
      <c r="E26" s="753"/>
      <c r="F26" s="753"/>
      <c r="G26" s="753"/>
      <c r="H26" s="753"/>
      <c r="I26" s="753"/>
      <c r="K26" s="736"/>
      <c r="O26" s="741"/>
    </row>
    <row r="27" spans="1:17" ht="13.5" customHeight="1">
      <c r="K27" s="736"/>
      <c r="M27" s="649" t="s">
        <v>3071</v>
      </c>
      <c r="N27" s="754"/>
      <c r="O27" s="746">
        <v>0.2</v>
      </c>
    </row>
    <row r="28" spans="1:17" ht="13.5" customHeight="1">
      <c r="A28" s="650" t="s">
        <v>2479</v>
      </c>
      <c r="B28" s="650"/>
      <c r="C28" s="742">
        <v>8</v>
      </c>
      <c r="D28" s="742">
        <v>9</v>
      </c>
      <c r="E28" s="742">
        <v>10</v>
      </c>
      <c r="F28" s="742">
        <v>11</v>
      </c>
      <c r="G28" s="742">
        <v>12</v>
      </c>
      <c r="H28" s="742">
        <v>13</v>
      </c>
      <c r="I28" s="742">
        <v>14</v>
      </c>
      <c r="N28" s="754"/>
      <c r="O28" s="754"/>
    </row>
    <row r="29" spans="1:17" ht="13.5" customHeight="1">
      <c r="A29" s="649" t="s">
        <v>3052</v>
      </c>
      <c r="C29" s="743">
        <f>'Part VII-Pro Forma'!I32</f>
        <v>25177.555225762822</v>
      </c>
      <c r="D29" s="743">
        <f>'Part VII-Pro Forma'!J32</f>
        <v>23551.143508725254</v>
      </c>
      <c r="E29" s="743">
        <f>'Part VII-Pro Forma'!K32</f>
        <v>21829.397672700292</v>
      </c>
      <c r="F29" s="743">
        <f>'Part VII-Pro Forma'!B64</f>
        <v>20006.955258768805</v>
      </c>
      <c r="G29" s="743">
        <f>'Part VII-Pro Forma'!C64</f>
        <v>18080.3338855371</v>
      </c>
      <c r="H29" s="743">
        <f>'Part VII-Pro Forma'!D64</f>
        <v>16044.927270488701</v>
      </c>
      <c r="I29" s="743">
        <f>'Part VII-Pro Forma'!E64</f>
        <v>13898.001124356524</v>
      </c>
      <c r="N29" s="754"/>
      <c r="O29" s="754"/>
    </row>
    <row r="30" spans="1:17" ht="13.5" customHeight="1">
      <c r="A30" s="649" t="s">
        <v>3053</v>
      </c>
      <c r="C30" s="745" t="e">
        <f>'Part VII-Pro Forma'!H39-'Part VII-Pro Forma'!I39</f>
        <v>#VALUE!</v>
      </c>
      <c r="D30" s="745" t="e">
        <f>'Part VII-Pro Forma'!I39-'Part VII-Pro Forma'!J39</f>
        <v>#VALUE!</v>
      </c>
      <c r="E30" s="745" t="e">
        <f>'Part VII-Pro Forma'!J39-'Part VII-Pro Forma'!K39</f>
        <v>#VALUE!</v>
      </c>
      <c r="F30" s="1254" t="e">
        <f>'Part VII-Pro Forma'!K39-'Part VII-Pro Forma'!B71</f>
        <v>#VALUE!</v>
      </c>
      <c r="G30" s="1254" t="e">
        <f>'Part VII-Pro Forma'!B71-'Part VII-Pro Forma'!C71</f>
        <v>#VALUE!</v>
      </c>
      <c r="H30" s="1254" t="e">
        <f>'Part VII-Pro Forma'!C71-'Part VII-Pro Forma'!D71</f>
        <v>#VALUE!</v>
      </c>
      <c r="I30" s="1254" t="e">
        <f>'Part VII-Pro Forma'!D71-'Part VII-Pro Forma'!E71</f>
        <v>#VALUE!</v>
      </c>
    </row>
    <row r="31" spans="1:17" ht="13.5" customHeight="1">
      <c r="A31" s="649" t="s">
        <v>3053</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243</v>
      </c>
      <c r="M31" s="649" t="s">
        <v>3072</v>
      </c>
      <c r="O31" s="743">
        <f>O25*O27</f>
        <v>-242277.38181818184</v>
      </c>
    </row>
    <row r="32" spans="1:17" ht="13.5" customHeight="1">
      <c r="A32" s="649" t="s">
        <v>3053</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3556</v>
      </c>
      <c r="B33" s="748"/>
      <c r="C33" s="1257">
        <f>'Part VII-Pro Forma'!I22</f>
        <v>-17218.23411594818</v>
      </c>
      <c r="D33" s="1257">
        <f>'Part VII-Pro Forma'!J22</f>
        <v>-17734.781139426625</v>
      </c>
      <c r="E33" s="1257">
        <f>'Part VII-Pro Forma'!K22</f>
        <v>-18266.824573609421</v>
      </c>
      <c r="F33" s="1257">
        <f>'Part VII-Pro Forma'!B54</f>
        <v>-18814.829310817706</v>
      </c>
      <c r="G33" s="1257">
        <f>'Part VII-Pro Forma'!C54</f>
        <v>-19379.274190142238</v>
      </c>
      <c r="H33" s="1257">
        <f>'Part VII-Pro Forma'!D54</f>
        <v>-19960.6524158465</v>
      </c>
      <c r="I33" s="1257">
        <f>'Part VII-Pro Forma'!E54</f>
        <v>-20559.471988321893</v>
      </c>
      <c r="K33" s="649" t="s">
        <v>243</v>
      </c>
      <c r="M33" s="649" t="s">
        <v>3073</v>
      </c>
      <c r="O33" s="743" t="e">
        <f>O14-O31</f>
        <v>#VALUE!</v>
      </c>
    </row>
    <row r="34" spans="1:15" ht="13.5" customHeight="1">
      <c r="A34" s="747" t="s">
        <v>3557</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3056</v>
      </c>
      <c r="C35" s="750">
        <f t="shared" ref="C35:I35" si="8">$E$3/$H$3</f>
        <v>161518.25454545455</v>
      </c>
      <c r="D35" s="750">
        <f t="shared" si="8"/>
        <v>161518.25454545455</v>
      </c>
      <c r="E35" s="750">
        <f t="shared" si="8"/>
        <v>161518.25454545455</v>
      </c>
      <c r="F35" s="750">
        <f t="shared" si="8"/>
        <v>161518.25454545455</v>
      </c>
      <c r="G35" s="750">
        <f t="shared" si="8"/>
        <v>161518.25454545455</v>
      </c>
      <c r="H35" s="750">
        <f t="shared" si="8"/>
        <v>161518.25454545455</v>
      </c>
      <c r="I35" s="750">
        <f t="shared" si="8"/>
        <v>161518.25454545455</v>
      </c>
    </row>
    <row r="36" spans="1:15" ht="13.5" customHeight="1">
      <c r="A36" s="749" t="s">
        <v>3058</v>
      </c>
      <c r="C36" s="743">
        <f>IF(C$28&lt;=$H$4,($E$4/$H$4),0)+IF(C$28&lt;=$H$5,($E$5/$H$5),0)</f>
        <v>4835.5333333333338</v>
      </c>
      <c r="D36" s="743">
        <f t="shared" ref="D36:I36" si="9">IF(D$28&lt;=$H$4,($E$4/$H$4),0)+IF(D$28&lt;=$H$5,($E$5/$H$5),0)</f>
        <v>4835.5333333333338</v>
      </c>
      <c r="E36" s="743">
        <f t="shared" si="9"/>
        <v>4835.5333333333338</v>
      </c>
      <c r="F36" s="743">
        <f t="shared" si="9"/>
        <v>4835.5333333333338</v>
      </c>
      <c r="G36" s="743">
        <f t="shared" si="9"/>
        <v>4835.5333333333338</v>
      </c>
      <c r="H36" s="743">
        <f t="shared" si="9"/>
        <v>4835.5333333333338</v>
      </c>
      <c r="I36" s="743">
        <f t="shared" si="9"/>
        <v>4835.5333333333338</v>
      </c>
    </row>
    <row r="37" spans="1:15" ht="13.5" customHeight="1">
      <c r="A37" s="749" t="s">
        <v>3059</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3061</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3063</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3064</v>
      </c>
      <c r="C41" s="751">
        <f>C21</f>
        <v>369181</v>
      </c>
      <c r="D41" s="751">
        <f>C41</f>
        <v>369181</v>
      </c>
      <c r="E41" s="751">
        <f>D41</f>
        <v>369181</v>
      </c>
      <c r="F41" s="751">
        <v>0</v>
      </c>
      <c r="G41" s="751">
        <v>0</v>
      </c>
      <c r="H41" s="751">
        <v>0</v>
      </c>
      <c r="I41" s="751">
        <v>0</v>
      </c>
    </row>
    <row r="42" spans="1:15" ht="13.5" customHeight="1">
      <c r="A42" s="649" t="s">
        <v>3065</v>
      </c>
      <c r="C42" s="751">
        <f>C22</f>
        <v>369181</v>
      </c>
      <c r="D42" s="751">
        <f>C42</f>
        <v>369181</v>
      </c>
      <c r="E42" s="751">
        <f>D42</f>
        <v>369181</v>
      </c>
      <c r="F42" s="751">
        <v>0</v>
      </c>
      <c r="G42" s="751">
        <v>0</v>
      </c>
      <c r="H42" s="751">
        <v>0</v>
      </c>
      <c r="I42" s="751">
        <v>0</v>
      </c>
    </row>
    <row r="43" spans="1:15" ht="13.5" customHeight="1">
      <c r="A43" s="649" t="s">
        <v>3067</v>
      </c>
      <c r="C43" s="745">
        <v>0</v>
      </c>
      <c r="D43" s="745">
        <v>0</v>
      </c>
      <c r="E43" s="745">
        <v>0</v>
      </c>
      <c r="F43" s="745">
        <v>0</v>
      </c>
      <c r="G43" s="745">
        <v>0</v>
      </c>
      <c r="H43" s="745">
        <v>0</v>
      </c>
      <c r="I43" s="745">
        <v>0</v>
      </c>
    </row>
    <row r="44" spans="1:15" ht="13.5" customHeight="1">
      <c r="A44" s="649" t="s">
        <v>3068</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2479</v>
      </c>
      <c r="B48" s="650"/>
      <c r="C48" s="742">
        <v>15</v>
      </c>
      <c r="D48" s="650">
        <v>16</v>
      </c>
      <c r="E48" s="650">
        <v>17</v>
      </c>
      <c r="F48" s="650">
        <v>18</v>
      </c>
      <c r="G48" s="650">
        <v>19</v>
      </c>
      <c r="H48" s="650">
        <v>20</v>
      </c>
    </row>
    <row r="49" spans="1:10" ht="13.5" customHeight="1">
      <c r="A49" s="649" t="s">
        <v>3052</v>
      </c>
      <c r="C49" s="743">
        <f>'Part VII-Pro Forma'!F64</f>
        <v>11632.688914555325</v>
      </c>
      <c r="D49" s="743">
        <f>'Part VII-Pro Forma'!G61</f>
        <v>0</v>
      </c>
      <c r="E49" s="743">
        <f>'Part VII-Pro Forma'!H61</f>
        <v>0</v>
      </c>
      <c r="F49" s="743">
        <f>'Part VII-Pro Forma'!I61</f>
        <v>0</v>
      </c>
      <c r="G49" s="743">
        <f>'Part VII-Pro Forma'!J61</f>
        <v>0</v>
      </c>
      <c r="H49" s="743">
        <f>'Part VII-Pro Forma'!K61</f>
        <v>0</v>
      </c>
    </row>
    <row r="50" spans="1:10" ht="13.5" customHeight="1">
      <c r="A50" s="649" t="s">
        <v>3053</v>
      </c>
      <c r="C50" s="1255" t="e">
        <f>'Part VII-Pro Forma'!E71-'Part VII-Pro Forma'!F71</f>
        <v>#VALUE!</v>
      </c>
      <c r="D50" s="1255" t="e">
        <f>'Part VII-Pro Forma'!F71-'Part VII-Pro Forma'!G71</f>
        <v>#VALUE!</v>
      </c>
      <c r="E50" s="1255" t="e">
        <f>'Part VII-Pro Forma'!G71-'Part VII-Pro Forma'!H71</f>
        <v>#VALUE!</v>
      </c>
      <c r="F50" s="1255" t="e">
        <f>'Part VII-Pro Forma'!H71-'Part VII-Pro Forma'!I71</f>
        <v>#VALUE!</v>
      </c>
      <c r="G50" s="1255" t="e">
        <f>'Part VII-Pro Forma'!I71-'Part VII-Pro Forma'!J71</f>
        <v>#VALUE!</v>
      </c>
      <c r="H50" s="1255" t="e">
        <f>'Part VII-Pro Forma'!J71-'Part VII-Pro Forma'!K71</f>
        <v>#VALUE!</v>
      </c>
    </row>
    <row r="51" spans="1:10" ht="13.5" customHeight="1">
      <c r="A51" s="649" t="s">
        <v>3053</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3053</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3556</v>
      </c>
      <c r="B53" s="748"/>
      <c r="C53" s="1257">
        <f>'Part VII-Pro Forma'!F54</f>
        <v>-21176.256147971555</v>
      </c>
      <c r="D53" s="1257">
        <f>'Part VII-Pro Forma'!G54</f>
        <v>-21811.543832410702</v>
      </c>
      <c r="E53" s="1257">
        <f>'Part VII-Pro Forma'!H54</f>
        <v>-22465.890147383019</v>
      </c>
      <c r="F53" s="1257">
        <f>'Part VII-Pro Forma'!I54</f>
        <v>-23139.866851804509</v>
      </c>
      <c r="G53" s="1257">
        <f>'Part VII-Pro Forma'!J54</f>
        <v>-23834.062857358644</v>
      </c>
      <c r="H53" s="1257">
        <f>'Part VII-Pro Forma'!K54</f>
        <v>-24549.084743079406</v>
      </c>
    </row>
    <row r="54" spans="1:10" ht="13.5" customHeight="1">
      <c r="A54" s="747" t="s">
        <v>3557</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3056</v>
      </c>
      <c r="C55" s="750">
        <f t="shared" ref="C55:H55" si="14">$E$3/$H$3</f>
        <v>161518.25454545455</v>
      </c>
      <c r="D55" s="750">
        <f t="shared" si="14"/>
        <v>161518.25454545455</v>
      </c>
      <c r="E55" s="750">
        <f t="shared" si="14"/>
        <v>161518.25454545455</v>
      </c>
      <c r="F55" s="750">
        <f t="shared" si="14"/>
        <v>161518.25454545455</v>
      </c>
      <c r="G55" s="750">
        <f t="shared" si="14"/>
        <v>161518.25454545455</v>
      </c>
      <c r="H55" s="750">
        <f t="shared" si="14"/>
        <v>161518.25454545455</v>
      </c>
    </row>
    <row r="56" spans="1:10" ht="13.5" customHeight="1">
      <c r="A56" s="749" t="s">
        <v>3058</v>
      </c>
      <c r="C56" s="743">
        <f t="shared" ref="C56:H56" si="15">IF(C$48&lt;=$H$4,($E$4/$H$4),0)+IF(C$48&lt;=$H$5,($E$5/$H$5),0)</f>
        <v>4835.5333333333338</v>
      </c>
      <c r="D56" s="743">
        <f t="shared" si="15"/>
        <v>0</v>
      </c>
      <c r="E56" s="743">
        <f t="shared" si="15"/>
        <v>0</v>
      </c>
      <c r="F56" s="743">
        <f t="shared" si="15"/>
        <v>0</v>
      </c>
      <c r="G56" s="743">
        <f t="shared" si="15"/>
        <v>0</v>
      </c>
      <c r="H56" s="743">
        <f t="shared" si="15"/>
        <v>0</v>
      </c>
    </row>
    <row r="57" spans="1:10" ht="13.5" customHeight="1">
      <c r="A57" s="749" t="s">
        <v>3059</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3061</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3063</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3064</v>
      </c>
      <c r="C61" s="750">
        <v>0</v>
      </c>
      <c r="D61" s="750">
        <v>0</v>
      </c>
      <c r="E61" s="750">
        <v>0</v>
      </c>
      <c r="F61" s="750">
        <v>0</v>
      </c>
      <c r="G61" s="750">
        <v>0</v>
      </c>
      <c r="H61" s="743">
        <v>0</v>
      </c>
    </row>
    <row r="62" spans="1:10">
      <c r="A62" s="649" t="s">
        <v>3065</v>
      </c>
      <c r="C62" s="750">
        <v>0</v>
      </c>
      <c r="D62" s="743">
        <v>0</v>
      </c>
      <c r="E62" s="743">
        <v>0</v>
      </c>
      <c r="F62" s="743">
        <v>0</v>
      </c>
      <c r="G62" s="743">
        <v>0</v>
      </c>
      <c r="H62" s="743">
        <v>0</v>
      </c>
    </row>
    <row r="63" spans="1:10">
      <c r="A63" s="649" t="s">
        <v>3067</v>
      </c>
      <c r="C63" s="743">
        <v>0</v>
      </c>
      <c r="D63" s="743">
        <v>0</v>
      </c>
      <c r="E63" s="743">
        <v>0</v>
      </c>
      <c r="F63" s="743">
        <v>0</v>
      </c>
      <c r="G63" s="743">
        <v>0</v>
      </c>
      <c r="H63" s="743" t="e">
        <f>O33</f>
        <v>#VALUE!</v>
      </c>
    </row>
    <row r="64" spans="1:10">
      <c r="A64" s="649" t="s">
        <v>3068</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3074</v>
      </c>
      <c r="G66" s="4094" t="e">
        <f>IRR(K5:K25)</f>
        <v>#VALUE!</v>
      </c>
      <c r="H66" s="4095"/>
      <c r="I66" s="756"/>
      <c r="J66" s="756"/>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20" zoomScaleNormal="120" workbookViewId="0">
      <selection activeCell="O6" sqref="O6:P6 F34:K34 F40 I40 F38:H38 J38:K39 I62:I68 H61:H71 P61:P72 P74 H74:H75 H87:H88 H90 I161:I163 P176:P177"/>
    </sheetView>
  </sheetViews>
  <sheetFormatPr defaultColWidth="9.33203125" defaultRowHeight="13.8"/>
  <cols>
    <col min="1" max="1" width="3.33203125" style="312" customWidth="1"/>
    <col min="2" max="2" width="2.33203125" style="332" customWidth="1"/>
    <col min="3" max="16" width="8.6640625" style="312" customWidth="1"/>
    <col min="17" max="16384" width="9.33203125" style="312"/>
  </cols>
  <sheetData>
    <row r="1" spans="1:16" s="294" customFormat="1" ht="13.95" customHeight="1">
      <c r="A1" s="2915" t="str">
        <f>CONCATENATE("PART ONE - PROJECT INFORMATION"," - ",$O$6," ",$F$34,", ",'Part I-Project Information'!F38,", ",'Part I-Project Information'!J39," County")</f>
        <v>PART ONE - PROJECT INFORMATION - 2019-049 Woodstone Apartments II, Leesburg, Lee County</v>
      </c>
      <c r="B1" s="2916"/>
      <c r="C1" s="2916"/>
      <c r="D1" s="2916"/>
      <c r="E1" s="2916"/>
      <c r="F1" s="2916"/>
      <c r="G1" s="2916"/>
      <c r="H1" s="2916"/>
      <c r="I1" s="2916"/>
      <c r="J1" s="2916"/>
      <c r="K1" s="2916"/>
      <c r="L1" s="2916"/>
      <c r="M1" s="2916"/>
      <c r="N1" s="2916"/>
      <c r="O1" s="2916"/>
      <c r="P1" s="2917"/>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929" t="s">
        <v>4457</v>
      </c>
      <c r="B3" s="2929"/>
      <c r="C3" s="2929"/>
      <c r="D3" s="2929"/>
      <c r="E3" s="2929"/>
      <c r="F3" s="2929"/>
      <c r="G3" s="2929"/>
      <c r="H3" s="2929"/>
      <c r="I3" s="2929"/>
      <c r="J3" s="2929"/>
      <c r="K3" s="2929"/>
      <c r="L3" s="2929"/>
      <c r="M3" s="2929"/>
      <c r="N3" s="2929"/>
      <c r="O3" s="2929"/>
      <c r="P3" s="2929"/>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0" t="s">
        <v>2363</v>
      </c>
      <c r="F5" s="295"/>
      <c r="G5" s="270" t="s">
        <v>4866</v>
      </c>
      <c r="L5" s="878"/>
      <c r="P5" s="1079" t="s">
        <v>3867</v>
      </c>
    </row>
    <row r="6" spans="1:16" s="294" customFormat="1" ht="12" customHeight="1" thickBot="1">
      <c r="B6" s="2930" t="s">
        <v>5068</v>
      </c>
      <c r="C6" s="2930"/>
      <c r="D6" s="2930"/>
      <c r="E6" s="1289"/>
      <c r="F6" s="297"/>
      <c r="G6" s="270" t="s">
        <v>4865</v>
      </c>
      <c r="H6" s="2269"/>
      <c r="I6" s="2269"/>
      <c r="J6" s="2269"/>
      <c r="O6" s="2918" t="s">
        <v>5303</v>
      </c>
      <c r="P6" s="2919"/>
    </row>
    <row r="7" spans="1:16" s="294" customFormat="1" ht="12" customHeight="1">
      <c r="B7" s="2930"/>
      <c r="C7" s="2930"/>
      <c r="D7" s="2930"/>
      <c r="E7" s="1289"/>
      <c r="F7" s="521"/>
      <c r="G7" s="172" t="s">
        <v>3316</v>
      </c>
      <c r="H7" s="2269"/>
      <c r="I7" s="2269"/>
      <c r="J7" s="2269"/>
    </row>
    <row r="8" spans="1:16" s="294" customFormat="1" ht="6" customHeight="1">
      <c r="A8" s="480"/>
      <c r="B8" s="2930"/>
      <c r="C8" s="2930"/>
      <c r="D8" s="2930"/>
      <c r="E8" s="2269"/>
      <c r="H8" s="2269"/>
      <c r="I8" s="2269"/>
      <c r="M8" s="2269"/>
    </row>
    <row r="9" spans="1:16" s="294" customFormat="1" ht="13.2" customHeight="1">
      <c r="A9" s="296" t="s">
        <v>615</v>
      </c>
      <c r="B9" s="296" t="s">
        <v>2374</v>
      </c>
      <c r="D9" s="271"/>
      <c r="E9" s="298"/>
      <c r="F9" s="2258" t="s">
        <v>3795</v>
      </c>
      <c r="I9" s="2920">
        <f>'Part IV-A-Uses of Funds'!$J$175</f>
        <v>369181</v>
      </c>
      <c r="J9" s="2921"/>
      <c r="L9" s="294" t="s">
        <v>3796</v>
      </c>
      <c r="O9" s="2922">
        <f>'Part III-Sources of Funds'!$H$5</f>
        <v>0</v>
      </c>
      <c r="P9" s="2923"/>
    </row>
    <row r="10" spans="1:16" s="294" customFormat="1" ht="6" customHeight="1">
      <c r="A10" s="296"/>
      <c r="B10" s="296"/>
      <c r="D10" s="271"/>
      <c r="E10" s="298"/>
      <c r="F10" s="298"/>
      <c r="I10" s="299"/>
      <c r="N10" s="300"/>
    </row>
    <row r="11" spans="1:16" s="294" customFormat="1" ht="13.2" customHeight="1">
      <c r="A11" s="299" t="s">
        <v>739</v>
      </c>
      <c r="B11" s="296" t="s">
        <v>2039</v>
      </c>
      <c r="F11" s="2866" t="s">
        <v>5134</v>
      </c>
      <c r="G11" s="2867"/>
      <c r="H11" s="2868"/>
      <c r="I11" s="2476" t="s">
        <v>3712</v>
      </c>
      <c r="J11" s="502" t="s">
        <v>5069</v>
      </c>
      <c r="K11" s="304"/>
      <c r="L11" s="2269"/>
      <c r="O11" s="2924" t="s">
        <v>5133</v>
      </c>
      <c r="P11" s="2925"/>
    </row>
    <row r="12" spans="1:16" s="294" customFormat="1" ht="12.75" customHeight="1">
      <c r="A12" s="480"/>
      <c r="B12" s="2215"/>
      <c r="C12" s="2215"/>
      <c r="D12" s="2215"/>
      <c r="E12" s="2215"/>
      <c r="H12" s="2269"/>
      <c r="J12" s="1221" t="s">
        <v>5047</v>
      </c>
      <c r="K12" s="2260"/>
      <c r="M12" s="2269"/>
      <c r="O12" s="2931" t="s">
        <v>2991</v>
      </c>
      <c r="P12" s="2932"/>
    </row>
    <row r="13" spans="1:16" s="294" customFormat="1" ht="3" customHeight="1">
      <c r="A13" s="480"/>
      <c r="B13" s="2215"/>
      <c r="C13" s="2215"/>
      <c r="D13" s="2215"/>
      <c r="E13" s="2215"/>
      <c r="H13" s="2269"/>
      <c r="J13" s="503"/>
      <c r="K13" s="2260"/>
      <c r="M13" s="2269"/>
    </row>
    <row r="14" spans="1:16" s="294" customFormat="1" ht="12.75" customHeight="1">
      <c r="A14" s="480"/>
      <c r="B14" s="2215" t="s">
        <v>5048</v>
      </c>
      <c r="C14" s="2215"/>
      <c r="D14" s="2215"/>
      <c r="E14" s="2215"/>
      <c r="F14" s="2477" t="s">
        <v>2991</v>
      </c>
      <c r="G14" s="2261" t="s">
        <v>5049</v>
      </c>
      <c r="N14" s="2866" t="s">
        <v>5050</v>
      </c>
      <c r="O14" s="2867"/>
      <c r="P14" s="2868"/>
    </row>
    <row r="15" spans="1:16" s="294" customFormat="1" ht="12.75" customHeight="1">
      <c r="A15" s="480"/>
      <c r="B15" s="294" t="s">
        <v>3868</v>
      </c>
      <c r="D15" s="304"/>
      <c r="F15" s="2852"/>
      <c r="G15" s="2869"/>
      <c r="H15" s="2869"/>
      <c r="I15" s="2869"/>
      <c r="J15" s="2869"/>
      <c r="K15" s="2870"/>
      <c r="L15" s="294" t="s">
        <v>5035</v>
      </c>
      <c r="O15" s="2871"/>
      <c r="P15" s="2872"/>
    </row>
    <row r="16" spans="1:16" s="294" customFormat="1" ht="12.75" customHeight="1">
      <c r="A16" s="480"/>
      <c r="B16" s="294" t="s">
        <v>3794</v>
      </c>
      <c r="F16" s="2477" t="s">
        <v>2991</v>
      </c>
      <c r="G16" s="294" t="s">
        <v>5036</v>
      </c>
      <c r="H16" s="2269"/>
      <c r="I16" s="172"/>
      <c r="J16" s="503"/>
      <c r="N16" s="2874" t="s">
        <v>2884</v>
      </c>
      <c r="O16" s="2875"/>
      <c r="P16" s="2876"/>
    </row>
    <row r="17" spans="1:16" s="294" customFormat="1" ht="6" customHeight="1">
      <c r="I17" s="271"/>
      <c r="J17" s="271"/>
      <c r="K17" s="271"/>
      <c r="L17" s="271"/>
      <c r="M17" s="271"/>
      <c r="N17" s="271"/>
      <c r="O17" s="271"/>
      <c r="P17" s="271"/>
    </row>
    <row r="18" spans="1:16" s="294" customFormat="1" ht="13.2" customHeight="1">
      <c r="A18" s="299" t="s">
        <v>741</v>
      </c>
      <c r="B18" s="296" t="s">
        <v>4477</v>
      </c>
      <c r="D18" s="2258"/>
      <c r="E18" s="298"/>
      <c r="G18" s="301"/>
      <c r="H18" s="301"/>
      <c r="I18" s="301"/>
      <c r="L18" s="300"/>
    </row>
    <row r="19" spans="1:16" s="294" customFormat="1" ht="1.5" customHeight="1">
      <c r="A19" s="299"/>
      <c r="B19" s="298"/>
      <c r="C19" s="296"/>
      <c r="D19" s="2258"/>
      <c r="E19" s="298"/>
      <c r="G19" s="301"/>
      <c r="H19" s="301"/>
      <c r="I19" s="301"/>
      <c r="K19" s="300"/>
      <c r="L19" s="300"/>
      <c r="O19" s="878"/>
    </row>
    <row r="20" spans="1:16" s="294" customFormat="1" ht="13.2" customHeight="1">
      <c r="B20" s="294" t="s">
        <v>3877</v>
      </c>
      <c r="F20" s="2786" t="s">
        <v>5135</v>
      </c>
      <c r="G20" s="2787"/>
      <c r="H20" s="2788"/>
      <c r="I20" s="294" t="s">
        <v>1796</v>
      </c>
      <c r="J20" s="2786" t="s">
        <v>5136</v>
      </c>
      <c r="K20" s="2787"/>
      <c r="L20" s="2788"/>
      <c r="M20" s="327" t="s">
        <v>1979</v>
      </c>
      <c r="N20" s="2871" t="s">
        <v>5137</v>
      </c>
      <c r="O20" s="2883"/>
      <c r="P20" s="2872"/>
    </row>
    <row r="21" spans="1:16" s="294" customFormat="1" ht="13.2" customHeight="1">
      <c r="B21" s="2258" t="s">
        <v>1980</v>
      </c>
      <c r="F21" s="2854" t="s">
        <v>5138</v>
      </c>
      <c r="G21" s="2794"/>
      <c r="H21" s="2794"/>
      <c r="I21" s="2855"/>
      <c r="J21" s="2794"/>
      <c r="K21" s="2855"/>
      <c r="L21" s="2823"/>
      <c r="M21" s="2926" t="s">
        <v>3876</v>
      </c>
      <c r="N21" s="2927"/>
      <c r="O21" s="2927"/>
      <c r="P21" s="2927"/>
    </row>
    <row r="22" spans="1:16" s="294" customFormat="1" ht="13.2" customHeight="1">
      <c r="B22" s="2258" t="s">
        <v>617</v>
      </c>
      <c r="F22" s="2854" t="s">
        <v>5139</v>
      </c>
      <c r="G22" s="2794"/>
      <c r="H22" s="2856"/>
      <c r="I22" s="2258" t="s">
        <v>1798</v>
      </c>
      <c r="J22" s="2478" t="s">
        <v>837</v>
      </c>
      <c r="M22" s="2926"/>
      <c r="N22" s="2926"/>
      <c r="O22" s="2926"/>
      <c r="P22" s="2926"/>
    </row>
    <row r="23" spans="1:16" s="294" customFormat="1" ht="13.2" customHeight="1">
      <c r="B23" s="2261" t="s">
        <v>2228</v>
      </c>
      <c r="F23" s="2904">
        <v>359500032</v>
      </c>
      <c r="G23" s="2928"/>
      <c r="H23" s="2905"/>
      <c r="I23" s="2258" t="s">
        <v>1719</v>
      </c>
      <c r="J23" s="2873">
        <v>2568786054</v>
      </c>
      <c r="K23" s="2785"/>
      <c r="L23" s="2273" t="s">
        <v>1718</v>
      </c>
      <c r="M23" s="2479"/>
      <c r="N23" s="2261" t="s">
        <v>1720</v>
      </c>
      <c r="O23" s="2783">
        <v>2568786054</v>
      </c>
      <c r="P23" s="2785"/>
    </row>
    <row r="24" spans="1:16" s="294" customFormat="1" ht="13.2" customHeight="1">
      <c r="B24" s="2261" t="s">
        <v>1983</v>
      </c>
      <c r="F24" s="2791" t="s">
        <v>5140</v>
      </c>
      <c r="G24" s="2792"/>
      <c r="H24" s="2792"/>
      <c r="I24" s="2883"/>
      <c r="J24" s="2792"/>
      <c r="K24" s="2793"/>
      <c r="N24" s="2261" t="s">
        <v>1978</v>
      </c>
      <c r="O24" s="2848">
        <v>2565582773</v>
      </c>
      <c r="P24" s="2850"/>
    </row>
    <row r="25" spans="1:16" s="294" customFormat="1" ht="13.5" customHeight="1">
      <c r="A25" s="480"/>
      <c r="B25" s="296" t="s">
        <v>4476</v>
      </c>
      <c r="C25" s="302"/>
      <c r="D25" s="2266"/>
      <c r="E25" s="2266"/>
      <c r="F25" s="2266"/>
      <c r="H25" s="2269"/>
      <c r="I25" s="2266"/>
      <c r="J25" s="302"/>
      <c r="K25" s="2266"/>
      <c r="P25" s="303"/>
    </row>
    <row r="26" spans="1:16" s="294" customFormat="1" ht="13.2" customHeight="1">
      <c r="B26" s="294" t="s">
        <v>3877</v>
      </c>
      <c r="F26" s="2786" t="s">
        <v>5135</v>
      </c>
      <c r="G26" s="2787"/>
      <c r="H26" s="2788"/>
      <c r="I26" s="294" t="s">
        <v>1796</v>
      </c>
      <c r="J26" s="2786" t="s">
        <v>5141</v>
      </c>
      <c r="K26" s="2787"/>
      <c r="L26" s="2788"/>
      <c r="M26" s="327" t="s">
        <v>1979</v>
      </c>
      <c r="N26" s="2871" t="s">
        <v>5142</v>
      </c>
      <c r="O26" s="2883"/>
      <c r="P26" s="2872"/>
    </row>
    <row r="27" spans="1:16" s="294" customFormat="1" ht="13.2" customHeight="1">
      <c r="B27" s="2258" t="s">
        <v>1980</v>
      </c>
      <c r="F27" s="2854" t="s">
        <v>5138</v>
      </c>
      <c r="G27" s="2794"/>
      <c r="H27" s="2794"/>
      <c r="I27" s="2855"/>
      <c r="J27" s="2794"/>
      <c r="K27" s="2855"/>
      <c r="L27" s="2823"/>
      <c r="M27" s="2926" t="s">
        <v>3876</v>
      </c>
      <c r="N27" s="2927"/>
      <c r="O27" s="2927"/>
      <c r="P27" s="2927"/>
    </row>
    <row r="28" spans="1:16" s="294" customFormat="1" ht="13.2" customHeight="1">
      <c r="B28" s="2258" t="s">
        <v>617</v>
      </c>
      <c r="F28" s="2854" t="s">
        <v>5139</v>
      </c>
      <c r="G28" s="2794"/>
      <c r="H28" s="2856"/>
      <c r="I28" s="2258" t="s">
        <v>1798</v>
      </c>
      <c r="J28" s="2478" t="s">
        <v>837</v>
      </c>
      <c r="M28" s="2926"/>
      <c r="N28" s="2926"/>
      <c r="O28" s="2926"/>
      <c r="P28" s="2926"/>
    </row>
    <row r="29" spans="1:16" s="294" customFormat="1" ht="13.2" customHeight="1">
      <c r="B29" s="2261" t="s">
        <v>2228</v>
      </c>
      <c r="F29" s="2904">
        <v>359500032</v>
      </c>
      <c r="G29" s="2928"/>
      <c r="H29" s="2905"/>
      <c r="I29" s="2258" t="s">
        <v>1719</v>
      </c>
      <c r="J29" s="2873">
        <v>2568786054</v>
      </c>
      <c r="K29" s="2785"/>
      <c r="L29" s="2273" t="s">
        <v>1718</v>
      </c>
      <c r="M29" s="2479"/>
      <c r="N29" s="2261" t="s">
        <v>1720</v>
      </c>
      <c r="O29" s="2783">
        <v>2568786054</v>
      </c>
      <c r="P29" s="2785"/>
    </row>
    <row r="30" spans="1:16" s="294" customFormat="1" ht="13.2" customHeight="1">
      <c r="B30" s="2261" t="s">
        <v>1983</v>
      </c>
      <c r="F30" s="2791" t="s">
        <v>5143</v>
      </c>
      <c r="G30" s="2792"/>
      <c r="H30" s="2792"/>
      <c r="I30" s="2883"/>
      <c r="J30" s="2792"/>
      <c r="K30" s="2793"/>
      <c r="N30" s="2261" t="s">
        <v>1978</v>
      </c>
      <c r="O30" s="2848">
        <v>2565722208</v>
      </c>
      <c r="P30" s="2850"/>
    </row>
    <row r="31" spans="1:16" s="294" customFormat="1" ht="6" customHeight="1">
      <c r="A31" s="480"/>
      <c r="B31" s="480"/>
      <c r="C31" s="302"/>
      <c r="D31" s="2266"/>
      <c r="E31" s="2266"/>
      <c r="F31" s="2266"/>
      <c r="H31" s="2269"/>
      <c r="I31" s="2266"/>
      <c r="J31" s="302"/>
      <c r="K31" s="2266"/>
      <c r="P31" s="303"/>
    </row>
    <row r="32" spans="1:16" s="294" customFormat="1" ht="13.2" customHeight="1">
      <c r="A32" s="299" t="s">
        <v>1791</v>
      </c>
      <c r="B32" s="296" t="s">
        <v>1473</v>
      </c>
      <c r="D32" s="271"/>
      <c r="E32" s="298"/>
      <c r="F32" s="298"/>
      <c r="G32" s="2258"/>
      <c r="H32" s="298"/>
      <c r="I32" s="298"/>
      <c r="J32" s="301"/>
      <c r="L32" s="300"/>
      <c r="M32" s="300"/>
    </row>
    <row r="33" spans="1:16" s="294" customFormat="1" ht="1.5" customHeight="1">
      <c r="A33" s="299"/>
      <c r="B33" s="296"/>
      <c r="D33" s="271"/>
      <c r="E33" s="298"/>
      <c r="F33" s="298"/>
      <c r="G33" s="2258"/>
      <c r="H33" s="298"/>
      <c r="I33" s="298"/>
      <c r="J33" s="301"/>
      <c r="L33" s="300"/>
    </row>
    <row r="34" spans="1:16" s="294" customFormat="1" ht="13.2" customHeight="1">
      <c r="A34" s="296"/>
      <c r="B34" s="294" t="s">
        <v>616</v>
      </c>
      <c r="D34" s="304"/>
      <c r="F34" s="2908" t="s">
        <v>5144</v>
      </c>
      <c r="G34" s="2909"/>
      <c r="H34" s="2909"/>
      <c r="I34" s="2909"/>
      <c r="J34" s="2909"/>
      <c r="K34" s="2910"/>
      <c r="L34" s="2261" t="s">
        <v>2191</v>
      </c>
      <c r="O34" s="2786" t="s">
        <v>2991</v>
      </c>
      <c r="P34" s="2788"/>
    </row>
    <row r="35" spans="1:16" s="294" customFormat="1" ht="13.2" customHeight="1">
      <c r="A35" s="305"/>
      <c r="B35" s="294" t="s">
        <v>2698</v>
      </c>
      <c r="D35" s="306"/>
      <c r="F35" s="2780" t="s">
        <v>5281</v>
      </c>
      <c r="G35" s="2781"/>
      <c r="H35" s="2781"/>
      <c r="I35" s="2781"/>
      <c r="J35" s="2781"/>
      <c r="K35" s="2782"/>
      <c r="L35" s="294" t="s">
        <v>3680</v>
      </c>
      <c r="O35" s="2822"/>
      <c r="P35" s="2856"/>
    </row>
    <row r="36" spans="1:16" s="294" customFormat="1" ht="13.2" customHeight="1">
      <c r="A36" s="305"/>
      <c r="B36" s="294" t="s">
        <v>2732</v>
      </c>
      <c r="D36" s="306"/>
      <c r="F36" s="2822" t="s">
        <v>5281</v>
      </c>
      <c r="G36" s="2794"/>
      <c r="H36" s="2794"/>
      <c r="I36" s="2855"/>
      <c r="J36" s="2794"/>
      <c r="K36" s="2856"/>
      <c r="L36" s="2261" t="s">
        <v>2049</v>
      </c>
      <c r="N36" s="2479" t="s">
        <v>2991</v>
      </c>
      <c r="O36" s="2269" t="s">
        <v>3679</v>
      </c>
      <c r="P36" s="2480">
        <v>1</v>
      </c>
    </row>
    <row r="37" spans="1:16" s="294" customFormat="1" ht="13.2" customHeight="1">
      <c r="A37" s="305"/>
      <c r="B37" s="294" t="s">
        <v>3733</v>
      </c>
      <c r="D37" s="306"/>
      <c r="F37" s="294" t="s">
        <v>3714</v>
      </c>
      <c r="G37" s="2902">
        <v>31.732171999999998</v>
      </c>
      <c r="H37" s="2903"/>
      <c r="I37" s="2273" t="s">
        <v>3715</v>
      </c>
      <c r="J37" s="2902">
        <v>84.153563000000005</v>
      </c>
      <c r="K37" s="2903"/>
      <c r="L37" s="2261" t="s">
        <v>2282</v>
      </c>
      <c r="O37" s="2911">
        <v>5.7460000000000004</v>
      </c>
      <c r="P37" s="2912"/>
    </row>
    <row r="38" spans="1:16" s="294" customFormat="1" ht="13.2" customHeight="1">
      <c r="A38" s="480"/>
      <c r="B38" s="294" t="s">
        <v>617</v>
      </c>
      <c r="F38" s="2786" t="s">
        <v>1491</v>
      </c>
      <c r="G38" s="2913"/>
      <c r="H38" s="2914"/>
      <c r="I38" s="310" t="s">
        <v>2699</v>
      </c>
      <c r="J38" s="2904">
        <v>317633787</v>
      </c>
      <c r="K38" s="2905"/>
      <c r="L38" s="365" t="str">
        <f>IF(AND(NOT(F34=""),NOT(F38="Select from list"),J38=""),"Enter Zip!","")</f>
        <v/>
      </c>
      <c r="M38" s="308" t="s">
        <v>2904</v>
      </c>
      <c r="O38" s="2906" t="s">
        <v>5146</v>
      </c>
      <c r="P38" s="2907"/>
    </row>
    <row r="39" spans="1:16" s="294" customFormat="1" ht="13.2" customHeight="1">
      <c r="A39" s="480"/>
      <c r="B39" s="2266" t="s">
        <v>3566</v>
      </c>
      <c r="D39" s="2266"/>
      <c r="F39" s="2822" t="s">
        <v>5145</v>
      </c>
      <c r="G39" s="2855"/>
      <c r="H39" s="2823"/>
      <c r="I39" s="307" t="s">
        <v>618</v>
      </c>
      <c r="J39" s="2939" t="str">
        <f>IF($F$38="","",VLOOKUP($F$38,'DCA Underwriting Assumptions'!$T$158:$U$786,2,FALSE))</f>
        <v>Lee</v>
      </c>
      <c r="K39" s="2940"/>
      <c r="M39" s="2261" t="s">
        <v>451</v>
      </c>
      <c r="N39" s="2481" t="s">
        <v>2991</v>
      </c>
      <c r="O39" s="2269" t="s">
        <v>452</v>
      </c>
      <c r="P39" s="2482" t="s">
        <v>2991</v>
      </c>
    </row>
    <row r="40" spans="1:16" s="294" customFormat="1" ht="13.2" customHeight="1">
      <c r="A40" s="480"/>
      <c r="B40" s="296"/>
      <c r="C40" s="294" t="s">
        <v>1557</v>
      </c>
      <c r="F40" s="2483" t="s">
        <v>2988</v>
      </c>
      <c r="G40" s="2941" t="s">
        <v>2779</v>
      </c>
      <c r="H40" s="2942"/>
      <c r="I40" s="509" t="str">
        <f>IF($J$39="","",IF(VLOOKUP($J$39,'DCA Underwriting Assumptions'!G158:M317,7,FALSE)="Rural","Yes",IF(VLOOKUP($J$39,'DCA Underwriting Assumptions'!G158:M317,7,FALSE)="Urban","No","")))</f>
        <v>Yes</v>
      </c>
      <c r="J40" s="2273" t="s">
        <v>2799</v>
      </c>
      <c r="K40" s="2273" t="str">
        <f>IF(OR(F40="Yes",I40="Yes"),"Rural","Urban")</f>
        <v>Rural</v>
      </c>
      <c r="M40" s="2261" t="s">
        <v>2610</v>
      </c>
      <c r="N40" s="421" t="str">
        <f>VLOOKUP($J$39,'DCA Underwriting Assumptions'!$G$158:$J$317,4)</f>
        <v>MSA</v>
      </c>
      <c r="O40" s="2943" t="str">
        <f>IF($F$38="","",VLOOKUP($J$39,'DCA Underwriting Assumptions'!$G$158:$L$317,3,FALSE))</f>
        <v>Albany</v>
      </c>
      <c r="P40" s="2944"/>
    </row>
    <row r="41" spans="1:16" s="294" customFormat="1" ht="6" customHeight="1">
      <c r="A41" s="480"/>
      <c r="B41" s="296"/>
      <c r="C41" s="296"/>
      <c r="I41" s="2258"/>
      <c r="J41" s="2266"/>
      <c r="L41" s="2278"/>
      <c r="M41" s="2278"/>
      <c r="N41" s="2278"/>
      <c r="O41" s="2278"/>
      <c r="P41" s="2278"/>
    </row>
    <row r="42" spans="1:16" s="294" customFormat="1" ht="13.2" customHeight="1">
      <c r="A42" s="480"/>
      <c r="C42" s="294" t="s">
        <v>2741</v>
      </c>
      <c r="F42" s="2945" t="s">
        <v>2760</v>
      </c>
      <c r="G42" s="2945"/>
      <c r="H42" s="2946" t="s">
        <v>735</v>
      </c>
      <c r="I42" s="2946"/>
      <c r="J42" s="2946" t="s">
        <v>736</v>
      </c>
      <c r="K42" s="2946"/>
      <c r="L42" s="496" t="s">
        <v>4941</v>
      </c>
    </row>
    <row r="43" spans="1:16" s="294" customFormat="1" ht="13.2" customHeight="1">
      <c r="A43" s="480"/>
      <c r="B43" s="294" t="s">
        <v>2759</v>
      </c>
      <c r="D43" s="296"/>
      <c r="F43" s="2933">
        <v>2</v>
      </c>
      <c r="G43" s="2934"/>
      <c r="H43" s="2933">
        <v>13</v>
      </c>
      <c r="I43" s="2934"/>
      <c r="J43" s="2933">
        <v>152</v>
      </c>
      <c r="K43" s="2934"/>
      <c r="L43" s="492" t="s">
        <v>1282</v>
      </c>
      <c r="N43" s="2935" t="s">
        <v>1283</v>
      </c>
      <c r="O43" s="2935"/>
      <c r="P43" s="2935"/>
    </row>
    <row r="44" spans="1:16" s="294" customFormat="1" ht="12.75" customHeight="1">
      <c r="A44" s="480"/>
      <c r="B44" s="2258" t="s">
        <v>737</v>
      </c>
      <c r="F44" s="2936"/>
      <c r="G44" s="2937"/>
      <c r="H44" s="2936"/>
      <c r="I44" s="2937"/>
      <c r="J44" s="2936"/>
      <c r="K44" s="2937"/>
      <c r="L44" s="492" t="s">
        <v>2758</v>
      </c>
      <c r="N44" s="2938" t="s">
        <v>2757</v>
      </c>
      <c r="O44" s="2938"/>
    </row>
    <row r="45" spans="1:16" s="294" customFormat="1" ht="3" customHeight="1">
      <c r="A45" s="480"/>
      <c r="I45" s="2278"/>
      <c r="J45" s="2278"/>
      <c r="K45" s="2278"/>
      <c r="L45" s="2266"/>
      <c r="M45" s="2266"/>
      <c r="N45" s="2266"/>
      <c r="O45" s="2266"/>
      <c r="P45" s="2266"/>
    </row>
    <row r="46" spans="1:16" s="294" customFormat="1" ht="13.2" customHeight="1">
      <c r="A46" s="480"/>
      <c r="B46" s="296" t="s">
        <v>636</v>
      </c>
      <c r="F46" s="2879" t="s">
        <v>5147</v>
      </c>
      <c r="G46" s="2880"/>
      <c r="H46" s="2880"/>
      <c r="I46" s="2881"/>
      <c r="J46" s="2880"/>
      <c r="K46" s="2882"/>
      <c r="L46" s="877" t="s">
        <v>2703</v>
      </c>
      <c r="M46" s="2871" t="s">
        <v>5148</v>
      </c>
      <c r="N46" s="2883"/>
      <c r="O46" s="2883"/>
      <c r="P46" s="2872"/>
    </row>
    <row r="47" spans="1:16" s="294" customFormat="1" ht="13.2" customHeight="1">
      <c r="A47" s="480"/>
      <c r="B47" s="294" t="s">
        <v>637</v>
      </c>
      <c r="F47" s="2884" t="s">
        <v>5149</v>
      </c>
      <c r="G47" s="2885"/>
      <c r="H47" s="2886"/>
      <c r="I47" s="1054" t="s">
        <v>1979</v>
      </c>
      <c r="J47" s="2780" t="s">
        <v>5150</v>
      </c>
      <c r="K47" s="2782"/>
      <c r="L47" s="877"/>
    </row>
    <row r="48" spans="1:16" s="294" customFormat="1" ht="13.2" customHeight="1">
      <c r="A48" s="480"/>
      <c r="B48" s="294" t="s">
        <v>1980</v>
      </c>
      <c r="F48" s="2887" t="s">
        <v>5151</v>
      </c>
      <c r="G48" s="2888"/>
      <c r="H48" s="2889"/>
      <c r="I48" s="2880"/>
      <c r="J48" s="2888"/>
      <c r="K48" s="2890"/>
      <c r="L48" s="2259" t="s">
        <v>617</v>
      </c>
      <c r="M48" s="2891" t="s">
        <v>1491</v>
      </c>
      <c r="N48" s="2892"/>
      <c r="O48" s="2892"/>
      <c r="P48" s="2893"/>
    </row>
    <row r="49" spans="1:19" s="294" customFormat="1" ht="13.2" customHeight="1">
      <c r="A49" s="480"/>
      <c r="B49" s="2261" t="s">
        <v>2228</v>
      </c>
      <c r="F49" s="2894">
        <v>317634366</v>
      </c>
      <c r="G49" s="2895"/>
      <c r="H49" s="2273" t="s">
        <v>1981</v>
      </c>
      <c r="I49" s="2896">
        <v>2297596465</v>
      </c>
      <c r="J49" s="2897"/>
      <c r="K49" s="2898"/>
      <c r="L49" s="2258" t="s">
        <v>1799</v>
      </c>
      <c r="M49" s="2899" t="s">
        <v>5299</v>
      </c>
      <c r="N49" s="2900"/>
      <c r="O49" s="2900"/>
      <c r="P49" s="2901"/>
    </row>
    <row r="50" spans="1:19" s="294" customFormat="1" ht="6" customHeight="1">
      <c r="A50" s="480"/>
      <c r="B50" s="480"/>
      <c r="C50" s="309"/>
      <c r="D50" s="310"/>
      <c r="E50" s="310"/>
      <c r="F50" s="2269"/>
      <c r="G50" s="2269"/>
      <c r="H50" s="2269"/>
      <c r="I50" s="2269"/>
      <c r="J50" s="310"/>
      <c r="K50" s="2269"/>
      <c r="L50" s="2269"/>
      <c r="N50" s="2266"/>
      <c r="O50" s="2266"/>
      <c r="P50" s="303"/>
    </row>
    <row r="51" spans="1:19" s="294" customFormat="1" ht="12" customHeight="1">
      <c r="A51" s="299" t="s">
        <v>1793</v>
      </c>
      <c r="B51" s="296" t="s">
        <v>1474</v>
      </c>
      <c r="F51" s="311"/>
      <c r="I51" s="2261"/>
      <c r="J51" s="2266"/>
      <c r="K51" s="2266"/>
      <c r="L51" s="2266"/>
      <c r="M51" s="2266"/>
    </row>
    <row r="52" spans="1:19" s="294" customFormat="1" ht="1.5" customHeight="1">
      <c r="A52" s="480"/>
      <c r="B52" s="296"/>
      <c r="C52" s="296"/>
      <c r="I52" s="2261"/>
      <c r="J52" s="2266"/>
      <c r="K52" s="2266"/>
      <c r="L52" s="2266"/>
      <c r="M52" s="2266"/>
      <c r="N52" s="2266"/>
      <c r="O52" s="2266"/>
      <c r="P52" s="2266"/>
      <c r="Q52" s="2266"/>
    </row>
    <row r="53" spans="1:19" s="294" customFormat="1">
      <c r="A53" s="480"/>
      <c r="B53" s="480" t="s">
        <v>1982</v>
      </c>
      <c r="C53" s="296" t="s">
        <v>717</v>
      </c>
      <c r="I53" s="2266"/>
      <c r="J53" s="2266"/>
      <c r="K53" s="493"/>
      <c r="L53" s="2266"/>
      <c r="M53" s="495"/>
      <c r="N53" s="495"/>
      <c r="O53" s="495"/>
      <c r="P53" s="495"/>
      <c r="Q53" s="2269"/>
    </row>
    <row r="54" spans="1:19" ht="13.2" customHeight="1">
      <c r="B54" s="480"/>
      <c r="C54" s="294" t="s">
        <v>2294</v>
      </c>
      <c r="D54" s="294"/>
      <c r="E54" s="294"/>
      <c r="H54" s="1071">
        <f>'Part VI-Revenues &amp; Expenses'!$O$103</f>
        <v>0</v>
      </c>
      <c r="K54" s="2258" t="s">
        <v>3671</v>
      </c>
      <c r="L54" s="294"/>
      <c r="M54" s="925" t="s">
        <v>3670</v>
      </c>
      <c r="N54" s="313">
        <f>'Part VI-Revenues &amp; Expenses'!$O$110</f>
        <v>0</v>
      </c>
      <c r="O54" s="926" t="s">
        <v>3355</v>
      </c>
      <c r="P54" s="313">
        <f>'Part VI-Revenues &amp; Expenses'!$O$111</f>
        <v>0</v>
      </c>
      <c r="Q54" s="2269"/>
    </row>
    <row r="55" spans="1:19" s="294" customFormat="1">
      <c r="A55" s="480"/>
      <c r="B55" s="480"/>
      <c r="C55" s="314" t="s">
        <v>347</v>
      </c>
      <c r="H55" s="1072">
        <f>'Part VI-Revenues &amp; Expenses'!$O$109</f>
        <v>0</v>
      </c>
      <c r="K55" s="314" t="s">
        <v>366</v>
      </c>
      <c r="P55" s="313">
        <f>'Part VI-Revenues &amp; Expenses'!$O$113</f>
        <v>0</v>
      </c>
    </row>
    <row r="56" spans="1:19" s="294" customFormat="1" ht="13.2" customHeight="1">
      <c r="B56" s="480"/>
      <c r="C56" s="2258" t="s">
        <v>346</v>
      </c>
      <c r="D56" s="2266"/>
      <c r="H56" s="1073">
        <f>'Part VI-Revenues &amp; Expenses'!$O$106</f>
        <v>40</v>
      </c>
      <c r="I56" s="481" t="s">
        <v>2908</v>
      </c>
      <c r="K56" s="294" t="s">
        <v>348</v>
      </c>
      <c r="P56" s="2484">
        <v>36109</v>
      </c>
      <c r="Q56" s="2269"/>
    </row>
    <row r="57" spans="1:19" s="294" customFormat="1" ht="3.6" customHeight="1">
      <c r="A57" s="480"/>
      <c r="P57" s="2266"/>
    </row>
    <row r="58" spans="1:19" s="294" customFormat="1">
      <c r="A58" s="480"/>
      <c r="B58" s="480" t="s">
        <v>1984</v>
      </c>
      <c r="C58" s="296" t="s">
        <v>2295</v>
      </c>
      <c r="H58" s="2485" t="s">
        <v>2991</v>
      </c>
      <c r="K58" s="2266"/>
      <c r="L58" s="2266"/>
      <c r="M58" s="2266"/>
      <c r="N58" s="2266"/>
      <c r="O58" s="495"/>
      <c r="P58" s="493"/>
      <c r="Q58" s="2266"/>
    </row>
    <row r="59" spans="1:19" s="294" customFormat="1" ht="3" customHeight="1">
      <c r="A59" s="480"/>
      <c r="I59" s="2266"/>
      <c r="J59" s="493"/>
      <c r="K59" s="494"/>
      <c r="L59" s="493"/>
      <c r="M59" s="494"/>
      <c r="N59" s="494"/>
      <c r="O59" s="494"/>
      <c r="P59" s="494"/>
      <c r="Q59" s="2266"/>
    </row>
    <row r="60" spans="1:19" s="294" customFormat="1" ht="13.2" customHeight="1">
      <c r="A60" s="480"/>
      <c r="B60" s="305" t="s">
        <v>748</v>
      </c>
      <c r="C60" s="304" t="s">
        <v>2275</v>
      </c>
      <c r="D60" s="2266"/>
      <c r="I60" s="2270" t="s">
        <v>3562</v>
      </c>
      <c r="J60" s="305" t="s">
        <v>2114</v>
      </c>
      <c r="K60" s="315" t="s">
        <v>2301</v>
      </c>
      <c r="M60" s="2266"/>
      <c r="N60" s="2266"/>
      <c r="O60" s="2266"/>
      <c r="P60" s="2269"/>
      <c r="Q60" s="2269"/>
      <c r="R60" s="2269"/>
      <c r="S60" s="2266"/>
    </row>
    <row r="61" spans="1:19" s="294" customFormat="1" ht="13.2" customHeight="1">
      <c r="A61" s="480"/>
      <c r="B61" s="2262"/>
      <c r="C61" s="302" t="s">
        <v>2276</v>
      </c>
      <c r="D61" s="2266"/>
      <c r="E61" s="2266"/>
      <c r="H61" s="634">
        <f>SUM(H62:H68)</f>
        <v>39</v>
      </c>
      <c r="I61" s="634">
        <f>SUM(I62:I68)</f>
        <v>0</v>
      </c>
      <c r="J61" s="480"/>
      <c r="K61" s="302" t="s">
        <v>2771</v>
      </c>
      <c r="M61" s="2266"/>
      <c r="N61" s="2266"/>
      <c r="O61" s="2266"/>
      <c r="P61" s="1978">
        <f>SUM(P62:P68)</f>
        <v>34661</v>
      </c>
    </row>
    <row r="62" spans="1:19" s="294" customFormat="1" ht="13.2" customHeight="1">
      <c r="A62" s="480"/>
      <c r="B62" s="2262"/>
      <c r="C62" s="302"/>
      <c r="D62" s="317" t="s">
        <v>4711</v>
      </c>
      <c r="E62" s="2266"/>
      <c r="H62" s="848">
        <f>'Part VI-Revenues &amp; Expenses'!$O56</f>
        <v>0</v>
      </c>
      <c r="I62" s="848">
        <f>'Part VI-Revenues &amp; Expenses'!$O81</f>
        <v>0</v>
      </c>
      <c r="J62" s="480"/>
      <c r="K62" s="302"/>
      <c r="L62" s="317" t="s">
        <v>4711</v>
      </c>
      <c r="M62" s="2266"/>
      <c r="N62" s="2266"/>
      <c r="O62" s="2266"/>
      <c r="P62" s="848">
        <f>'Part VI-Revenues &amp; Expenses'!$O145</f>
        <v>0</v>
      </c>
    </row>
    <row r="63" spans="1:19" s="294" customFormat="1" ht="13.2" customHeight="1">
      <c r="A63" s="480"/>
      <c r="B63" s="2262"/>
      <c r="C63" s="302"/>
      <c r="D63" s="317" t="s">
        <v>4712</v>
      </c>
      <c r="E63" s="2266"/>
      <c r="H63" s="1980">
        <f>'Part VI-Revenues &amp; Expenses'!$O57</f>
        <v>0</v>
      </c>
      <c r="I63" s="1980">
        <f>'Part VI-Revenues &amp; Expenses'!$O82</f>
        <v>0</v>
      </c>
      <c r="J63" s="480"/>
      <c r="K63" s="302"/>
      <c r="L63" s="317" t="s">
        <v>4712</v>
      </c>
      <c r="M63" s="2266"/>
      <c r="N63" s="2266"/>
      <c r="O63" s="2266"/>
      <c r="P63" s="1980">
        <f>'Part VI-Revenues &amp; Expenses'!$O146</f>
        <v>0</v>
      </c>
    </row>
    <row r="64" spans="1:19" s="294" customFormat="1" ht="13.2" customHeight="1">
      <c r="A64" s="480"/>
      <c r="B64" s="312"/>
      <c r="D64" s="317" t="s">
        <v>4709</v>
      </c>
      <c r="E64" s="317"/>
      <c r="H64" s="1980">
        <f>'Part VI-Revenues &amp; Expenses'!$O58</f>
        <v>19</v>
      </c>
      <c r="I64" s="1980">
        <f>'Part VI-Revenues &amp; Expenses'!$O83</f>
        <v>0</v>
      </c>
      <c r="L64" s="317" t="s">
        <v>4709</v>
      </c>
      <c r="O64" s="2266"/>
      <c r="P64" s="1980">
        <f>'Part VI-Revenues &amp; Expenses'!$O147</f>
        <v>16873</v>
      </c>
    </row>
    <row r="65" spans="1:16" s="294" customFormat="1" ht="13.2" customHeight="1">
      <c r="A65" s="480"/>
      <c r="D65" s="317" t="s">
        <v>4710</v>
      </c>
      <c r="E65" s="2266"/>
      <c r="H65" s="1980">
        <f>'Part VI-Revenues &amp; Expenses'!$O59</f>
        <v>20</v>
      </c>
      <c r="I65" s="1980">
        <f>'Part VI-Revenues &amp; Expenses'!$O84</f>
        <v>0</v>
      </c>
      <c r="L65" s="317" t="s">
        <v>4710</v>
      </c>
      <c r="O65" s="2266"/>
      <c r="P65" s="1980">
        <f>'Part VI-Revenues &amp; Expenses'!$O148</f>
        <v>17788</v>
      </c>
    </row>
    <row r="66" spans="1:16" s="294" customFormat="1" ht="13.2" customHeight="1">
      <c r="A66" s="480"/>
      <c r="D66" s="317" t="s">
        <v>4713</v>
      </c>
      <c r="E66" s="317"/>
      <c r="H66" s="1980">
        <f>'Part VI-Revenues &amp; Expenses'!$O60</f>
        <v>0</v>
      </c>
      <c r="I66" s="1980">
        <f>'Part VI-Revenues &amp; Expenses'!$O85</f>
        <v>0</v>
      </c>
      <c r="L66" s="317" t="s">
        <v>4713</v>
      </c>
      <c r="O66" s="2266"/>
      <c r="P66" s="1980">
        <f>'Part VI-Revenues &amp; Expenses'!$O149</f>
        <v>0</v>
      </c>
    </row>
    <row r="67" spans="1:16" s="294" customFormat="1" ht="13.2" customHeight="1">
      <c r="A67" s="480"/>
      <c r="D67" s="317" t="s">
        <v>4714</v>
      </c>
      <c r="E67" s="317"/>
      <c r="H67" s="1980">
        <f>'Part VI-Revenues &amp; Expenses'!$O61</f>
        <v>0</v>
      </c>
      <c r="I67" s="1980">
        <f>'Part VI-Revenues &amp; Expenses'!$O86</f>
        <v>0</v>
      </c>
      <c r="L67" s="317" t="s">
        <v>4714</v>
      </c>
      <c r="O67" s="2266"/>
      <c r="P67" s="1980">
        <f>'Part VI-Revenues &amp; Expenses'!$O150</f>
        <v>0</v>
      </c>
    </row>
    <row r="68" spans="1:16" s="294" customFormat="1" ht="13.2" customHeight="1">
      <c r="A68" s="480"/>
      <c r="D68" s="317" t="s">
        <v>4715</v>
      </c>
      <c r="E68" s="317"/>
      <c r="H68" s="849">
        <f>'Part VI-Revenues &amp; Expenses'!$O62</f>
        <v>0</v>
      </c>
      <c r="I68" s="849">
        <f>'Part VI-Revenues &amp; Expenses'!$O87</f>
        <v>0</v>
      </c>
      <c r="L68" s="317" t="s">
        <v>4715</v>
      </c>
      <c r="O68" s="2266"/>
      <c r="P68" s="849">
        <f>'Part VI-Revenues &amp; Expenses'!$O151</f>
        <v>0</v>
      </c>
    </row>
    <row r="69" spans="1:16" s="294" customFormat="1" ht="13.2" customHeight="1">
      <c r="A69" s="480"/>
      <c r="C69" s="302" t="s">
        <v>253</v>
      </c>
      <c r="D69" s="2266"/>
      <c r="E69" s="2266"/>
      <c r="H69" s="1979">
        <f>'Part VI-Revenues &amp; Expenses'!$O$64</f>
        <v>0</v>
      </c>
      <c r="J69" s="480"/>
      <c r="K69" s="302" t="s">
        <v>2772</v>
      </c>
      <c r="M69" s="2266"/>
      <c r="N69" s="2266"/>
      <c r="O69" s="2266"/>
      <c r="P69" s="1981">
        <f>'Part VI-Revenues &amp; Expenses'!$O$153</f>
        <v>0</v>
      </c>
    </row>
    <row r="70" spans="1:16" s="294" customFormat="1" ht="13.2" customHeight="1">
      <c r="A70" s="480"/>
      <c r="C70" s="302" t="s">
        <v>2406</v>
      </c>
      <c r="D70" s="2266"/>
      <c r="E70" s="2266"/>
      <c r="H70" s="848">
        <f>H61+H69</f>
        <v>39</v>
      </c>
      <c r="J70" s="480"/>
      <c r="K70" s="302" t="s">
        <v>2773</v>
      </c>
      <c r="M70" s="2266"/>
      <c r="N70" s="2266"/>
      <c r="O70" s="2266"/>
      <c r="P70" s="848">
        <f>P61+P69</f>
        <v>34661</v>
      </c>
    </row>
    <row r="71" spans="1:16" s="294" customFormat="1" ht="13.2" customHeight="1">
      <c r="A71" s="480"/>
      <c r="C71" s="302" t="s">
        <v>2407</v>
      </c>
      <c r="D71" s="2266"/>
      <c r="E71" s="2266"/>
      <c r="H71" s="849">
        <f>'Part VI-Revenues &amp; Expenses'!$O$66</f>
        <v>1</v>
      </c>
      <c r="J71" s="480"/>
      <c r="K71" s="302" t="s">
        <v>2774</v>
      </c>
      <c r="M71" s="2266"/>
      <c r="N71" s="2266"/>
      <c r="O71" s="2266"/>
      <c r="P71" s="849">
        <f>'Part VI-Revenues &amp; Expenses'!$O$155</f>
        <v>915</v>
      </c>
    </row>
    <row r="72" spans="1:16" s="294" customFormat="1" ht="13.2" customHeight="1">
      <c r="A72" s="480"/>
      <c r="C72" s="302" t="s">
        <v>1792</v>
      </c>
      <c r="D72" s="2266"/>
      <c r="E72" s="2266"/>
      <c r="H72" s="316">
        <f>+H70+H71</f>
        <v>40</v>
      </c>
      <c r="J72" s="2266"/>
      <c r="K72" s="302" t="s">
        <v>1419</v>
      </c>
      <c r="M72" s="2266"/>
      <c r="N72" s="2266"/>
      <c r="O72" s="2266"/>
      <c r="P72" s="316">
        <f>+P70+P71</f>
        <v>35576</v>
      </c>
    </row>
    <row r="73" spans="1:16" s="294" customFormat="1" ht="3" customHeight="1">
      <c r="A73" s="480"/>
      <c r="I73" s="2269"/>
      <c r="L73" s="2269"/>
      <c r="M73" s="2269"/>
      <c r="N73" s="2266"/>
      <c r="P73" s="303"/>
    </row>
    <row r="74" spans="1:16" s="294" customFormat="1" ht="13.2" customHeight="1">
      <c r="A74" s="480"/>
      <c r="B74" s="480" t="s">
        <v>1734</v>
      </c>
      <c r="C74" s="304" t="s">
        <v>2296</v>
      </c>
      <c r="D74" s="317" t="s">
        <v>1995</v>
      </c>
      <c r="G74" s="2266"/>
      <c r="H74" s="2486">
        <v>5</v>
      </c>
      <c r="K74" s="302" t="s">
        <v>5027</v>
      </c>
      <c r="O74" s="2266"/>
      <c r="P74" s="2487">
        <v>1396</v>
      </c>
    </row>
    <row r="75" spans="1:16" s="294" customFormat="1" ht="13.2" customHeight="1">
      <c r="A75" s="480"/>
      <c r="B75" s="480"/>
      <c r="D75" s="2262" t="s">
        <v>1996</v>
      </c>
      <c r="H75" s="2488">
        <v>1</v>
      </c>
      <c r="I75" s="2266"/>
      <c r="K75" s="302" t="s">
        <v>252</v>
      </c>
      <c r="O75" s="2266"/>
      <c r="P75" s="316">
        <f>+P72+P74</f>
        <v>36972</v>
      </c>
    </row>
    <row r="76" spans="1:16" s="294" customFormat="1" ht="13.2" customHeight="1">
      <c r="A76" s="480"/>
      <c r="B76" s="480"/>
      <c r="D76" s="2262" t="s">
        <v>1997</v>
      </c>
      <c r="H76" s="316">
        <f>+H74+H75</f>
        <v>6</v>
      </c>
      <c r="I76" s="2266"/>
    </row>
    <row r="77" spans="1:16" s="294" customFormat="1" ht="3" customHeight="1">
      <c r="A77" s="480"/>
      <c r="B77" s="480"/>
      <c r="C77" s="2266"/>
      <c r="D77" s="2266"/>
      <c r="E77" s="2266"/>
      <c r="F77" s="2266"/>
      <c r="G77" s="2269"/>
      <c r="I77" s="302"/>
      <c r="J77" s="2266"/>
      <c r="P77" s="303"/>
    </row>
    <row r="78" spans="1:16" s="294" customFormat="1" ht="13.2" customHeight="1">
      <c r="A78" s="480"/>
      <c r="B78" s="480" t="s">
        <v>1735</v>
      </c>
      <c r="C78" s="304" t="s">
        <v>2841</v>
      </c>
      <c r="D78" s="2266"/>
      <c r="E78" s="2266"/>
      <c r="F78" s="2266"/>
      <c r="G78" s="2266"/>
      <c r="H78" s="2487">
        <v>60</v>
      </c>
      <c r="K78" s="2795" t="s">
        <v>3851</v>
      </c>
      <c r="L78" s="2795"/>
      <c r="M78" s="2795"/>
      <c r="N78" s="2795"/>
      <c r="O78" s="2795"/>
      <c r="P78" s="2795"/>
    </row>
    <row r="79" spans="1:16" s="294" customFormat="1" ht="6" customHeight="1">
      <c r="A79" s="480"/>
      <c r="B79" s="480"/>
      <c r="C79" s="302"/>
      <c r="D79" s="2266"/>
      <c r="E79" s="2266"/>
      <c r="F79" s="2266"/>
      <c r="G79" s="2269"/>
      <c r="H79" s="2266"/>
      <c r="I79" s="302"/>
      <c r="J79" s="302"/>
      <c r="K79" s="2795"/>
      <c r="L79" s="2795"/>
      <c r="M79" s="2795"/>
      <c r="N79" s="2795"/>
      <c r="O79" s="2795"/>
      <c r="P79" s="2795"/>
    </row>
    <row r="80" spans="1:16" s="294" customFormat="1" ht="13.2" customHeight="1">
      <c r="A80" s="480" t="s">
        <v>529</v>
      </c>
      <c r="B80" s="318" t="s">
        <v>1190</v>
      </c>
      <c r="D80" s="318"/>
      <c r="E80" s="318"/>
      <c r="F80" s="2266"/>
      <c r="G80" s="2269"/>
      <c r="H80" s="507"/>
      <c r="K80" s="2795"/>
      <c r="L80" s="2795"/>
      <c r="M80" s="2795"/>
      <c r="N80" s="2795"/>
      <c r="O80" s="2795"/>
      <c r="P80" s="2795"/>
    </row>
    <row r="81" spans="1:16" s="294" customFormat="1" ht="3" customHeight="1">
      <c r="A81" s="480"/>
      <c r="C81" s="2155"/>
      <c r="D81" s="2155"/>
      <c r="E81" s="2155"/>
      <c r="F81" s="2266"/>
      <c r="G81" s="2269"/>
      <c r="K81" s="2266"/>
      <c r="P81" s="303"/>
    </row>
    <row r="82" spans="1:16" s="294" customFormat="1" ht="13.2" customHeight="1">
      <c r="A82" s="480"/>
      <c r="B82" s="480" t="s">
        <v>1982</v>
      </c>
      <c r="C82" s="2260" t="s">
        <v>2691</v>
      </c>
      <c r="D82" s="2155"/>
      <c r="E82" s="2155"/>
      <c r="F82" s="2266"/>
      <c r="G82" s="2269"/>
      <c r="H82" s="2877" t="s">
        <v>2909</v>
      </c>
      <c r="I82" s="2878"/>
      <c r="K82" s="2803" t="s">
        <v>1771</v>
      </c>
      <c r="L82" s="2803"/>
      <c r="M82" s="2871"/>
      <c r="N82" s="2883"/>
      <c r="O82" s="2883"/>
      <c r="P82" s="2872"/>
    </row>
    <row r="83" spans="1:16" s="294" customFormat="1" ht="3" customHeight="1">
      <c r="A83" s="480"/>
      <c r="B83" s="480"/>
      <c r="D83" s="2262"/>
      <c r="E83" s="2262"/>
      <c r="F83" s="2262"/>
      <c r="G83" s="2262"/>
      <c r="I83" s="2269"/>
      <c r="K83" s="2261"/>
      <c r="L83" s="2261"/>
      <c r="M83" s="2269"/>
      <c r="N83" s="2266"/>
      <c r="P83" s="303"/>
    </row>
    <row r="84" spans="1:16" s="294" customFormat="1" ht="13.2" customHeight="1">
      <c r="A84" s="480"/>
      <c r="B84" s="480"/>
      <c r="E84" s="2155"/>
      <c r="K84" s="2766" t="s">
        <v>4960</v>
      </c>
      <c r="L84" s="319" t="s">
        <v>2909</v>
      </c>
      <c r="M84" s="2486">
        <v>40</v>
      </c>
      <c r="N84" s="319" t="s">
        <v>2910</v>
      </c>
      <c r="O84" s="2486"/>
      <c r="P84" s="2258" t="s">
        <v>4959</v>
      </c>
    </row>
    <row r="85" spans="1:16" s="294" customFormat="1" ht="13.2" customHeight="1">
      <c r="A85" s="480"/>
      <c r="B85" s="480"/>
      <c r="D85" s="2261"/>
      <c r="E85" s="2155"/>
      <c r="J85" s="2153"/>
      <c r="K85" s="2766"/>
      <c r="L85" s="306" t="s">
        <v>2911</v>
      </c>
      <c r="M85" s="2488"/>
      <c r="N85" s="306" t="s">
        <v>3872</v>
      </c>
      <c r="O85" s="2488"/>
      <c r="P85" s="2489"/>
    </row>
    <row r="86" spans="1:16" s="294" customFormat="1" ht="3" customHeight="1">
      <c r="A86" s="480"/>
      <c r="B86" s="480"/>
      <c r="D86" s="2262"/>
      <c r="E86" s="2262"/>
      <c r="F86" s="2262"/>
      <c r="G86" s="2262"/>
      <c r="I86" s="2269"/>
      <c r="K86" s="2261"/>
      <c r="L86" s="2261"/>
      <c r="M86" s="2269"/>
      <c r="N86" s="2266"/>
      <c r="P86" s="303"/>
    </row>
    <row r="87" spans="1:16" s="294" customFormat="1" ht="13.2" customHeight="1">
      <c r="A87" s="480"/>
      <c r="B87" s="480" t="s">
        <v>1984</v>
      </c>
      <c r="C87" s="304" t="s">
        <v>1410</v>
      </c>
      <c r="D87" s="2266"/>
      <c r="E87" s="317"/>
      <c r="F87" s="2262" t="s">
        <v>795</v>
      </c>
      <c r="H87" s="316">
        <f>'Part VIII-Threshold Criteria'!K306</f>
        <v>4</v>
      </c>
      <c r="K87" s="2803" t="s">
        <v>519</v>
      </c>
      <c r="L87" s="2803"/>
      <c r="N87" s="320">
        <f>IF('Part VI-Revenues &amp; Expenses'!$O$67=0,0,H87/'Part VI-Revenues &amp; Expenses'!$O$67)</f>
        <v>0.1</v>
      </c>
      <c r="O87" s="306" t="s">
        <v>3693</v>
      </c>
      <c r="P87" s="937">
        <f>'DCA Underwriting Assumptions'!$Q$139</f>
        <v>0.05</v>
      </c>
    </row>
    <row r="88" spans="1:16" s="294" customFormat="1" ht="12.75" customHeight="1">
      <c r="A88" s="480"/>
      <c r="B88" s="480"/>
      <c r="D88" s="2262" t="s">
        <v>2839</v>
      </c>
      <c r="E88" s="2262"/>
      <c r="F88" s="2262" t="s">
        <v>795</v>
      </c>
      <c r="H88" s="316">
        <f>'Part VIII-Threshold Criteria'!K307</f>
        <v>2</v>
      </c>
      <c r="K88" s="2266" t="s">
        <v>2840</v>
      </c>
      <c r="L88" s="2266"/>
      <c r="N88" s="320">
        <f>IF(H87=0,0,H88/H87)</f>
        <v>0.5</v>
      </c>
      <c r="O88" s="306" t="s">
        <v>3693</v>
      </c>
      <c r="P88" s="937">
        <f>'DCA Underwriting Assumptions'!$Q$140</f>
        <v>0.4</v>
      </c>
    </row>
    <row r="89" spans="1:16" s="294" customFormat="1" ht="3" customHeight="1">
      <c r="A89" s="480"/>
      <c r="B89" s="480"/>
      <c r="D89" s="2262"/>
      <c r="E89" s="2262"/>
      <c r="F89" s="2262"/>
      <c r="I89" s="2269"/>
      <c r="K89" s="2261"/>
      <c r="L89" s="2261"/>
      <c r="M89" s="2269"/>
      <c r="N89" s="2269"/>
      <c r="P89" s="2273"/>
    </row>
    <row r="90" spans="1:16" s="294" customFormat="1" ht="13.2" customHeight="1">
      <c r="A90" s="480"/>
      <c r="B90" s="480" t="s">
        <v>748</v>
      </c>
      <c r="C90" s="304" t="s">
        <v>1843</v>
      </c>
      <c r="D90" s="317"/>
      <c r="E90" s="317"/>
      <c r="F90" s="2262" t="s">
        <v>795</v>
      </c>
      <c r="H90" s="316">
        <f>'Part VIII-Threshold Criteria'!K309</f>
        <v>1</v>
      </c>
      <c r="K90" s="2803" t="s">
        <v>519</v>
      </c>
      <c r="L90" s="2803"/>
      <c r="N90" s="320">
        <f>IF('Part VI-Revenues &amp; Expenses'!$O$67=0,0,H90/'Part VI-Revenues &amp; Expenses'!$O$67)</f>
        <v>2.5000000000000001E-2</v>
      </c>
      <c r="O90" s="306" t="s">
        <v>3693</v>
      </c>
      <c r="P90" s="937">
        <f>'DCA Underwriting Assumptions'!$Q$141</f>
        <v>0.02</v>
      </c>
    </row>
    <row r="91" spans="1:16" s="294" customFormat="1" ht="4.5" customHeight="1">
      <c r="A91" s="480"/>
      <c r="B91" s="480"/>
      <c r="D91" s="2262"/>
      <c r="E91" s="2262"/>
      <c r="F91" s="2262"/>
      <c r="G91" s="2262"/>
      <c r="I91" s="2269"/>
      <c r="J91" s="2269"/>
      <c r="K91" s="2269"/>
      <c r="L91" s="2269"/>
      <c r="M91" s="2269"/>
      <c r="N91" s="2266"/>
      <c r="P91" s="303"/>
    </row>
    <row r="92" spans="1:16" s="294" customFormat="1" ht="13.2" customHeight="1">
      <c r="A92" s="321" t="s">
        <v>771</v>
      </c>
      <c r="B92" s="2155" t="s">
        <v>4867</v>
      </c>
      <c r="D92" s="2262"/>
      <c r="E92" s="2262"/>
      <c r="F92" s="2262"/>
      <c r="G92" s="2262"/>
      <c r="H92" s="2262"/>
      <c r="I92" s="2269"/>
      <c r="M92" s="2269"/>
      <c r="N92" s="2266"/>
      <c r="P92" s="303"/>
    </row>
    <row r="93" spans="1:16" s="294" customFormat="1" ht="1.5" customHeight="1">
      <c r="A93" s="480"/>
      <c r="B93" s="480"/>
      <c r="C93" s="2155"/>
      <c r="D93" s="2262"/>
      <c r="E93" s="2262"/>
      <c r="F93" s="2262"/>
      <c r="L93" s="2269"/>
      <c r="M93" s="2269"/>
      <c r="N93" s="2266"/>
    </row>
    <row r="94" spans="1:16" s="294" customFormat="1" ht="13.2" customHeight="1">
      <c r="A94" s="480"/>
      <c r="B94" s="480" t="s">
        <v>1982</v>
      </c>
      <c r="C94" s="2260" t="s">
        <v>2375</v>
      </c>
      <c r="D94" s="2262"/>
      <c r="F94" s="2261"/>
      <c r="K94" s="2863" t="s">
        <v>5152</v>
      </c>
      <c r="L94" s="2865"/>
      <c r="M94" s="2864"/>
      <c r="N94" s="2266"/>
    </row>
    <row r="95" spans="1:16" s="294" customFormat="1" ht="1.5" customHeight="1">
      <c r="A95" s="480"/>
      <c r="B95" s="480"/>
      <c r="D95" s="2262"/>
      <c r="F95" s="2262"/>
      <c r="G95" s="2262"/>
      <c r="L95" s="2269"/>
      <c r="M95" s="2269"/>
    </row>
    <row r="96" spans="1:16" s="294" customFormat="1" ht="13.2" customHeight="1">
      <c r="B96" s="480" t="s">
        <v>1984</v>
      </c>
      <c r="C96" s="296" t="s">
        <v>1533</v>
      </c>
      <c r="K96" s="2258" t="s">
        <v>4936</v>
      </c>
      <c r="N96" s="322"/>
      <c r="P96" s="2490" t="s">
        <v>5153</v>
      </c>
    </row>
    <row r="97" spans="1:16" s="294" customFormat="1" ht="4.5" customHeight="1">
      <c r="A97" s="480"/>
      <c r="B97" s="480"/>
      <c r="C97" s="296"/>
      <c r="D97" s="2262"/>
      <c r="E97" s="2262"/>
      <c r="F97" s="2262"/>
      <c r="G97" s="2262"/>
      <c r="I97" s="2269"/>
      <c r="J97" s="2269"/>
      <c r="K97" s="2269"/>
      <c r="L97" s="2269"/>
      <c r="M97" s="2269"/>
      <c r="N97" s="2266"/>
      <c r="P97" s="303"/>
    </row>
    <row r="98" spans="1:16" s="294" customFormat="1" ht="13.2" customHeight="1">
      <c r="A98" s="321" t="s">
        <v>292</v>
      </c>
      <c r="B98" s="2155" t="s">
        <v>2040</v>
      </c>
      <c r="D98" s="2262"/>
    </row>
    <row r="99" spans="1:16" s="294" customFormat="1" ht="1.5" customHeight="1">
      <c r="A99" s="480"/>
      <c r="B99" s="480"/>
      <c r="D99" s="2262"/>
      <c r="N99" s="2266"/>
      <c r="P99" s="303"/>
    </row>
    <row r="100" spans="1:16" s="294" customFormat="1" ht="13.2" customHeight="1">
      <c r="A100" s="321"/>
      <c r="B100" s="480" t="s">
        <v>1982</v>
      </c>
      <c r="C100" s="296" t="s">
        <v>2707</v>
      </c>
      <c r="F100" s="317" t="s">
        <v>2599</v>
      </c>
      <c r="H100" s="2491" t="s">
        <v>2991</v>
      </c>
      <c r="K100" s="2261" t="s">
        <v>3889</v>
      </c>
      <c r="P100" s="2491" t="s">
        <v>2988</v>
      </c>
    </row>
    <row r="101" spans="1:16" s="294" customFormat="1" ht="13.2" customHeight="1">
      <c r="A101" s="321"/>
      <c r="B101" s="480"/>
      <c r="C101" s="296"/>
      <c r="F101" s="2262" t="s">
        <v>3895</v>
      </c>
      <c r="H101" s="2492" t="s">
        <v>2991</v>
      </c>
      <c r="K101" s="2261" t="s">
        <v>4727</v>
      </c>
      <c r="P101" s="2492" t="s">
        <v>2991</v>
      </c>
    </row>
    <row r="102" spans="1:16" s="294" customFormat="1" ht="1.5" customHeight="1">
      <c r="A102" s="480"/>
      <c r="B102" s="480"/>
      <c r="C102" s="2155"/>
      <c r="F102" s="2262"/>
      <c r="H102" s="2262"/>
      <c r="J102" s="2269"/>
      <c r="K102" s="2269"/>
      <c r="L102" s="2269"/>
      <c r="M102" s="2269"/>
      <c r="N102" s="2269"/>
      <c r="P102" s="303"/>
    </row>
    <row r="103" spans="1:16" s="294" customFormat="1" ht="13.2" customHeight="1">
      <c r="A103" s="321"/>
      <c r="B103" s="480" t="s">
        <v>1984</v>
      </c>
      <c r="C103" s="296" t="s">
        <v>2708</v>
      </c>
      <c r="F103" s="2261" t="s">
        <v>2678</v>
      </c>
      <c r="H103" s="2485" t="s">
        <v>2991</v>
      </c>
      <c r="I103" s="475" t="s">
        <v>2709</v>
      </c>
      <c r="J103" s="2269"/>
      <c r="L103" s="2269"/>
    </row>
    <row r="104" spans="1:16" s="294" customFormat="1" ht="4.5" customHeight="1">
      <c r="A104" s="480"/>
      <c r="B104" s="480"/>
      <c r="C104" s="296"/>
      <c r="D104" s="2262"/>
      <c r="E104" s="2262"/>
      <c r="F104" s="2262"/>
      <c r="G104" s="2262"/>
      <c r="I104" s="2269"/>
      <c r="J104" s="2269"/>
      <c r="K104" s="2269"/>
      <c r="L104" s="2269"/>
      <c r="M104" s="2269"/>
      <c r="N104" s="2266"/>
      <c r="P104" s="303"/>
    </row>
    <row r="105" spans="1:16" s="294" customFormat="1" ht="13.2" customHeight="1">
      <c r="A105" s="321" t="s">
        <v>426</v>
      </c>
      <c r="B105" s="2155" t="s">
        <v>2781</v>
      </c>
      <c r="D105" s="2262"/>
      <c r="H105" s="2863" t="s">
        <v>2598</v>
      </c>
      <c r="I105" s="2864"/>
      <c r="J105" s="2269"/>
    </row>
    <row r="106" spans="1:16" s="294" customFormat="1" ht="4.5" customHeight="1">
      <c r="A106" s="480"/>
      <c r="D106" s="310"/>
      <c r="E106" s="2266"/>
      <c r="I106" s="310"/>
      <c r="J106" s="302"/>
      <c r="K106" s="2266"/>
      <c r="P106" s="303"/>
    </row>
    <row r="107" spans="1:16" s="294" customFormat="1" ht="13.2" customHeight="1">
      <c r="A107" s="321" t="s">
        <v>362</v>
      </c>
      <c r="B107" s="315" t="s">
        <v>1188</v>
      </c>
      <c r="D107" s="2266"/>
      <c r="E107" s="2266"/>
      <c r="F107" s="2266"/>
      <c r="G107" s="2266"/>
      <c r="H107" s="2266"/>
      <c r="I107" s="310"/>
      <c r="J107" s="302"/>
      <c r="K107" s="2266"/>
      <c r="P107" s="303"/>
    </row>
    <row r="108" spans="1:16" s="294" customFormat="1" ht="3" customHeight="1">
      <c r="A108" s="321"/>
      <c r="B108" s="480"/>
      <c r="C108" s="315"/>
      <c r="D108" s="2266"/>
      <c r="E108" s="2266"/>
      <c r="F108" s="2266"/>
      <c r="G108" s="2266"/>
      <c r="H108" s="2266"/>
      <c r="I108" s="310"/>
      <c r="J108" s="302"/>
      <c r="K108" s="2266"/>
    </row>
    <row r="109" spans="1:16" s="294" customFormat="1" ht="13.2" customHeight="1">
      <c r="A109" s="480"/>
      <c r="B109" s="480"/>
      <c r="C109" s="302" t="s">
        <v>551</v>
      </c>
      <c r="D109" s="2266"/>
      <c r="E109" s="2786"/>
      <c r="F109" s="2787"/>
      <c r="G109" s="2787"/>
      <c r="H109" s="2787"/>
      <c r="I109" s="2787"/>
      <c r="J109" s="2787"/>
      <c r="K109" s="2787"/>
      <c r="L109" s="2788"/>
      <c r="M109" s="2853" t="s">
        <v>552</v>
      </c>
      <c r="N109" s="2853"/>
      <c r="O109" s="2810"/>
      <c r="P109" s="2811"/>
    </row>
    <row r="110" spans="1:16" s="294" customFormat="1" ht="13.2" customHeight="1">
      <c r="C110" s="2258" t="s">
        <v>1020</v>
      </c>
      <c r="D110" s="306"/>
      <c r="E110" s="2854"/>
      <c r="F110" s="2794"/>
      <c r="G110" s="2794"/>
      <c r="H110" s="2855"/>
      <c r="I110" s="2794"/>
      <c r="J110" s="2855"/>
      <c r="K110" s="2794"/>
      <c r="L110" s="2856"/>
      <c r="M110" s="2853" t="s">
        <v>807</v>
      </c>
      <c r="N110" s="2853"/>
      <c r="O110" s="2857"/>
      <c r="P110" s="2858"/>
    </row>
    <row r="111" spans="1:16" s="294" customFormat="1" ht="13.2" customHeight="1">
      <c r="C111" s="2258" t="s">
        <v>617</v>
      </c>
      <c r="E111" s="2780"/>
      <c r="F111" s="2840"/>
      <c r="G111" s="2841"/>
      <c r="H111" s="2273" t="s">
        <v>1798</v>
      </c>
      <c r="I111" s="2493"/>
      <c r="J111" s="323" t="s">
        <v>2228</v>
      </c>
      <c r="K111" s="2859"/>
      <c r="L111" s="2860"/>
      <c r="M111" s="271" t="s">
        <v>3661</v>
      </c>
      <c r="N111" s="271"/>
      <c r="O111" s="2861"/>
      <c r="P111" s="2862"/>
    </row>
    <row r="112" spans="1:16" s="294" customFormat="1" ht="13.2" customHeight="1">
      <c r="C112" s="294" t="s">
        <v>2193</v>
      </c>
      <c r="E112" s="2780"/>
      <c r="F112" s="2840"/>
      <c r="G112" s="2841"/>
      <c r="H112" s="970" t="s">
        <v>1979</v>
      </c>
      <c r="I112" s="2842"/>
      <c r="J112" s="2843"/>
      <c r="K112" s="2844"/>
      <c r="L112" s="2277" t="s">
        <v>1983</v>
      </c>
      <c r="M112" s="2786"/>
      <c r="N112" s="2845"/>
      <c r="O112" s="2846"/>
      <c r="P112" s="2847"/>
    </row>
    <row r="113" spans="1:16" s="294" customFormat="1" ht="13.2" customHeight="1">
      <c r="C113" s="2258" t="s">
        <v>2192</v>
      </c>
      <c r="E113" s="2848"/>
      <c r="F113" s="2849"/>
      <c r="G113" s="2850"/>
      <c r="H113" s="970" t="s">
        <v>1801</v>
      </c>
      <c r="I113" s="2848"/>
      <c r="J113" s="2851"/>
      <c r="K113" s="2273" t="s">
        <v>2703</v>
      </c>
      <c r="L113" s="2852"/>
      <c r="M113" s="2775"/>
      <c r="N113" s="2775"/>
      <c r="O113" s="2775"/>
      <c r="P113" s="2776"/>
    </row>
    <row r="114" spans="1:16" s="294" customFormat="1" ht="3" customHeight="1">
      <c r="A114" s="480"/>
      <c r="B114" s="480"/>
      <c r="G114" s="310"/>
      <c r="H114" s="2269"/>
      <c r="I114" s="2269"/>
      <c r="M114" s="303"/>
    </row>
    <row r="115" spans="1:16" s="294" customFormat="1" ht="13.2" customHeight="1">
      <c r="A115" s="321" t="s">
        <v>363</v>
      </c>
      <c r="B115" s="2155" t="s">
        <v>1668</v>
      </c>
      <c r="D115" s="310"/>
      <c r="E115" s="310"/>
      <c r="F115" s="2269"/>
      <c r="G115" s="2269"/>
      <c r="H115" s="2269"/>
      <c r="N115" s="2266"/>
      <c r="O115" s="2266"/>
      <c r="P115" s="303"/>
    </row>
    <row r="116" spans="1:16" s="294" customFormat="1" ht="1.5" customHeight="1">
      <c r="A116" s="321"/>
      <c r="B116" s="2155"/>
      <c r="D116" s="310"/>
      <c r="E116" s="310"/>
      <c r="F116" s="2269"/>
      <c r="G116" s="2269"/>
      <c r="H116" s="2269"/>
      <c r="I116" s="2269"/>
      <c r="J116" s="310"/>
      <c r="K116" s="2269"/>
      <c r="L116" s="2269"/>
      <c r="N116" s="2266"/>
      <c r="O116" s="2266"/>
      <c r="P116" s="303"/>
    </row>
    <row r="117" spans="1:16" s="294" customFormat="1" ht="13.2" customHeight="1">
      <c r="B117" s="317" t="s">
        <v>2152</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1982</v>
      </c>
      <c r="C119" s="2155" t="s">
        <v>1411</v>
      </c>
      <c r="D119" s="2262"/>
      <c r="E119" s="2262"/>
      <c r="F119" s="2269"/>
      <c r="G119" s="2269"/>
      <c r="H119" s="2494">
        <v>1</v>
      </c>
      <c r="N119" s="2266"/>
      <c r="O119" s="2266"/>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1984</v>
      </c>
      <c r="C121" s="2155" t="s">
        <v>416</v>
      </c>
      <c r="D121" s="2262"/>
      <c r="E121" s="2262"/>
      <c r="F121" s="2269"/>
      <c r="G121" s="2269"/>
      <c r="H121" s="2495">
        <v>369181</v>
      </c>
      <c r="J121" s="310"/>
      <c r="K121" s="2261"/>
      <c r="N121" s="2266"/>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748</v>
      </c>
      <c r="C123" s="2155" t="s">
        <v>302</v>
      </c>
      <c r="D123" s="2262"/>
      <c r="E123" s="2262"/>
      <c r="F123" s="2269"/>
      <c r="G123" s="2269"/>
      <c r="H123" s="2269"/>
      <c r="I123" s="2269"/>
      <c r="J123" s="310"/>
      <c r="K123" s="2269"/>
      <c r="L123" s="2269"/>
      <c r="N123" s="2266"/>
      <c r="O123" s="2266"/>
    </row>
    <row r="124" spans="1:16" s="294" customFormat="1" ht="13.2" customHeight="1">
      <c r="B124" s="480"/>
      <c r="C124" s="2262" t="s">
        <v>2134</v>
      </c>
      <c r="D124" s="2262"/>
      <c r="F124" s="2262" t="s">
        <v>1133</v>
      </c>
      <c r="G124" s="2269"/>
      <c r="H124" s="2269"/>
      <c r="I124" s="2269" t="s">
        <v>1293</v>
      </c>
      <c r="J124" s="2262" t="s">
        <v>2134</v>
      </c>
      <c r="K124" s="2262"/>
      <c r="M124" s="2262" t="s">
        <v>1133</v>
      </c>
      <c r="N124" s="2269"/>
      <c r="O124" s="2269"/>
      <c r="P124" s="2269" t="s">
        <v>1293</v>
      </c>
    </row>
    <row r="125" spans="1:16" s="294" customFormat="1" ht="13.2" customHeight="1">
      <c r="A125" s="480"/>
      <c r="B125" s="480"/>
      <c r="C125" s="2832" t="s">
        <v>5135</v>
      </c>
      <c r="D125" s="2833"/>
      <c r="E125" s="2833"/>
      <c r="F125" s="2834" t="s">
        <v>5144</v>
      </c>
      <c r="G125" s="2835"/>
      <c r="H125" s="2839"/>
      <c r="I125" s="2496" t="s">
        <v>5225</v>
      </c>
      <c r="J125" s="2832">
        <v>7</v>
      </c>
      <c r="K125" s="2833"/>
      <c r="L125" s="2833"/>
      <c r="M125" s="2834"/>
      <c r="N125" s="2835"/>
      <c r="O125" s="2839"/>
      <c r="P125" s="2496"/>
    </row>
    <row r="126" spans="1:16" s="294" customFormat="1" ht="13.2" customHeight="1">
      <c r="A126" s="480"/>
      <c r="B126" s="480"/>
      <c r="C126" s="2798">
        <v>2</v>
      </c>
      <c r="D126" s="2799"/>
      <c r="E126" s="2799"/>
      <c r="F126" s="2800"/>
      <c r="G126" s="2801"/>
      <c r="H126" s="2837"/>
      <c r="I126" s="2497"/>
      <c r="J126" s="2798">
        <v>8</v>
      </c>
      <c r="K126" s="2799"/>
      <c r="L126" s="2799"/>
      <c r="M126" s="2800"/>
      <c r="N126" s="2801"/>
      <c r="O126" s="2837"/>
      <c r="P126" s="2497"/>
    </row>
    <row r="127" spans="1:16" s="294" customFormat="1" ht="13.2" customHeight="1">
      <c r="A127" s="480"/>
      <c r="B127" s="480"/>
      <c r="C127" s="2798">
        <v>3</v>
      </c>
      <c r="D127" s="2799"/>
      <c r="E127" s="2799"/>
      <c r="F127" s="2800"/>
      <c r="G127" s="2801"/>
      <c r="H127" s="2837"/>
      <c r="I127" s="2497"/>
      <c r="J127" s="2798">
        <v>9</v>
      </c>
      <c r="K127" s="2799"/>
      <c r="L127" s="2799"/>
      <c r="M127" s="2800"/>
      <c r="N127" s="2801"/>
      <c r="O127" s="2837"/>
      <c r="P127" s="2497"/>
    </row>
    <row r="128" spans="1:16" s="294" customFormat="1" ht="13.2" customHeight="1">
      <c r="A128" s="480"/>
      <c r="B128" s="480"/>
      <c r="C128" s="2798">
        <v>4</v>
      </c>
      <c r="D128" s="2799"/>
      <c r="E128" s="2799"/>
      <c r="F128" s="2800"/>
      <c r="G128" s="2801"/>
      <c r="H128" s="2837"/>
      <c r="I128" s="2497"/>
      <c r="J128" s="2798">
        <v>10</v>
      </c>
      <c r="K128" s="2799"/>
      <c r="L128" s="2799"/>
      <c r="M128" s="2800"/>
      <c r="N128" s="2801"/>
      <c r="O128" s="2837"/>
      <c r="P128" s="2497"/>
    </row>
    <row r="129" spans="1:16" s="294" customFormat="1" ht="13.2" customHeight="1">
      <c r="A129" s="480"/>
      <c r="B129" s="480"/>
      <c r="C129" s="2798">
        <v>5</v>
      </c>
      <c r="D129" s="2799"/>
      <c r="E129" s="2799"/>
      <c r="F129" s="2800"/>
      <c r="G129" s="2801"/>
      <c r="H129" s="2837"/>
      <c r="I129" s="2497"/>
      <c r="J129" s="2798">
        <v>11</v>
      </c>
      <c r="K129" s="2799"/>
      <c r="L129" s="2799"/>
      <c r="M129" s="2800"/>
      <c r="N129" s="2801"/>
      <c r="O129" s="2837"/>
      <c r="P129" s="2497"/>
    </row>
    <row r="130" spans="1:16" s="294" customFormat="1" ht="13.2" customHeight="1">
      <c r="A130" s="480"/>
      <c r="B130" s="480"/>
      <c r="C130" s="2826">
        <v>6</v>
      </c>
      <c r="D130" s="2827"/>
      <c r="E130" s="2827"/>
      <c r="F130" s="2828"/>
      <c r="G130" s="2829"/>
      <c r="H130" s="2838"/>
      <c r="I130" s="2498"/>
      <c r="J130" s="2826">
        <v>12</v>
      </c>
      <c r="K130" s="2827"/>
      <c r="L130" s="2827"/>
      <c r="M130" s="2828"/>
      <c r="N130" s="2829"/>
      <c r="O130" s="2838"/>
      <c r="P130" s="2498"/>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2114</v>
      </c>
      <c r="C132" s="2831" t="s">
        <v>1846</v>
      </c>
      <c r="D132" s="2831"/>
      <c r="E132" s="2831"/>
      <c r="F132" s="2831"/>
      <c r="G132" s="2831"/>
      <c r="H132" s="2831"/>
      <c r="I132" s="2831"/>
      <c r="J132" s="2831"/>
      <c r="K132" s="2831"/>
      <c r="L132" s="2831"/>
      <c r="M132" s="2831"/>
      <c r="N132" s="2831"/>
      <c r="O132" s="2831"/>
      <c r="P132" s="2831"/>
    </row>
    <row r="133" spans="1:16" s="294" customFormat="1" ht="13.2" customHeight="1">
      <c r="A133" s="480"/>
      <c r="B133" s="480"/>
      <c r="C133" s="2831"/>
      <c r="D133" s="2831"/>
      <c r="E133" s="2831"/>
      <c r="F133" s="2831"/>
      <c r="G133" s="2831"/>
      <c r="H133" s="2831"/>
      <c r="I133" s="2831"/>
      <c r="J133" s="2831"/>
      <c r="K133" s="2831"/>
      <c r="L133" s="2831"/>
      <c r="M133" s="2831"/>
      <c r="N133" s="2831"/>
      <c r="O133" s="2831"/>
      <c r="P133" s="2831"/>
    </row>
    <row r="134" spans="1:16" s="294" customFormat="1" ht="13.2" customHeight="1">
      <c r="B134" s="480"/>
      <c r="C134" s="2262" t="s">
        <v>2134</v>
      </c>
      <c r="D134" s="2262"/>
      <c r="F134" s="2262" t="s">
        <v>1133</v>
      </c>
      <c r="G134" s="2269"/>
      <c r="H134" s="2269"/>
      <c r="I134" s="2269"/>
      <c r="J134" s="2262" t="s">
        <v>2134</v>
      </c>
      <c r="K134" s="2262"/>
      <c r="M134" s="2262" t="s">
        <v>1133</v>
      </c>
      <c r="N134" s="2269"/>
      <c r="O134" s="2269"/>
      <c r="P134" s="2269"/>
    </row>
    <row r="135" spans="1:16" s="294" customFormat="1" ht="13.2" customHeight="1">
      <c r="A135" s="480"/>
      <c r="B135" s="480"/>
      <c r="C135" s="2832">
        <v>1</v>
      </c>
      <c r="D135" s="2833"/>
      <c r="E135" s="2833"/>
      <c r="F135" s="2834"/>
      <c r="G135" s="2835"/>
      <c r="H135" s="2835"/>
      <c r="I135" s="2836"/>
      <c r="J135" s="2832">
        <v>7</v>
      </c>
      <c r="K135" s="2833"/>
      <c r="L135" s="2833"/>
      <c r="M135" s="2834"/>
      <c r="N135" s="2835"/>
      <c r="O135" s="2835"/>
      <c r="P135" s="2836"/>
    </row>
    <row r="136" spans="1:16" s="294" customFormat="1" ht="13.2" customHeight="1">
      <c r="A136" s="480"/>
      <c r="B136" s="480"/>
      <c r="C136" s="2798">
        <v>2</v>
      </c>
      <c r="D136" s="2799"/>
      <c r="E136" s="2799"/>
      <c r="F136" s="2800"/>
      <c r="G136" s="2801"/>
      <c r="H136" s="2801"/>
      <c r="I136" s="2802"/>
      <c r="J136" s="2798">
        <v>8</v>
      </c>
      <c r="K136" s="2799"/>
      <c r="L136" s="2799"/>
      <c r="M136" s="2800"/>
      <c r="N136" s="2801"/>
      <c r="O136" s="2801"/>
      <c r="P136" s="2802"/>
    </row>
    <row r="137" spans="1:16" s="294" customFormat="1" ht="13.2" customHeight="1">
      <c r="A137" s="480"/>
      <c r="B137" s="480"/>
      <c r="C137" s="2798">
        <v>3</v>
      </c>
      <c r="D137" s="2799"/>
      <c r="E137" s="2799"/>
      <c r="F137" s="2800"/>
      <c r="G137" s="2801"/>
      <c r="H137" s="2801"/>
      <c r="I137" s="2802"/>
      <c r="J137" s="2798">
        <v>9</v>
      </c>
      <c r="K137" s="2799"/>
      <c r="L137" s="2799"/>
      <c r="M137" s="2800"/>
      <c r="N137" s="2801"/>
      <c r="O137" s="2801"/>
      <c r="P137" s="2802"/>
    </row>
    <row r="138" spans="1:16" s="294" customFormat="1" ht="13.2" customHeight="1">
      <c r="A138" s="480"/>
      <c r="B138" s="480"/>
      <c r="C138" s="2798">
        <v>4</v>
      </c>
      <c r="D138" s="2799"/>
      <c r="E138" s="2799"/>
      <c r="F138" s="2800"/>
      <c r="G138" s="2801"/>
      <c r="H138" s="2801"/>
      <c r="I138" s="2802"/>
      <c r="J138" s="2798">
        <v>10</v>
      </c>
      <c r="K138" s="2799"/>
      <c r="L138" s="2799"/>
      <c r="M138" s="2800"/>
      <c r="N138" s="2801"/>
      <c r="O138" s="2801"/>
      <c r="P138" s="2802"/>
    </row>
    <row r="139" spans="1:16" s="294" customFormat="1" ht="13.2" customHeight="1">
      <c r="A139" s="480"/>
      <c r="B139" s="480"/>
      <c r="C139" s="2798">
        <v>5</v>
      </c>
      <c r="D139" s="2799"/>
      <c r="E139" s="2799"/>
      <c r="F139" s="2800"/>
      <c r="G139" s="2801"/>
      <c r="H139" s="2801"/>
      <c r="I139" s="2802"/>
      <c r="J139" s="2798">
        <v>11</v>
      </c>
      <c r="K139" s="2799"/>
      <c r="L139" s="2799"/>
      <c r="M139" s="2800"/>
      <c r="N139" s="2801"/>
      <c r="O139" s="2801"/>
      <c r="P139" s="2802"/>
    </row>
    <row r="140" spans="1:16" s="294" customFormat="1" ht="13.2" customHeight="1">
      <c r="A140" s="480"/>
      <c r="B140" s="480"/>
      <c r="C140" s="2826">
        <v>6</v>
      </c>
      <c r="D140" s="2827"/>
      <c r="E140" s="2827"/>
      <c r="F140" s="2828"/>
      <c r="G140" s="2829"/>
      <c r="H140" s="2829"/>
      <c r="I140" s="2830"/>
      <c r="J140" s="2826">
        <v>12</v>
      </c>
      <c r="K140" s="2827"/>
      <c r="L140" s="2827"/>
      <c r="M140" s="2828"/>
      <c r="N140" s="2829"/>
      <c r="O140" s="2829"/>
      <c r="P140" s="2830"/>
    </row>
    <row r="141" spans="1:16" s="294" customFormat="1" ht="1.5" customHeight="1">
      <c r="A141" s="480"/>
      <c r="B141" s="480"/>
      <c r="C141" s="2262"/>
      <c r="D141" s="2262"/>
      <c r="E141" s="2262"/>
      <c r="F141" s="2269"/>
      <c r="G141" s="2269"/>
      <c r="H141" s="2269"/>
      <c r="I141" s="2269"/>
      <c r="J141" s="310"/>
      <c r="K141" s="2269"/>
      <c r="L141" s="2269"/>
      <c r="N141" s="2266"/>
      <c r="O141" s="2266"/>
      <c r="P141" s="303"/>
    </row>
    <row r="142" spans="1:16" s="294" customFormat="1" ht="3" customHeight="1" thickBot="1">
      <c r="A142" s="480"/>
      <c r="B142" s="480"/>
      <c r="C142" s="2262"/>
      <c r="D142" s="2262"/>
      <c r="E142" s="2262"/>
      <c r="F142" s="2269"/>
      <c r="G142" s="2269"/>
      <c r="H142" s="2269"/>
      <c r="I142" s="2269"/>
      <c r="J142" s="310"/>
      <c r="K142" s="2269"/>
      <c r="L142" s="2269"/>
      <c r="N142" s="2266"/>
      <c r="O142" s="2266"/>
      <c r="P142" s="303"/>
    </row>
    <row r="143" spans="1:16" s="294" customFormat="1" ht="14.7" customHeight="1" thickBot="1">
      <c r="A143" s="296" t="s">
        <v>364</v>
      </c>
      <c r="B143" s="304" t="s">
        <v>4968</v>
      </c>
      <c r="D143" s="304"/>
      <c r="E143" s="304"/>
      <c r="F143" s="304"/>
      <c r="I143" s="2499" t="s">
        <v>2988</v>
      </c>
      <c r="M143" s="2269"/>
      <c r="N143" s="2266"/>
      <c r="O143" s="2266"/>
      <c r="P143" s="303"/>
    </row>
    <row r="144" spans="1:16" s="294" customFormat="1" ht="1.5" customHeight="1">
      <c r="A144" s="321"/>
      <c r="B144" s="480"/>
      <c r="C144" s="2155"/>
      <c r="D144" s="2155"/>
      <c r="E144" s="2155"/>
      <c r="F144" s="2155"/>
      <c r="G144" s="2269"/>
      <c r="M144" s="2269"/>
      <c r="N144" s="2266"/>
      <c r="O144" s="2266"/>
    </row>
    <row r="145" spans="1:16" s="294" customFormat="1" ht="13.2" customHeight="1">
      <c r="A145" s="480"/>
      <c r="B145" s="480" t="s">
        <v>1982</v>
      </c>
      <c r="C145" s="299" t="s">
        <v>1712</v>
      </c>
      <c r="I145" s="2491" t="s">
        <v>2988</v>
      </c>
      <c r="M145" s="2269"/>
      <c r="N145" s="2266"/>
      <c r="O145" s="2266"/>
      <c r="P145" s="303"/>
    </row>
    <row r="146" spans="1:16" s="294" customFormat="1" ht="13.2" customHeight="1">
      <c r="A146" s="480"/>
      <c r="B146" s="480"/>
      <c r="C146" s="2262" t="s">
        <v>2419</v>
      </c>
      <c r="D146" s="2262"/>
      <c r="E146" s="2262"/>
      <c r="F146" s="2269"/>
      <c r="I146" s="2500">
        <v>1996</v>
      </c>
      <c r="N146" s="2266"/>
      <c r="O146" s="2266"/>
      <c r="P146" s="303"/>
    </row>
    <row r="147" spans="1:16" s="294" customFormat="1" ht="13.2" customHeight="1">
      <c r="A147" s="480"/>
      <c r="B147" s="480"/>
      <c r="C147" s="326" t="s">
        <v>1711</v>
      </c>
      <c r="D147" s="2258"/>
      <c r="I147" s="2480" t="s">
        <v>5242</v>
      </c>
      <c r="P147" s="303"/>
    </row>
    <row r="148" spans="1:16" s="294" customFormat="1" ht="13.2" customHeight="1">
      <c r="A148" s="480"/>
      <c r="B148" s="480"/>
      <c r="C148" s="2262" t="s">
        <v>2420</v>
      </c>
      <c r="D148" s="2262"/>
      <c r="E148" s="2155"/>
      <c r="F148" s="2269"/>
      <c r="I148" s="2500">
        <v>1999</v>
      </c>
      <c r="K148" s="271" t="s">
        <v>2244</v>
      </c>
      <c r="O148" s="2786" t="s">
        <v>5243</v>
      </c>
      <c r="P148" s="2788"/>
    </row>
    <row r="149" spans="1:16" s="294" customFormat="1" ht="13.2" customHeight="1">
      <c r="A149" s="480"/>
      <c r="B149" s="480"/>
      <c r="C149" s="2262" t="s">
        <v>2418</v>
      </c>
      <c r="F149" s="2269"/>
      <c r="I149" s="2501" t="s">
        <v>2988</v>
      </c>
      <c r="K149" s="271" t="s">
        <v>2245</v>
      </c>
      <c r="O149" s="2822" t="s">
        <v>5244</v>
      </c>
      <c r="P149" s="2823"/>
    </row>
    <row r="150" spans="1:16" s="294" customFormat="1" ht="13.2" customHeight="1">
      <c r="A150" s="480"/>
      <c r="B150" s="480"/>
      <c r="C150" s="2262" t="s">
        <v>2165</v>
      </c>
      <c r="D150" s="2262"/>
      <c r="E150" s="2262"/>
      <c r="F150" s="2269"/>
      <c r="I150" s="2824">
        <v>41640</v>
      </c>
      <c r="J150" s="2825"/>
      <c r="N150" s="2266"/>
      <c r="O150" s="2266"/>
      <c r="P150" s="303"/>
    </row>
    <row r="151" spans="1:16" s="294" customFormat="1" ht="1.5" customHeight="1">
      <c r="A151" s="480"/>
      <c r="B151" s="480"/>
      <c r="C151" s="2262"/>
      <c r="D151" s="2262"/>
      <c r="E151" s="2262"/>
      <c r="F151" s="2269"/>
      <c r="G151" s="2269"/>
      <c r="M151" s="2269"/>
      <c r="N151" s="2266"/>
      <c r="O151" s="2266"/>
      <c r="P151" s="303"/>
    </row>
    <row r="152" spans="1:16" s="294" customFormat="1" ht="13.2" customHeight="1">
      <c r="A152" s="480"/>
      <c r="B152" s="480" t="s">
        <v>1984</v>
      </c>
      <c r="C152" s="2216" t="s">
        <v>2700</v>
      </c>
      <c r="D152" s="2262"/>
      <c r="E152" s="317" t="s">
        <v>5052</v>
      </c>
      <c r="F152" s="317"/>
      <c r="G152" s="317"/>
      <c r="I152" s="2502" t="s">
        <v>2991</v>
      </c>
      <c r="K152" s="317" t="s">
        <v>5054</v>
      </c>
      <c r="L152" s="317"/>
      <c r="M152" s="317"/>
      <c r="O152" s="2503" t="s">
        <v>2991</v>
      </c>
      <c r="P152" s="303"/>
    </row>
    <row r="153" spans="1:16" s="294" customFormat="1" ht="13.2" customHeight="1">
      <c r="A153" s="480"/>
      <c r="C153" s="2155"/>
      <c r="D153" s="2262"/>
      <c r="E153" s="317" t="s">
        <v>5053</v>
      </c>
      <c r="F153" s="317"/>
      <c r="G153" s="317"/>
      <c r="I153" s="2504" t="s">
        <v>2991</v>
      </c>
      <c r="K153" s="317"/>
      <c r="L153" s="317"/>
      <c r="M153" s="317"/>
      <c r="P153" s="303"/>
    </row>
    <row r="154" spans="1:16" s="294" customFormat="1" ht="1.5" customHeight="1">
      <c r="A154" s="480"/>
      <c r="B154" s="480"/>
      <c r="C154" s="2262"/>
      <c r="D154" s="2262"/>
      <c r="E154" s="2262"/>
      <c r="F154" s="2269"/>
      <c r="N154" s="2266"/>
      <c r="O154" s="2266"/>
      <c r="P154" s="303"/>
    </row>
    <row r="155" spans="1:16" s="294" customFormat="1" ht="13.2" customHeight="1">
      <c r="A155" s="480"/>
      <c r="B155" s="480" t="s">
        <v>748</v>
      </c>
      <c r="C155" s="2155" t="s">
        <v>5051</v>
      </c>
      <c r="D155" s="2262"/>
      <c r="E155" s="2262"/>
      <c r="F155" s="2269"/>
      <c r="I155" s="2494" t="s">
        <v>2991</v>
      </c>
      <c r="N155" s="2266"/>
      <c r="O155" s="2266"/>
      <c r="P155" s="303"/>
    </row>
    <row r="156" spans="1:16" s="294" customFormat="1" ht="3" customHeight="1">
      <c r="A156" s="480"/>
      <c r="B156" s="480"/>
      <c r="C156" s="2262"/>
      <c r="D156" s="2262"/>
      <c r="E156" s="2262"/>
      <c r="F156" s="2269"/>
      <c r="G156" s="2269"/>
      <c r="H156" s="2269"/>
      <c r="I156" s="2269"/>
      <c r="J156" s="310"/>
      <c r="K156" s="2269"/>
      <c r="L156" s="2269"/>
      <c r="N156" s="2266"/>
      <c r="O156" s="2266"/>
      <c r="P156" s="303"/>
    </row>
    <row r="157" spans="1:16" s="294" customFormat="1" ht="13.2" customHeight="1">
      <c r="A157" s="321" t="s">
        <v>1725</v>
      </c>
      <c r="B157" s="318" t="s">
        <v>1189</v>
      </c>
      <c r="D157" s="318"/>
      <c r="E157" s="318"/>
      <c r="F157" s="318"/>
      <c r="G157" s="2269"/>
      <c r="H157" s="2269"/>
      <c r="I157" s="2269"/>
      <c r="J157" s="310"/>
      <c r="K157" s="2269"/>
      <c r="L157" s="2269"/>
      <c r="N157" s="2266"/>
      <c r="O157" s="2266"/>
      <c r="P157" s="303"/>
    </row>
    <row r="158" spans="1:16" s="294" customFormat="1" ht="1.95" customHeight="1">
      <c r="A158" s="321"/>
      <c r="B158" s="480"/>
      <c r="C158" s="2155"/>
      <c r="D158" s="2155"/>
      <c r="E158" s="2155"/>
      <c r="F158" s="2155"/>
      <c r="G158" s="2269"/>
      <c r="H158" s="2269"/>
      <c r="I158" s="2269"/>
      <c r="J158" s="310"/>
      <c r="K158" s="2269"/>
      <c r="L158" s="2269"/>
      <c r="N158" s="2266"/>
      <c r="O158" s="2266"/>
    </row>
    <row r="159" spans="1:16" s="294" customFormat="1" ht="13.2" customHeight="1">
      <c r="A159" s="480"/>
      <c r="B159" s="480" t="s">
        <v>1982</v>
      </c>
      <c r="C159" s="309" t="s">
        <v>1821</v>
      </c>
      <c r="F159" s="2269"/>
      <c r="G159" s="2269"/>
      <c r="H159" s="2269"/>
      <c r="I159" s="2269"/>
      <c r="J159" s="310"/>
      <c r="K159" s="2269"/>
      <c r="L159" s="2269"/>
      <c r="N159" s="2266"/>
      <c r="O159" s="2266"/>
      <c r="P159" s="303"/>
    </row>
    <row r="160" spans="1:16" s="294" customFormat="1" ht="12.6" customHeight="1">
      <c r="A160" s="480"/>
      <c r="B160" s="480"/>
      <c r="C160" s="317" t="s">
        <v>1526</v>
      </c>
      <c r="D160" s="310"/>
      <c r="E160" s="310"/>
      <c r="F160" s="2269"/>
      <c r="G160" s="2269"/>
      <c r="H160" s="2269"/>
      <c r="I160" s="2505" t="s">
        <v>2991</v>
      </c>
      <c r="N160" s="2266"/>
      <c r="O160" s="2266"/>
      <c r="P160" s="303"/>
    </row>
    <row r="161" spans="1:16" s="294" customFormat="1" ht="12.6" customHeight="1">
      <c r="A161" s="480"/>
      <c r="B161" s="480"/>
      <c r="C161" s="2795" t="s">
        <v>4970</v>
      </c>
      <c r="D161" s="2795"/>
      <c r="E161" s="2795"/>
      <c r="F161" s="2795"/>
      <c r="G161" s="294" t="s">
        <v>4780</v>
      </c>
      <c r="I161" s="2506"/>
      <c r="K161" s="2258" t="s">
        <v>1794</v>
      </c>
      <c r="P161" s="2066">
        <f>IF('Part VI-Revenues &amp; Expenses'!$O$65=0,0,I161/'Part VI-Revenues &amp; Expenses'!$O$65)</f>
        <v>0</v>
      </c>
    </row>
    <row r="162" spans="1:16" s="294" customFormat="1" ht="12.6" customHeight="1">
      <c r="A162" s="480"/>
      <c r="B162" s="480"/>
      <c r="C162" s="2795"/>
      <c r="D162" s="2795"/>
      <c r="E162" s="2795"/>
      <c r="F162" s="2795"/>
      <c r="G162" s="294" t="s">
        <v>4779</v>
      </c>
      <c r="I162" s="2506"/>
      <c r="K162" s="2258" t="s">
        <v>1794</v>
      </c>
      <c r="O162" s="2267"/>
      <c r="P162" s="2067">
        <f>IF('Part VI-Revenues &amp; Expenses'!$O$65=0,0,I162/'Part VI-Revenues &amp; Expenses'!$O$65)</f>
        <v>0</v>
      </c>
    </row>
    <row r="163" spans="1:16" s="294" customFormat="1" ht="12" customHeight="1">
      <c r="A163" s="480"/>
      <c r="B163" s="480"/>
      <c r="C163" s="2258" t="s">
        <v>4781</v>
      </c>
      <c r="I163" s="2488"/>
      <c r="K163" s="2258" t="s">
        <v>1794</v>
      </c>
      <c r="O163" s="2065"/>
      <c r="P163" s="2068">
        <f>IF('Part VI-Revenues &amp; Expenses'!$O$65=0,0,I163/'Part VI-Revenues &amp; Expenses'!$O$65)</f>
        <v>0</v>
      </c>
    </row>
    <row r="164" spans="1:16" s="294" customFormat="1" ht="3" customHeight="1">
      <c r="A164" s="480"/>
      <c r="B164" s="480"/>
    </row>
    <row r="165" spans="1:16" s="294" customFormat="1" ht="12.6" customHeight="1">
      <c r="A165" s="480"/>
      <c r="B165" s="480"/>
      <c r="C165" s="294" t="s">
        <v>1795</v>
      </c>
      <c r="D165" s="2786"/>
      <c r="E165" s="2787"/>
      <c r="F165" s="2787"/>
      <c r="G165" s="2787"/>
      <c r="H165" s="2788"/>
      <c r="I165" s="2258" t="s">
        <v>4725</v>
      </c>
      <c r="N165" s="2783"/>
      <c r="O165" s="2784"/>
      <c r="P165" s="2785"/>
    </row>
    <row r="166" spans="1:16" s="294" customFormat="1" ht="12.6" customHeight="1">
      <c r="A166" s="480"/>
      <c r="B166" s="480"/>
      <c r="C166" s="2258" t="s">
        <v>4726</v>
      </c>
      <c r="D166" s="2780"/>
      <c r="E166" s="2781"/>
      <c r="F166" s="2794"/>
      <c r="G166" s="2781"/>
      <c r="H166" s="2782"/>
      <c r="I166" s="2265" t="s">
        <v>1796</v>
      </c>
      <c r="J166" s="2786"/>
      <c r="K166" s="2787"/>
      <c r="L166" s="2788"/>
      <c r="M166" s="2048" t="s">
        <v>1979</v>
      </c>
      <c r="N166" s="2780"/>
      <c r="O166" s="2781"/>
      <c r="P166" s="2782"/>
    </row>
    <row r="167" spans="1:16" s="294" customFormat="1" ht="12.6" customHeight="1">
      <c r="A167" s="480"/>
      <c r="B167" s="480"/>
      <c r="C167" s="2258" t="s">
        <v>617</v>
      </c>
      <c r="D167" s="2780"/>
      <c r="E167" s="2782"/>
      <c r="F167" s="2046" t="s">
        <v>2228</v>
      </c>
      <c r="G167" s="2789"/>
      <c r="H167" s="2790"/>
      <c r="I167" s="327" t="s">
        <v>1801</v>
      </c>
      <c r="J167" s="2777"/>
      <c r="K167" s="2778"/>
      <c r="L167" s="2779"/>
      <c r="M167" s="2047" t="s">
        <v>1978</v>
      </c>
      <c r="N167" s="2777"/>
      <c r="O167" s="2778"/>
      <c r="P167" s="2779"/>
    </row>
    <row r="168" spans="1:16" s="294" customFormat="1" ht="12.6" customHeight="1">
      <c r="A168" s="480"/>
      <c r="B168" s="480"/>
      <c r="C168" s="294" t="s">
        <v>2703</v>
      </c>
      <c r="D168" s="2791"/>
      <c r="E168" s="2792"/>
      <c r="F168" s="2792"/>
      <c r="G168" s="2792"/>
      <c r="H168" s="2793"/>
      <c r="I168" s="327" t="s">
        <v>1799</v>
      </c>
      <c r="J168" s="2774"/>
      <c r="K168" s="2775"/>
      <c r="L168" s="2775"/>
      <c r="M168" s="2775"/>
      <c r="N168" s="2775"/>
      <c r="O168" s="2775"/>
      <c r="P168" s="2776"/>
    </row>
    <row r="169" spans="1:16" s="294" customFormat="1" ht="12" customHeight="1">
      <c r="A169" s="480"/>
      <c r="B169" s="480"/>
      <c r="C169" s="294" t="s">
        <v>4782</v>
      </c>
      <c r="E169" s="328"/>
      <c r="F169" s="328"/>
      <c r="G169" s="328"/>
      <c r="H169" s="2269"/>
      <c r="I169" s="2503"/>
      <c r="J169" s="2796" t="s">
        <v>760</v>
      </c>
      <c r="K169" s="2797"/>
      <c r="L169" s="2494"/>
      <c r="M169" s="328"/>
      <c r="N169" s="2269"/>
      <c r="O169" s="328"/>
      <c r="P169" s="328"/>
    </row>
    <row r="170" spans="1:16" s="294" customFormat="1" ht="3" customHeight="1">
      <c r="A170" s="480"/>
      <c r="B170" s="480"/>
    </row>
    <row r="171" spans="1:16" s="294" customFormat="1" ht="12.6" customHeight="1">
      <c r="A171" s="480"/>
      <c r="B171" s="480" t="s">
        <v>1984</v>
      </c>
      <c r="C171" s="2260" t="s">
        <v>2701</v>
      </c>
      <c r="D171" s="2260"/>
      <c r="E171" s="2260"/>
      <c r="F171" s="2260"/>
      <c r="G171" s="2260"/>
      <c r="I171" s="2507" t="s">
        <v>2991</v>
      </c>
      <c r="J171" s="2767" t="s">
        <v>760</v>
      </c>
      <c r="K171" s="2768"/>
      <c r="L171" s="2507"/>
      <c r="M171" s="2769" t="s">
        <v>2325</v>
      </c>
      <c r="N171" s="2770"/>
      <c r="O171" s="2771"/>
      <c r="P171" s="2508"/>
    </row>
    <row r="172" spans="1:16" s="294" customFormat="1" ht="12.6" customHeight="1">
      <c r="A172" s="480"/>
      <c r="B172" s="480"/>
      <c r="C172" s="2260" t="s">
        <v>2702</v>
      </c>
      <c r="D172" s="2260"/>
      <c r="E172" s="2260"/>
      <c r="F172" s="2260"/>
      <c r="G172" s="2260"/>
      <c r="I172" s="2492" t="s">
        <v>2991</v>
      </c>
      <c r="J172" s="2767" t="s">
        <v>760</v>
      </c>
      <c r="K172" s="2768"/>
      <c r="L172" s="2492"/>
      <c r="M172" s="2769" t="s">
        <v>2325</v>
      </c>
      <c r="N172" s="2770"/>
      <c r="O172" s="2771"/>
      <c r="P172" s="2509"/>
    </row>
    <row r="173" spans="1:16" s="294" customFormat="1" ht="1.5" customHeight="1">
      <c r="A173" s="480"/>
      <c r="B173" s="480"/>
      <c r="C173" s="2260"/>
      <c r="D173" s="2260"/>
      <c r="E173" s="296"/>
      <c r="F173" s="2260"/>
      <c r="G173" s="2260"/>
      <c r="J173" s="2266"/>
      <c r="K173" s="370"/>
      <c r="M173" s="2266"/>
      <c r="O173" s="2269"/>
      <c r="P173" s="303"/>
    </row>
    <row r="174" spans="1:16" s="294" customFormat="1" ht="12.6" customHeight="1">
      <c r="A174" s="480"/>
      <c r="B174" s="480" t="s">
        <v>748</v>
      </c>
      <c r="C174" s="2260" t="s">
        <v>1756</v>
      </c>
      <c r="D174" s="2260"/>
      <c r="E174" s="2260"/>
      <c r="F174" s="2260"/>
      <c r="G174" s="2260"/>
      <c r="I174" s="2485" t="s">
        <v>2991</v>
      </c>
      <c r="L174" s="168"/>
      <c r="M174" s="168"/>
      <c r="P174" s="303"/>
    </row>
    <row r="175" spans="1:16" s="294" customFormat="1" ht="1.5" customHeight="1">
      <c r="A175" s="480"/>
      <c r="B175" s="480"/>
      <c r="C175" s="2258"/>
      <c r="E175" s="328"/>
      <c r="F175" s="328"/>
      <c r="G175" s="328"/>
      <c r="I175" s="328"/>
      <c r="J175" s="328"/>
      <c r="K175" s="2269"/>
      <c r="L175" s="328"/>
      <c r="M175" s="328"/>
      <c r="N175" s="2269"/>
      <c r="O175" s="328"/>
      <c r="P175" s="328"/>
    </row>
    <row r="176" spans="1:16" s="294" customFormat="1" ht="12.6" customHeight="1">
      <c r="A176" s="480"/>
      <c r="B176" s="480" t="s">
        <v>2114</v>
      </c>
      <c r="C176" s="2772" t="s">
        <v>1977</v>
      </c>
      <c r="D176" s="2772"/>
      <c r="E176" s="2772"/>
      <c r="F176" s="2772"/>
      <c r="G176" s="2260"/>
      <c r="I176" s="2485" t="s">
        <v>2988</v>
      </c>
      <c r="J176" s="330" t="s">
        <v>2751</v>
      </c>
      <c r="L176" s="2773" t="s">
        <v>3699</v>
      </c>
      <c r="M176" s="2773"/>
      <c r="N176" s="2260"/>
      <c r="O176" s="2260"/>
      <c r="P176" s="2486">
        <v>40</v>
      </c>
    </row>
    <row r="177" spans="1:16" s="294" customFormat="1" ht="12.6" customHeight="1">
      <c r="B177" s="480"/>
      <c r="L177" s="2803" t="s">
        <v>796</v>
      </c>
      <c r="M177" s="2803"/>
      <c r="N177" s="2155"/>
      <c r="O177" s="2155"/>
      <c r="P177" s="2488">
        <v>30</v>
      </c>
    </row>
    <row r="178" spans="1:16" s="294" customFormat="1" ht="12.6" customHeight="1">
      <c r="A178" s="480"/>
      <c r="B178" s="480"/>
      <c r="L178" s="2803" t="s">
        <v>1790</v>
      </c>
      <c r="M178" s="2803"/>
      <c r="N178" s="2155"/>
      <c r="O178" s="2155"/>
      <c r="P178" s="329">
        <f>IF(P176="","",P177/P176)</f>
        <v>0.75</v>
      </c>
    </row>
    <row r="179" spans="1:16" s="294" customFormat="1" ht="13.2" customHeight="1">
      <c r="A179" s="480"/>
      <c r="B179" s="480" t="s">
        <v>1734</v>
      </c>
      <c r="C179" s="2260" t="s">
        <v>1608</v>
      </c>
      <c r="D179" s="2262"/>
      <c r="E179" s="2262"/>
      <c r="F179" s="2262"/>
      <c r="G179" s="2262"/>
      <c r="H179" s="2269"/>
      <c r="J179" s="302"/>
      <c r="K179" s="310"/>
      <c r="M179" s="2266"/>
      <c r="O179" s="2269"/>
      <c r="P179" s="303"/>
    </row>
    <row r="180" spans="1:16" s="294" customFormat="1" ht="12.6" customHeight="1">
      <c r="A180" s="480"/>
      <c r="B180" s="480"/>
      <c r="C180" s="2266" t="s">
        <v>2211</v>
      </c>
      <c r="D180" s="304"/>
      <c r="E180" s="2266"/>
      <c r="F180" s="2266"/>
      <c r="I180" s="2505" t="s">
        <v>2991</v>
      </c>
      <c r="L180" s="2266" t="s">
        <v>1609</v>
      </c>
      <c r="M180" s="2266"/>
      <c r="N180" s="2266"/>
      <c r="P180" s="2505" t="s">
        <v>2988</v>
      </c>
    </row>
    <row r="181" spans="1:16" s="294" customFormat="1" ht="12.6" customHeight="1">
      <c r="A181" s="480"/>
      <c r="B181" s="480"/>
      <c r="C181" s="2266" t="s">
        <v>2212</v>
      </c>
      <c r="I181" s="2501" t="s">
        <v>2988</v>
      </c>
      <c r="L181" s="2266" t="s">
        <v>2844</v>
      </c>
      <c r="M181" s="2266"/>
      <c r="N181" s="2266"/>
      <c r="P181" s="2501" t="s">
        <v>2991</v>
      </c>
    </row>
    <row r="182" spans="1:16" s="294" customFormat="1" ht="12.6" customHeight="1">
      <c r="A182" s="480"/>
      <c r="C182" s="2266" t="s">
        <v>2721</v>
      </c>
      <c r="I182" s="2501" t="s">
        <v>2991</v>
      </c>
      <c r="L182" s="2266" t="s">
        <v>2689</v>
      </c>
      <c r="N182" s="2804"/>
      <c r="O182" s="2805"/>
      <c r="P182" s="2501" t="s">
        <v>2991</v>
      </c>
    </row>
    <row r="183" spans="1:16" s="294" customFormat="1" ht="12.6" customHeight="1">
      <c r="A183" s="480"/>
      <c r="B183" s="480"/>
      <c r="C183" s="2266" t="s">
        <v>1284</v>
      </c>
      <c r="D183" s="331"/>
      <c r="I183" s="2501" t="s">
        <v>2991</v>
      </c>
      <c r="K183" s="304"/>
      <c r="L183" s="2266" t="s">
        <v>3480</v>
      </c>
      <c r="M183" s="2266"/>
      <c r="N183" s="2266"/>
      <c r="P183" s="2501" t="s">
        <v>2991</v>
      </c>
    </row>
    <row r="184" spans="1:16" s="294" customFormat="1" ht="12.6" customHeight="1">
      <c r="A184" s="480"/>
      <c r="B184" s="296"/>
      <c r="C184" s="2266" t="s">
        <v>1806</v>
      </c>
      <c r="I184" s="2501" t="s">
        <v>2991</v>
      </c>
      <c r="J184" s="330" t="s">
        <v>2752</v>
      </c>
      <c r="O184" s="2806"/>
      <c r="P184" s="2807"/>
    </row>
    <row r="185" spans="1:16" s="294" customFormat="1" ht="12.6" customHeight="1">
      <c r="A185" s="480"/>
      <c r="B185" s="480"/>
      <c r="C185" s="2266" t="s">
        <v>2901</v>
      </c>
      <c r="I185" s="2504" t="s">
        <v>2991</v>
      </c>
      <c r="J185" s="330" t="s">
        <v>2752</v>
      </c>
      <c r="O185" s="2808"/>
      <c r="P185" s="2809"/>
    </row>
    <row r="186" spans="1:16" s="294" customFormat="1" ht="1.5" customHeight="1">
      <c r="A186" s="480"/>
      <c r="B186" s="480"/>
      <c r="P186" s="302"/>
    </row>
    <row r="187" spans="1:16" s="294" customFormat="1" ht="13.2" customHeight="1">
      <c r="B187" s="480" t="s">
        <v>1735</v>
      </c>
      <c r="C187" s="299" t="s">
        <v>738</v>
      </c>
    </row>
    <row r="188" spans="1:16" s="294" customFormat="1" ht="12.6" customHeight="1">
      <c r="A188" s="480"/>
      <c r="B188" s="480"/>
      <c r="C188" s="2258" t="s">
        <v>638</v>
      </c>
      <c r="D188" s="2262"/>
      <c r="E188" s="2262"/>
      <c r="F188" s="2269"/>
      <c r="G188" s="2269"/>
      <c r="H188" s="2810"/>
      <c r="I188" s="2811"/>
      <c r="N188" s="2266"/>
      <c r="O188" s="2266"/>
      <c r="P188" s="303"/>
    </row>
    <row r="189" spans="1:16" s="294" customFormat="1" ht="12.6" customHeight="1">
      <c r="A189" s="480"/>
      <c r="B189" s="480"/>
      <c r="C189" s="2258" t="s">
        <v>276</v>
      </c>
      <c r="D189" s="2262"/>
      <c r="E189" s="2262"/>
      <c r="F189" s="2269"/>
      <c r="G189" s="2269"/>
      <c r="H189" s="2818">
        <v>44317</v>
      </c>
      <c r="I189" s="2819"/>
      <c r="N189" s="2266"/>
      <c r="O189" s="2266"/>
      <c r="P189" s="303"/>
    </row>
    <row r="190" spans="1:16" s="294" customFormat="1" ht="12.6" customHeight="1">
      <c r="A190" s="480"/>
      <c r="B190" s="480"/>
      <c r="C190" s="2258" t="s">
        <v>2294</v>
      </c>
      <c r="D190" s="2262"/>
      <c r="E190" s="2262"/>
      <c r="F190" s="2269"/>
      <c r="G190" s="2269"/>
      <c r="H190" s="2820"/>
      <c r="I190" s="2821"/>
      <c r="N190" s="2266"/>
      <c r="O190" s="2266"/>
      <c r="P190" s="303"/>
    </row>
    <row r="191" spans="1:16" s="294" customFormat="1" ht="2.25" customHeight="1">
      <c r="B191" s="296"/>
      <c r="C191" s="2266"/>
      <c r="H191" s="2266"/>
      <c r="L191" s="312"/>
      <c r="M191" s="312"/>
      <c r="N191" s="312"/>
      <c r="O191" s="312"/>
      <c r="P191" s="300"/>
    </row>
    <row r="192" spans="1:16" ht="12" customHeight="1">
      <c r="A192" s="321" t="s">
        <v>2780</v>
      </c>
      <c r="C192" s="321" t="s">
        <v>571</v>
      </c>
      <c r="M192" s="321" t="s">
        <v>2250</v>
      </c>
      <c r="N192" s="321" t="s">
        <v>79</v>
      </c>
    </row>
    <row r="193" spans="1:44" ht="409.5" customHeight="1">
      <c r="A193" s="2812"/>
      <c r="B193" s="2813"/>
      <c r="C193" s="2813"/>
      <c r="D193" s="2813"/>
      <c r="E193" s="2813"/>
      <c r="F193" s="2813"/>
      <c r="G193" s="2813"/>
      <c r="H193" s="2813"/>
      <c r="I193" s="2813"/>
      <c r="J193" s="2813"/>
      <c r="K193" s="2813"/>
      <c r="L193" s="2814"/>
      <c r="M193" s="2815"/>
      <c r="N193" s="2816"/>
      <c r="O193" s="2816"/>
      <c r="P193" s="2817"/>
      <c r="Q193" s="2765" t="s">
        <v>2692</v>
      </c>
      <c r="R193" s="2765"/>
      <c r="S193" s="2765"/>
      <c r="T193" s="2765"/>
      <c r="U193" s="2765"/>
    </row>
    <row r="194" spans="1:44" ht="12" customHeight="1">
      <c r="Q194" s="2765"/>
      <c r="R194" s="2765"/>
      <c r="S194" s="2765"/>
      <c r="T194" s="2765"/>
      <c r="U194" s="2765"/>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2510"/>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2510"/>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2510"/>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2510"/>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2883</v>
      </c>
      <c r="K214" s="312"/>
      <c r="L214" s="312"/>
      <c r="M214" s="312"/>
      <c r="N214" s="312"/>
      <c r="O214" s="312"/>
      <c r="P214" s="1082"/>
      <c r="Q214" s="2510"/>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2884</v>
      </c>
      <c r="K215" s="312"/>
      <c r="L215" s="312"/>
      <c r="M215" s="312"/>
      <c r="N215" s="312"/>
      <c r="O215" s="312"/>
      <c r="P215" s="1082"/>
      <c r="Q215" s="2510"/>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2885</v>
      </c>
      <c r="K216" s="312"/>
      <c r="L216" s="312"/>
      <c r="M216" s="312"/>
      <c r="N216" s="312"/>
      <c r="O216" s="312"/>
      <c r="P216" s="1082"/>
      <c r="Q216" s="2510"/>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2886</v>
      </c>
      <c r="K217" s="312"/>
      <c r="L217" s="312"/>
      <c r="M217" s="312"/>
      <c r="N217" s="312"/>
      <c r="O217" s="312"/>
      <c r="P217" s="1082"/>
      <c r="Q217" s="2510"/>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2887</v>
      </c>
      <c r="K218" s="312"/>
      <c r="L218" s="312"/>
      <c r="M218" s="312"/>
      <c r="N218" s="312"/>
      <c r="O218" s="312"/>
      <c r="P218" s="1082"/>
      <c r="Q218" s="2510"/>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2888</v>
      </c>
      <c r="K219" s="312"/>
      <c r="L219" s="312"/>
      <c r="M219" s="312"/>
      <c r="N219" s="312"/>
      <c r="O219" s="312"/>
      <c r="P219" s="1082"/>
      <c r="Q219" s="2510"/>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2889</v>
      </c>
      <c r="K220" s="312"/>
      <c r="L220" s="312"/>
      <c r="M220" s="312"/>
      <c r="N220" s="312"/>
      <c r="O220" s="312"/>
      <c r="P220" s="1082"/>
      <c r="Q220" s="2510"/>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2890</v>
      </c>
      <c r="K221" s="312"/>
      <c r="L221" s="312"/>
      <c r="M221" s="312"/>
      <c r="N221" s="312"/>
      <c r="O221" s="312"/>
      <c r="P221" s="1082"/>
      <c r="Q221" s="2510"/>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2891</v>
      </c>
      <c r="K222" s="312"/>
      <c r="L222" s="312"/>
      <c r="M222" s="312"/>
      <c r="N222" s="312"/>
      <c r="O222" s="312"/>
      <c r="P222" s="1082"/>
      <c r="Q222" s="2510"/>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3869</v>
      </c>
      <c r="K223" s="312"/>
      <c r="L223" s="312"/>
      <c r="M223" s="312"/>
      <c r="N223" s="312"/>
      <c r="O223" s="312"/>
      <c r="P223" s="1082"/>
      <c r="Q223" s="2510"/>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2510"/>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2510"/>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2510"/>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2510"/>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2510"/>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1"/>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2510"/>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2510"/>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2510"/>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1"/>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2510"/>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2510"/>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2510"/>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2510"/>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2510"/>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2510"/>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2510"/>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2510"/>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2510"/>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2510"/>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2510"/>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2510"/>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2510"/>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2"/>
      <c r="Q247" s="2510"/>
      <c r="R247" s="1082"/>
      <c r="S247" s="2513"/>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2510"/>
      <c r="R248" s="1082"/>
      <c r="S248" s="2513"/>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2510"/>
      <c r="R249" s="1082"/>
      <c r="S249" s="2513"/>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2510"/>
      <c r="R250" s="1082"/>
      <c r="S250" s="2513"/>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1"/>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2510"/>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2510"/>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2"/>
      <c r="Q255" s="2510"/>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2510"/>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2510"/>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2510"/>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2510"/>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2510"/>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2510"/>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2510"/>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2"/>
      <c r="Q263" s="2510"/>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2510"/>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2510"/>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2510"/>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2510"/>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2510"/>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2510"/>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2510"/>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2510"/>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2510"/>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2510"/>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2510"/>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2510"/>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2510"/>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2510"/>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2510"/>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2510"/>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2510"/>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2510"/>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2510"/>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2510"/>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2510"/>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2510"/>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2510"/>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2510"/>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2510"/>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2510"/>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2510"/>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2510"/>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2510"/>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2510"/>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2510"/>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2510"/>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2510"/>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2510"/>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2510"/>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2510"/>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2510"/>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2510"/>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2510"/>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2510"/>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2510"/>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2"/>
      <c r="Q305" s="2510"/>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2510"/>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2510"/>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2510"/>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2510"/>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2510"/>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2510"/>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2510"/>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2510"/>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2510"/>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2510"/>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2510"/>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2510"/>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2510"/>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1"/>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2510"/>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2510"/>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2510"/>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1"/>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2510"/>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2510"/>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2"/>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2510"/>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2510"/>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2510"/>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1"/>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2510"/>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2"/>
      <c r="Q334" s="2510"/>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2510"/>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2510"/>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2510"/>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1"/>
      <c r="Q340" s="2510"/>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2510"/>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2510"/>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2510"/>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2510"/>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2510"/>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2510"/>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2510"/>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2510"/>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2510"/>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2510"/>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2510"/>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2510"/>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2510"/>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2510"/>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2510"/>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2510"/>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2510"/>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2"/>
      <c r="Q358" s="2510"/>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2510"/>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2510"/>
      <c r="R360" s="1082"/>
      <c r="S360" s="2513"/>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2510"/>
      <c r="R361" s="1082"/>
      <c r="S361" s="2513"/>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2510"/>
      <c r="R362" s="1082"/>
      <c r="S362" s="2513"/>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2513"/>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2"/>
      <c r="Q364" s="1080"/>
      <c r="R364" s="1082"/>
      <c r="S364" s="2513"/>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2513"/>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2513"/>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2"/>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2"/>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2"/>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2512"/>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2512"/>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2512"/>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2512"/>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2512"/>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14"/>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15"/>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15"/>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15"/>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15"/>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15"/>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15"/>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15"/>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15"/>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15"/>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15"/>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15"/>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14"/>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14"/>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15"/>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15"/>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14"/>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15"/>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15"/>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15"/>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14"/>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15"/>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15"/>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15"/>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14"/>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15"/>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3" t="s">
        <v>94</v>
      </c>
      <c r="S620" s="2513" t="s">
        <v>96</v>
      </c>
      <c r="T620" s="2513"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3" t="s">
        <v>2560</v>
      </c>
      <c r="S621" s="2513" t="s">
        <v>627</v>
      </c>
      <c r="T621" s="2516" t="s">
        <v>2140</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15"/>
      <c r="R622" s="2513" t="s">
        <v>2561</v>
      </c>
      <c r="S622" s="2513" t="s">
        <v>319</v>
      </c>
      <c r="T622" s="2516" t="s">
        <v>2140</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3" t="s">
        <v>2562</v>
      </c>
      <c r="S623" s="2513" t="s">
        <v>2482</v>
      </c>
      <c r="T623" s="2516" t="s">
        <v>2140</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3" t="s">
        <v>2563</v>
      </c>
      <c r="S624" s="2513"/>
      <c r="T624" s="2516" t="s">
        <v>2140</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3" t="s">
        <v>2564</v>
      </c>
      <c r="S625" s="2513" t="s">
        <v>2006</v>
      </c>
      <c r="T625" s="2516" t="s">
        <v>2140</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3" t="s">
        <v>2565</v>
      </c>
      <c r="S626" s="2513" t="s">
        <v>2482</v>
      </c>
      <c r="T626" s="2516" t="s">
        <v>2140</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3" t="s">
        <v>2566</v>
      </c>
      <c r="S627" s="2513" t="s">
        <v>1326</v>
      </c>
      <c r="T627" s="2516" t="s">
        <v>2140</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3" t="s">
        <v>2567</v>
      </c>
      <c r="S628" s="2513" t="s">
        <v>2008</v>
      </c>
      <c r="T628" s="2516" t="s">
        <v>2140</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3" t="s">
        <v>2568</v>
      </c>
      <c r="S629" s="2513" t="s">
        <v>665</v>
      </c>
      <c r="T629" s="2516" t="s">
        <v>2140</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3" t="s">
        <v>2569</v>
      </c>
      <c r="S630" s="2513" t="s">
        <v>627</v>
      </c>
      <c r="T630" s="2516" t="s">
        <v>2140</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3" t="s">
        <v>2570</v>
      </c>
      <c r="S631" s="2513" t="s">
        <v>2171</v>
      </c>
      <c r="T631" s="2516" t="s">
        <v>2140</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3" t="s">
        <v>2571</v>
      </c>
      <c r="S632" s="2513" t="s">
        <v>2530</v>
      </c>
      <c r="T632" s="2516" t="s">
        <v>2140</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3" t="s">
        <v>2243</v>
      </c>
      <c r="S633" s="2513" t="s">
        <v>2527</v>
      </c>
      <c r="T633" s="2516" t="s">
        <v>2140</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3" t="s">
        <v>2572</v>
      </c>
      <c r="S634" s="2513" t="s">
        <v>2171</v>
      </c>
      <c r="T634" s="2516" t="s">
        <v>2140</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3" t="s">
        <v>2573</v>
      </c>
      <c r="S635" s="2513" t="s">
        <v>2485</v>
      </c>
      <c r="T635" s="2516" t="s">
        <v>2140</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14"/>
      <c r="R636" s="2513" t="s">
        <v>2574</v>
      </c>
      <c r="S636" s="2513" t="s">
        <v>2006</v>
      </c>
      <c r="T636" s="2516" t="s">
        <v>2140</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3" t="s">
        <v>1044</v>
      </c>
      <c r="S637" s="2513" t="s">
        <v>1455</v>
      </c>
      <c r="T637" s="2516" t="s">
        <v>2140</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15"/>
      <c r="R638" s="2513" t="s">
        <v>903</v>
      </c>
      <c r="S638" s="2513" t="s">
        <v>1102</v>
      </c>
      <c r="T638" s="2516" t="s">
        <v>2140</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3" t="s">
        <v>1045</v>
      </c>
      <c r="S639" s="2513" t="s">
        <v>627</v>
      </c>
      <c r="T639" s="2516" t="s">
        <v>2140</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3" t="s">
        <v>1046</v>
      </c>
      <c r="S640" s="2513" t="s">
        <v>1910</v>
      </c>
      <c r="T640" s="2516" t="s">
        <v>2140</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15"/>
      <c r="R641" s="2513" t="s">
        <v>1047</v>
      </c>
      <c r="S641" s="2513" t="s">
        <v>2004</v>
      </c>
      <c r="T641" s="2516" t="s">
        <v>2140</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3" t="s">
        <v>1048</v>
      </c>
      <c r="S642" s="2513" t="s">
        <v>1095</v>
      </c>
      <c r="T642" s="2516" t="s">
        <v>2140</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17"/>
      <c r="R643" s="2513" t="s">
        <v>1049</v>
      </c>
      <c r="S643" s="2513" t="s">
        <v>1519</v>
      </c>
      <c r="T643" s="2516" t="s">
        <v>2140</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3" t="s">
        <v>1050</v>
      </c>
      <c r="S644" s="2513" t="s">
        <v>2482</v>
      </c>
      <c r="T644" s="2516" t="s">
        <v>2140</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15"/>
      <c r="R645" s="2513" t="s">
        <v>1051</v>
      </c>
      <c r="S645" s="2513" t="s">
        <v>159</v>
      </c>
      <c r="T645" s="2516" t="s">
        <v>2140</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15"/>
      <c r="R646" s="2513" t="s">
        <v>1052</v>
      </c>
      <c r="S646" s="2513" t="s">
        <v>1333</v>
      </c>
      <c r="T646" s="2516" t="s">
        <v>2140</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3" t="s">
        <v>1053</v>
      </c>
      <c r="S647" s="2513" t="s">
        <v>1519</v>
      </c>
      <c r="T647" s="2516" t="s">
        <v>2140</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3" t="s">
        <v>1054</v>
      </c>
      <c r="S648" s="2513" t="s">
        <v>1109</v>
      </c>
      <c r="T648" s="2516" t="s">
        <v>2140</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3" t="s">
        <v>1055</v>
      </c>
      <c r="S649" s="2513" t="s">
        <v>2004</v>
      </c>
      <c r="T649" s="2516" t="s">
        <v>2140</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827</v>
      </c>
      <c r="S650" s="486" t="s">
        <v>872</v>
      </c>
      <c r="T650" s="2516" t="s">
        <v>2140</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3" t="s">
        <v>1056</v>
      </c>
      <c r="S651" s="2513" t="s">
        <v>2485</v>
      </c>
      <c r="T651" s="2516" t="s">
        <v>2140</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3" t="s">
        <v>1606</v>
      </c>
      <c r="S652" s="2513" t="s">
        <v>2527</v>
      </c>
      <c r="T652" s="2516" t="s">
        <v>2140</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3" t="s">
        <v>1057</v>
      </c>
      <c r="S653" s="2513"/>
      <c r="T653" s="2516" t="s">
        <v>2140</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3" t="s">
        <v>184</v>
      </c>
      <c r="S654" s="2513" t="s">
        <v>159</v>
      </c>
      <c r="T654" s="2516" t="s">
        <v>2140</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3" t="s">
        <v>1058</v>
      </c>
      <c r="S655" s="2513" t="s">
        <v>175</v>
      </c>
      <c r="T655" s="2516" t="s">
        <v>2140</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3" t="s">
        <v>2284</v>
      </c>
      <c r="S656" s="2513" t="s">
        <v>1205</v>
      </c>
      <c r="T656" s="2516" t="s">
        <v>2140</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3" t="s">
        <v>1059</v>
      </c>
      <c r="S657" s="2513" t="s">
        <v>627</v>
      </c>
      <c r="T657" s="2516" t="s">
        <v>2140</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3" t="s">
        <v>1060</v>
      </c>
      <c r="S658" s="2513" t="s">
        <v>627</v>
      </c>
      <c r="T658" s="2516" t="s">
        <v>2140</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3" t="s">
        <v>1061</v>
      </c>
      <c r="S659" s="2513" t="s">
        <v>627</v>
      </c>
      <c r="T659" s="2516" t="s">
        <v>2140</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3" t="s">
        <v>1062</v>
      </c>
      <c r="S660" s="2513" t="s">
        <v>627</v>
      </c>
      <c r="T660" s="2516" t="s">
        <v>2140</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3" t="s">
        <v>1063</v>
      </c>
      <c r="S661" s="2513" t="s">
        <v>1667</v>
      </c>
      <c r="T661" s="2516" t="s">
        <v>2140</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3" t="s">
        <v>1064</v>
      </c>
      <c r="S662" s="2513" t="s">
        <v>954</v>
      </c>
      <c r="T662" s="2516" t="s">
        <v>2140</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3" t="s">
        <v>1065</v>
      </c>
      <c r="S663" s="2513" t="s">
        <v>122</v>
      </c>
      <c r="T663" s="2516" t="s">
        <v>2140</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15"/>
      <c r="R664" s="2513" t="s">
        <v>1066</v>
      </c>
      <c r="S664" s="2513" t="s">
        <v>627</v>
      </c>
      <c r="T664" s="2516" t="s">
        <v>2140</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3" t="s">
        <v>1067</v>
      </c>
      <c r="S665" s="2513" t="s">
        <v>316</v>
      </c>
      <c r="T665" s="2516" t="s">
        <v>2140</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3" t="s">
        <v>1068</v>
      </c>
      <c r="S666" s="2513" t="s">
        <v>320</v>
      </c>
      <c r="T666" s="2516" t="s">
        <v>2140</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3" t="s">
        <v>831</v>
      </c>
      <c r="S667" s="2513" t="s">
        <v>1312</v>
      </c>
      <c r="T667" s="2516" t="s">
        <v>2140</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3" t="s">
        <v>1069</v>
      </c>
      <c r="S668" s="2513" t="s">
        <v>665</v>
      </c>
      <c r="T668" s="2516" t="s">
        <v>2140</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3" t="s">
        <v>1070</v>
      </c>
      <c r="S669" s="2513" t="s">
        <v>1519</v>
      </c>
      <c r="T669" s="2516" t="s">
        <v>2140</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3" t="s">
        <v>1071</v>
      </c>
      <c r="S670" s="2513" t="s">
        <v>627</v>
      </c>
      <c r="T670" s="2516" t="s">
        <v>2140</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3" t="s">
        <v>1072</v>
      </c>
      <c r="S671" s="2513" t="s">
        <v>657</v>
      </c>
      <c r="T671" s="2516" t="s">
        <v>2140</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3" t="s">
        <v>1073</v>
      </c>
      <c r="S672" s="2513" t="s">
        <v>159</v>
      </c>
      <c r="T672" s="2516" t="s">
        <v>2140</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14"/>
      <c r="R673" s="2513" t="s">
        <v>1074</v>
      </c>
      <c r="S673" s="2513" t="s">
        <v>1910</v>
      </c>
      <c r="T673" s="2516" t="s">
        <v>2140</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15"/>
      <c r="R674" s="2513" t="s">
        <v>1075</v>
      </c>
      <c r="S674" s="2513" t="s">
        <v>2004</v>
      </c>
      <c r="T674" s="2516" t="s">
        <v>2140</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3" t="s">
        <v>1076</v>
      </c>
      <c r="S675" s="2513" t="s">
        <v>627</v>
      </c>
      <c r="T675" s="2516" t="s">
        <v>2140</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3" t="s">
        <v>1077</v>
      </c>
      <c r="S676" s="2513" t="s">
        <v>1667</v>
      </c>
      <c r="T676" s="2516" t="s">
        <v>2140</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15"/>
      <c r="R677" s="2513" t="s">
        <v>1078</v>
      </c>
      <c r="S677" s="2513" t="s">
        <v>2485</v>
      </c>
      <c r="T677" s="2516" t="s">
        <v>2140</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3" t="s">
        <v>1079</v>
      </c>
      <c r="S678" s="2513" t="s">
        <v>159</v>
      </c>
      <c r="T678" s="2516" t="s">
        <v>2140</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3" t="s">
        <v>1080</v>
      </c>
      <c r="S679" s="2513" t="s">
        <v>159</v>
      </c>
      <c r="T679" s="2516" t="s">
        <v>2140</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15"/>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15"/>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15"/>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15"/>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15"/>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15"/>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17"/>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14"/>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15"/>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15"/>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14"/>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15"/>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14"/>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15"/>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15"/>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ZsJwhbi+hUYUzqStkkrt6StlMUo535kSZbmM/9ExrwxofVhwfX01hma6/RA/JCJz3+ve7jW4aglPAQXkY+TXCw==" saltValue="nrnf/4Zutrux3bz3ZcFvFg==" spinCount="100000" sheet="1" object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33203125" defaultRowHeight="13.2"/>
  <cols>
    <col min="1" max="1" width="5.33203125" style="548" customWidth="1"/>
    <col min="2" max="4" width="10.6640625" style="548" customWidth="1"/>
    <col min="5" max="5" width="15.6640625" style="548" customWidth="1"/>
    <col min="6" max="8" width="10.6640625" style="548" customWidth="1"/>
    <col min="9" max="16384" width="9.33203125" style="548"/>
  </cols>
  <sheetData>
    <row r="1" spans="1:8" ht="22.2" customHeight="1">
      <c r="B1" s="4097" t="str">
        <f>Overview!C8</f>
        <v>Woodstone Apartments II</v>
      </c>
      <c r="C1" s="4097"/>
      <c r="D1" s="4097"/>
      <c r="E1" s="4097"/>
      <c r="F1" s="4097"/>
      <c r="G1" s="4097"/>
      <c r="H1" s="1297"/>
    </row>
    <row r="2" spans="1:8" ht="22.2" customHeight="1">
      <c r="A2" s="1869"/>
      <c r="B2" s="1869"/>
      <c r="C2" s="1869"/>
      <c r="D2" s="1869"/>
      <c r="E2" s="1869"/>
      <c r="F2" s="1869"/>
      <c r="G2" s="1869"/>
      <c r="H2" s="1869"/>
    </row>
    <row r="3" spans="1:8" ht="20.25" customHeight="1">
      <c r="C3" s="4096" t="s">
        <v>3075</v>
      </c>
      <c r="D3" s="4096"/>
      <c r="E3" s="4096"/>
      <c r="F3" s="4096"/>
    </row>
    <row r="5" spans="1:8" ht="15.6">
      <c r="D5" s="1260"/>
      <c r="E5" s="1260" t="s">
        <v>3076</v>
      </c>
    </row>
    <row r="6" spans="1:8" ht="15.6">
      <c r="D6" s="1298" t="s">
        <v>2479</v>
      </c>
      <c r="E6" s="1298" t="s">
        <v>3077</v>
      </c>
    </row>
    <row r="7" spans="1:8" ht="15">
      <c r="D7" s="1261"/>
      <c r="E7" s="1261"/>
    </row>
    <row r="8" spans="1:8" ht="21" customHeight="1">
      <c r="D8" s="1262">
        <v>1</v>
      </c>
      <c r="E8" s="1263">
        <f>-'Part VII-Pro Forma'!B25/12</f>
        <v>0</v>
      </c>
    </row>
    <row r="9" spans="1:8" ht="21" customHeight="1">
      <c r="D9" s="1262">
        <v>2</v>
      </c>
      <c r="E9" s="1263">
        <f>-'Part VII-Pro Forma'!C25/12</f>
        <v>0</v>
      </c>
    </row>
    <row r="10" spans="1:8" ht="21" customHeight="1">
      <c r="D10" s="1262">
        <v>3</v>
      </c>
      <c r="E10" s="1263">
        <f>-'Part VII-Pro Forma'!D25/12</f>
        <v>0</v>
      </c>
    </row>
    <row r="11" spans="1:8" ht="21" customHeight="1">
      <c r="D11" s="1264">
        <v>4</v>
      </c>
      <c r="E11" s="1263">
        <f>-'Part VII-Pro Forma'!E25/12</f>
        <v>0</v>
      </c>
    </row>
    <row r="12" spans="1:8" ht="21" customHeight="1">
      <c r="D12" s="1264">
        <v>5</v>
      </c>
      <c r="E12" s="1263">
        <f>-'Part VII-Pro Forma'!F25/12</f>
        <v>0</v>
      </c>
    </row>
    <row r="13" spans="1:8" ht="21" customHeight="1">
      <c r="D13" s="1262">
        <v>6</v>
      </c>
      <c r="E13" s="1263">
        <f>-'Part VII-Pro Forma'!G25/12</f>
        <v>0</v>
      </c>
    </row>
    <row r="14" spans="1:8" ht="21" customHeight="1">
      <c r="D14" s="1262">
        <v>7</v>
      </c>
      <c r="E14" s="1263">
        <f>-'Part VII-Pro Forma'!H25/12</f>
        <v>0</v>
      </c>
    </row>
    <row r="15" spans="1:8" ht="21" customHeight="1">
      <c r="D15" s="1264">
        <v>8</v>
      </c>
      <c r="E15" s="1263">
        <f>-'Part VII-Pro Forma'!I25/12</f>
        <v>0</v>
      </c>
    </row>
    <row r="16" spans="1:8" ht="21" customHeight="1">
      <c r="D16" s="1262">
        <v>9</v>
      </c>
      <c r="E16" s="1263">
        <f>-'Part VII-Pro Forma'!J25/12</f>
        <v>0</v>
      </c>
    </row>
    <row r="17" spans="4:8" ht="21" customHeight="1">
      <c r="D17" s="1262">
        <v>10</v>
      </c>
      <c r="E17" s="1263">
        <f>-'Part VII-Pro Forma'!K25/12</f>
        <v>0</v>
      </c>
    </row>
    <row r="18" spans="4:8" ht="21" customHeight="1">
      <c r="D18" s="1264">
        <v>11</v>
      </c>
      <c r="E18" s="1263">
        <f>-'Part VII-Pro Forma'!B57/12</f>
        <v>0</v>
      </c>
    </row>
    <row r="19" spans="4:8" ht="21" customHeight="1">
      <c r="D19" s="1262">
        <v>12</v>
      </c>
      <c r="E19" s="1263">
        <f>-'Part VII-Pro Forma'!C57/12</f>
        <v>0</v>
      </c>
    </row>
    <row r="20" spans="4:8" ht="21" customHeight="1">
      <c r="D20" s="1262">
        <v>13</v>
      </c>
      <c r="E20" s="1263">
        <f>-'Part VII-Pro Forma'!D57/12</f>
        <v>0</v>
      </c>
    </row>
    <row r="21" spans="4:8" ht="21" customHeight="1">
      <c r="D21" s="1262">
        <v>14</v>
      </c>
      <c r="E21" s="1263">
        <f>-'Part VII-Pro Forma'!E57/12</f>
        <v>0</v>
      </c>
    </row>
    <row r="22" spans="4:8" ht="21" customHeight="1">
      <c r="D22" s="1262">
        <v>15</v>
      </c>
      <c r="E22" s="1263">
        <f>-'Part VII-Pro Forma'!F57/12</f>
        <v>0</v>
      </c>
    </row>
    <row r="23" spans="4:8" ht="21" customHeight="1">
      <c r="D23" s="1262">
        <v>16</v>
      </c>
      <c r="E23" s="1263">
        <f>-'Part VII-Pro Forma'!G57/12</f>
        <v>0</v>
      </c>
    </row>
    <row r="24" spans="4:8" ht="21" customHeight="1">
      <c r="D24" s="1262">
        <v>17</v>
      </c>
      <c r="E24" s="1263">
        <f>-'Part VII-Pro Forma'!H57/12</f>
        <v>0</v>
      </c>
      <c r="H24" s="548" t="s">
        <v>243</v>
      </c>
    </row>
    <row r="25" spans="4:8" ht="21" customHeight="1">
      <c r="D25" s="1262">
        <v>18</v>
      </c>
      <c r="E25" s="1263">
        <f>-'Part VII-Pro Forma'!I57/12</f>
        <v>0</v>
      </c>
    </row>
    <row r="26" spans="4:8" ht="21" customHeight="1">
      <c r="D26" s="1262">
        <v>19</v>
      </c>
      <c r="E26" s="1263">
        <f>-'Part VII-Pro Forma'!J57/12</f>
        <v>0</v>
      </c>
    </row>
    <row r="27" spans="4:8" ht="21" customHeight="1">
      <c r="D27" s="1262">
        <v>20</v>
      </c>
      <c r="E27" s="1263">
        <f>-'Part VII-Pro Forma'!K57/12</f>
        <v>0</v>
      </c>
    </row>
    <row r="28" spans="4:8" ht="21" customHeight="1">
      <c r="D28" s="1262">
        <v>21</v>
      </c>
      <c r="E28" s="1263">
        <f>-'Part VII-Pro Forma'!B89/12</f>
        <v>0</v>
      </c>
    </row>
    <row r="29" spans="4:8" ht="21" customHeight="1">
      <c r="D29" s="1262">
        <v>22</v>
      </c>
      <c r="E29" s="1263">
        <f>-'Part VII-Pro Forma'!C89/12</f>
        <v>0</v>
      </c>
    </row>
    <row r="30" spans="4:8" ht="21" customHeight="1">
      <c r="D30" s="1262">
        <v>23</v>
      </c>
      <c r="E30" s="1263">
        <f>-'Part VII-Pro Forma'!D89/12</f>
        <v>0</v>
      </c>
    </row>
    <row r="31" spans="4:8" ht="21" customHeight="1">
      <c r="D31" s="1262">
        <v>24</v>
      </c>
      <c r="E31" s="1263">
        <f>-'Part VII-Pro Forma'!E89/12</f>
        <v>0</v>
      </c>
    </row>
    <row r="32" spans="4:8" ht="21" customHeight="1">
      <c r="D32" s="1262">
        <v>25</v>
      </c>
      <c r="E32" s="1263">
        <f>-'Part VII-Pro Forma'!F89/12</f>
        <v>0</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60" customWidth="1"/>
    <col min="2" max="2" width="10.33203125" style="760" customWidth="1"/>
    <col min="3" max="3" width="11.6640625" style="760" customWidth="1"/>
    <col min="4" max="4" width="8.5546875" style="760" customWidth="1"/>
    <col min="5" max="5" width="13.6640625" style="760" customWidth="1"/>
    <col min="6" max="6" width="2.6640625" style="760" customWidth="1"/>
    <col min="7" max="7" width="11.6640625" style="760" customWidth="1"/>
    <col min="8" max="8" width="8.5546875" style="760" customWidth="1"/>
    <col min="9" max="9" width="13.6640625" style="760" customWidth="1"/>
    <col min="10" max="10" width="4.6640625" style="760" customWidth="1"/>
    <col min="11" max="11" width="25.6640625" style="760" customWidth="1"/>
    <col min="12" max="256" width="8.6640625" style="760"/>
    <col min="257" max="257" width="11.5546875" style="760" bestFit="1" customWidth="1"/>
    <col min="258" max="258" width="12.5546875" style="760" customWidth="1"/>
    <col min="259" max="259" width="10.33203125" style="760" customWidth="1"/>
    <col min="260" max="260" width="14.6640625" style="760" customWidth="1"/>
    <col min="261" max="261" width="13.33203125" style="760" bestFit="1" customWidth="1"/>
    <col min="262" max="262" width="4.6640625" style="760" customWidth="1"/>
    <col min="263" max="263" width="11.6640625" style="760" customWidth="1"/>
    <col min="264" max="264" width="12" style="760" customWidth="1"/>
    <col min="265" max="265" width="9.6640625" style="760" customWidth="1"/>
    <col min="266" max="266" width="13.6640625" style="760" bestFit="1" customWidth="1"/>
    <col min="267" max="512" width="8.6640625" style="760"/>
    <col min="513" max="513" width="11.5546875" style="760" bestFit="1" customWidth="1"/>
    <col min="514" max="514" width="12.5546875" style="760" customWidth="1"/>
    <col min="515" max="515" width="10.33203125" style="760" customWidth="1"/>
    <col min="516" max="516" width="14.6640625" style="760" customWidth="1"/>
    <col min="517" max="517" width="13.33203125" style="760" bestFit="1" customWidth="1"/>
    <col min="518" max="518" width="4.6640625" style="760" customWidth="1"/>
    <col min="519" max="519" width="11.6640625" style="760" customWidth="1"/>
    <col min="520" max="520" width="12" style="760" customWidth="1"/>
    <col min="521" max="521" width="9.6640625" style="760" customWidth="1"/>
    <col min="522" max="522" width="13.6640625" style="760" bestFit="1" customWidth="1"/>
    <col min="523" max="768" width="8.6640625" style="760"/>
    <col min="769" max="769" width="11.5546875" style="760" bestFit="1" customWidth="1"/>
    <col min="770" max="770" width="12.5546875" style="760" customWidth="1"/>
    <col min="771" max="771" width="10.33203125" style="760" customWidth="1"/>
    <col min="772" max="772" width="14.6640625" style="760" customWidth="1"/>
    <col min="773" max="773" width="13.33203125" style="760" bestFit="1" customWidth="1"/>
    <col min="774" max="774" width="4.6640625" style="760" customWidth="1"/>
    <col min="775" max="775" width="11.6640625" style="760" customWidth="1"/>
    <col min="776" max="776" width="12" style="760" customWidth="1"/>
    <col min="777" max="777" width="9.6640625" style="760" customWidth="1"/>
    <col min="778" max="778" width="13.6640625" style="760" bestFit="1" customWidth="1"/>
    <col min="779" max="1024" width="8.6640625" style="760"/>
    <col min="1025" max="1025" width="11.5546875" style="760" bestFit="1" customWidth="1"/>
    <col min="1026" max="1026" width="12.5546875" style="760" customWidth="1"/>
    <col min="1027" max="1027" width="10.33203125" style="760" customWidth="1"/>
    <col min="1028" max="1028" width="14.6640625" style="760" customWidth="1"/>
    <col min="1029" max="1029" width="13.33203125" style="760" bestFit="1" customWidth="1"/>
    <col min="1030" max="1030" width="4.6640625" style="760" customWidth="1"/>
    <col min="1031" max="1031" width="11.6640625" style="760" customWidth="1"/>
    <col min="1032" max="1032" width="12" style="760" customWidth="1"/>
    <col min="1033" max="1033" width="9.6640625" style="760" customWidth="1"/>
    <col min="1034" max="1034" width="13.6640625" style="760" bestFit="1" customWidth="1"/>
    <col min="1035" max="1280" width="8.6640625" style="760"/>
    <col min="1281" max="1281" width="11.5546875" style="760" bestFit="1" customWidth="1"/>
    <col min="1282" max="1282" width="12.5546875" style="760" customWidth="1"/>
    <col min="1283" max="1283" width="10.33203125" style="760" customWidth="1"/>
    <col min="1284" max="1284" width="14.6640625" style="760" customWidth="1"/>
    <col min="1285" max="1285" width="13.33203125" style="760" bestFit="1" customWidth="1"/>
    <col min="1286" max="1286" width="4.6640625" style="760" customWidth="1"/>
    <col min="1287" max="1287" width="11.6640625" style="760" customWidth="1"/>
    <col min="1288" max="1288" width="12" style="760" customWidth="1"/>
    <col min="1289" max="1289" width="9.6640625" style="760" customWidth="1"/>
    <col min="1290" max="1290" width="13.6640625" style="760" bestFit="1" customWidth="1"/>
    <col min="1291" max="1536" width="8.6640625" style="760"/>
    <col min="1537" max="1537" width="11.5546875" style="760" bestFit="1" customWidth="1"/>
    <col min="1538" max="1538" width="12.5546875" style="760" customWidth="1"/>
    <col min="1539" max="1539" width="10.33203125" style="760" customWidth="1"/>
    <col min="1540" max="1540" width="14.6640625" style="760" customWidth="1"/>
    <col min="1541" max="1541" width="13.33203125" style="760" bestFit="1" customWidth="1"/>
    <col min="1542" max="1542" width="4.6640625" style="760" customWidth="1"/>
    <col min="1543" max="1543" width="11.6640625" style="760" customWidth="1"/>
    <col min="1544" max="1544" width="12" style="760" customWidth="1"/>
    <col min="1545" max="1545" width="9.6640625" style="760" customWidth="1"/>
    <col min="1546" max="1546" width="13.6640625" style="760" bestFit="1" customWidth="1"/>
    <col min="1547" max="1792" width="8.6640625" style="760"/>
    <col min="1793" max="1793" width="11.5546875" style="760" bestFit="1" customWidth="1"/>
    <col min="1794" max="1794" width="12.5546875" style="760" customWidth="1"/>
    <col min="1795" max="1795" width="10.33203125" style="760" customWidth="1"/>
    <col min="1796" max="1796" width="14.6640625" style="760" customWidth="1"/>
    <col min="1797" max="1797" width="13.33203125" style="760" bestFit="1" customWidth="1"/>
    <col min="1798" max="1798" width="4.6640625" style="760" customWidth="1"/>
    <col min="1799" max="1799" width="11.6640625" style="760" customWidth="1"/>
    <col min="1800" max="1800" width="12" style="760" customWidth="1"/>
    <col min="1801" max="1801" width="9.6640625" style="760" customWidth="1"/>
    <col min="1802" max="1802" width="13.6640625" style="760" bestFit="1" customWidth="1"/>
    <col min="1803" max="2048" width="8.6640625" style="760"/>
    <col min="2049" max="2049" width="11.5546875" style="760" bestFit="1" customWidth="1"/>
    <col min="2050" max="2050" width="12.5546875" style="760" customWidth="1"/>
    <col min="2051" max="2051" width="10.33203125" style="760" customWidth="1"/>
    <col min="2052" max="2052" width="14.6640625" style="760" customWidth="1"/>
    <col min="2053" max="2053" width="13.33203125" style="760" bestFit="1" customWidth="1"/>
    <col min="2054" max="2054" width="4.6640625" style="760" customWidth="1"/>
    <col min="2055" max="2055" width="11.6640625" style="760" customWidth="1"/>
    <col min="2056" max="2056" width="12" style="760" customWidth="1"/>
    <col min="2057" max="2057" width="9.6640625" style="760" customWidth="1"/>
    <col min="2058" max="2058" width="13.6640625" style="760" bestFit="1" customWidth="1"/>
    <col min="2059" max="2304" width="8.6640625" style="760"/>
    <col min="2305" max="2305" width="11.5546875" style="760" bestFit="1" customWidth="1"/>
    <col min="2306" max="2306" width="12.5546875" style="760" customWidth="1"/>
    <col min="2307" max="2307" width="10.33203125" style="760" customWidth="1"/>
    <col min="2308" max="2308" width="14.6640625" style="760" customWidth="1"/>
    <col min="2309" max="2309" width="13.33203125" style="760" bestFit="1" customWidth="1"/>
    <col min="2310" max="2310" width="4.6640625" style="760" customWidth="1"/>
    <col min="2311" max="2311" width="11.6640625" style="760" customWidth="1"/>
    <col min="2312" max="2312" width="12" style="760" customWidth="1"/>
    <col min="2313" max="2313" width="9.6640625" style="760" customWidth="1"/>
    <col min="2314" max="2314" width="13.6640625" style="760" bestFit="1" customWidth="1"/>
    <col min="2315" max="2560" width="8.6640625" style="760"/>
    <col min="2561" max="2561" width="11.5546875" style="760" bestFit="1" customWidth="1"/>
    <col min="2562" max="2562" width="12.5546875" style="760" customWidth="1"/>
    <col min="2563" max="2563" width="10.33203125" style="760" customWidth="1"/>
    <col min="2564" max="2564" width="14.6640625" style="760" customWidth="1"/>
    <col min="2565" max="2565" width="13.33203125" style="760" bestFit="1" customWidth="1"/>
    <col min="2566" max="2566" width="4.6640625" style="760" customWidth="1"/>
    <col min="2567" max="2567" width="11.6640625" style="760" customWidth="1"/>
    <col min="2568" max="2568" width="12" style="760" customWidth="1"/>
    <col min="2569" max="2569" width="9.6640625" style="760" customWidth="1"/>
    <col min="2570" max="2570" width="13.6640625" style="760" bestFit="1" customWidth="1"/>
    <col min="2571" max="2816" width="8.6640625" style="760"/>
    <col min="2817" max="2817" width="11.5546875" style="760" bestFit="1" customWidth="1"/>
    <col min="2818" max="2818" width="12.5546875" style="760" customWidth="1"/>
    <col min="2819" max="2819" width="10.33203125" style="760" customWidth="1"/>
    <col min="2820" max="2820" width="14.6640625" style="760" customWidth="1"/>
    <col min="2821" max="2821" width="13.33203125" style="760" bestFit="1" customWidth="1"/>
    <col min="2822" max="2822" width="4.6640625" style="760" customWidth="1"/>
    <col min="2823" max="2823" width="11.6640625" style="760" customWidth="1"/>
    <col min="2824" max="2824" width="12" style="760" customWidth="1"/>
    <col min="2825" max="2825" width="9.6640625" style="760" customWidth="1"/>
    <col min="2826" max="2826" width="13.6640625" style="760" bestFit="1" customWidth="1"/>
    <col min="2827" max="3072" width="8.6640625" style="760"/>
    <col min="3073" max="3073" width="11.5546875" style="760" bestFit="1" customWidth="1"/>
    <col min="3074" max="3074" width="12.5546875" style="760" customWidth="1"/>
    <col min="3075" max="3075" width="10.33203125" style="760" customWidth="1"/>
    <col min="3076" max="3076" width="14.6640625" style="760" customWidth="1"/>
    <col min="3077" max="3077" width="13.33203125" style="760" bestFit="1" customWidth="1"/>
    <col min="3078" max="3078" width="4.6640625" style="760" customWidth="1"/>
    <col min="3079" max="3079" width="11.6640625" style="760" customWidth="1"/>
    <col min="3080" max="3080" width="12" style="760" customWidth="1"/>
    <col min="3081" max="3081" width="9.6640625" style="760" customWidth="1"/>
    <col min="3082" max="3082" width="13.6640625" style="760" bestFit="1" customWidth="1"/>
    <col min="3083" max="3328" width="8.6640625" style="760"/>
    <col min="3329" max="3329" width="11.5546875" style="760" bestFit="1" customWidth="1"/>
    <col min="3330" max="3330" width="12.5546875" style="760" customWidth="1"/>
    <col min="3331" max="3331" width="10.33203125" style="760" customWidth="1"/>
    <col min="3332" max="3332" width="14.6640625" style="760" customWidth="1"/>
    <col min="3333" max="3333" width="13.33203125" style="760" bestFit="1" customWidth="1"/>
    <col min="3334" max="3334" width="4.6640625" style="760" customWidth="1"/>
    <col min="3335" max="3335" width="11.6640625" style="760" customWidth="1"/>
    <col min="3336" max="3336" width="12" style="760" customWidth="1"/>
    <col min="3337" max="3337" width="9.6640625" style="760" customWidth="1"/>
    <col min="3338" max="3338" width="13.6640625" style="760" bestFit="1" customWidth="1"/>
    <col min="3339" max="3584" width="8.6640625" style="760"/>
    <col min="3585" max="3585" width="11.5546875" style="760" bestFit="1" customWidth="1"/>
    <col min="3586" max="3586" width="12.5546875" style="760" customWidth="1"/>
    <col min="3587" max="3587" width="10.33203125" style="760" customWidth="1"/>
    <col min="3588" max="3588" width="14.6640625" style="760" customWidth="1"/>
    <col min="3589" max="3589" width="13.33203125" style="760" bestFit="1" customWidth="1"/>
    <col min="3590" max="3590" width="4.6640625" style="760" customWidth="1"/>
    <col min="3591" max="3591" width="11.6640625" style="760" customWidth="1"/>
    <col min="3592" max="3592" width="12" style="760" customWidth="1"/>
    <col min="3593" max="3593" width="9.6640625" style="760" customWidth="1"/>
    <col min="3594" max="3594" width="13.6640625" style="760" bestFit="1" customWidth="1"/>
    <col min="3595" max="3840" width="8.6640625" style="760"/>
    <col min="3841" max="3841" width="11.5546875" style="760" bestFit="1" customWidth="1"/>
    <col min="3842" max="3842" width="12.5546875" style="760" customWidth="1"/>
    <col min="3843" max="3843" width="10.33203125" style="760" customWidth="1"/>
    <col min="3844" max="3844" width="14.6640625" style="760" customWidth="1"/>
    <col min="3845" max="3845" width="13.33203125" style="760" bestFit="1" customWidth="1"/>
    <col min="3846" max="3846" width="4.6640625" style="760" customWidth="1"/>
    <col min="3847" max="3847" width="11.6640625" style="760" customWidth="1"/>
    <col min="3848" max="3848" width="12" style="760" customWidth="1"/>
    <col min="3849" max="3849" width="9.6640625" style="760" customWidth="1"/>
    <col min="3850" max="3850" width="13.6640625" style="760" bestFit="1" customWidth="1"/>
    <col min="3851" max="4096" width="8.6640625" style="760"/>
    <col min="4097" max="4097" width="11.5546875" style="760" bestFit="1" customWidth="1"/>
    <col min="4098" max="4098" width="12.5546875" style="760" customWidth="1"/>
    <col min="4099" max="4099" width="10.33203125" style="760" customWidth="1"/>
    <col min="4100" max="4100" width="14.6640625" style="760" customWidth="1"/>
    <col min="4101" max="4101" width="13.33203125" style="760" bestFit="1" customWidth="1"/>
    <col min="4102" max="4102" width="4.6640625" style="760" customWidth="1"/>
    <col min="4103" max="4103" width="11.6640625" style="760" customWidth="1"/>
    <col min="4104" max="4104" width="12" style="760" customWidth="1"/>
    <col min="4105" max="4105" width="9.6640625" style="760" customWidth="1"/>
    <col min="4106" max="4106" width="13.6640625" style="760" bestFit="1" customWidth="1"/>
    <col min="4107" max="4352" width="8.6640625" style="760"/>
    <col min="4353" max="4353" width="11.5546875" style="760" bestFit="1" customWidth="1"/>
    <col min="4354" max="4354" width="12.5546875" style="760" customWidth="1"/>
    <col min="4355" max="4355" width="10.33203125" style="760" customWidth="1"/>
    <col min="4356" max="4356" width="14.6640625" style="760" customWidth="1"/>
    <col min="4357" max="4357" width="13.33203125" style="760" bestFit="1" customWidth="1"/>
    <col min="4358" max="4358" width="4.6640625" style="760" customWidth="1"/>
    <col min="4359" max="4359" width="11.6640625" style="760" customWidth="1"/>
    <col min="4360" max="4360" width="12" style="760" customWidth="1"/>
    <col min="4361" max="4361" width="9.6640625" style="760" customWidth="1"/>
    <col min="4362" max="4362" width="13.6640625" style="760" bestFit="1" customWidth="1"/>
    <col min="4363" max="4608" width="8.6640625" style="760"/>
    <col min="4609" max="4609" width="11.5546875" style="760" bestFit="1" customWidth="1"/>
    <col min="4610" max="4610" width="12.5546875" style="760" customWidth="1"/>
    <col min="4611" max="4611" width="10.33203125" style="760" customWidth="1"/>
    <col min="4612" max="4612" width="14.6640625" style="760" customWidth="1"/>
    <col min="4613" max="4613" width="13.33203125" style="760" bestFit="1" customWidth="1"/>
    <col min="4614" max="4614" width="4.6640625" style="760" customWidth="1"/>
    <col min="4615" max="4615" width="11.6640625" style="760" customWidth="1"/>
    <col min="4616" max="4616" width="12" style="760" customWidth="1"/>
    <col min="4617" max="4617" width="9.6640625" style="760" customWidth="1"/>
    <col min="4618" max="4618" width="13.6640625" style="760" bestFit="1" customWidth="1"/>
    <col min="4619" max="4864" width="8.6640625" style="760"/>
    <col min="4865" max="4865" width="11.5546875" style="760" bestFit="1" customWidth="1"/>
    <col min="4866" max="4866" width="12.5546875" style="760" customWidth="1"/>
    <col min="4867" max="4867" width="10.33203125" style="760" customWidth="1"/>
    <col min="4868" max="4868" width="14.6640625" style="760" customWidth="1"/>
    <col min="4869" max="4869" width="13.33203125" style="760" bestFit="1" customWidth="1"/>
    <col min="4870" max="4870" width="4.6640625" style="760" customWidth="1"/>
    <col min="4871" max="4871" width="11.6640625" style="760" customWidth="1"/>
    <col min="4872" max="4872" width="12" style="760" customWidth="1"/>
    <col min="4873" max="4873" width="9.6640625" style="760" customWidth="1"/>
    <col min="4874" max="4874" width="13.6640625" style="760" bestFit="1" customWidth="1"/>
    <col min="4875" max="5120" width="8.6640625" style="760"/>
    <col min="5121" max="5121" width="11.5546875" style="760" bestFit="1" customWidth="1"/>
    <col min="5122" max="5122" width="12.5546875" style="760" customWidth="1"/>
    <col min="5123" max="5123" width="10.33203125" style="760" customWidth="1"/>
    <col min="5124" max="5124" width="14.6640625" style="760" customWidth="1"/>
    <col min="5125" max="5125" width="13.33203125" style="760" bestFit="1" customWidth="1"/>
    <col min="5126" max="5126" width="4.6640625" style="760" customWidth="1"/>
    <col min="5127" max="5127" width="11.6640625" style="760" customWidth="1"/>
    <col min="5128" max="5128" width="12" style="760" customWidth="1"/>
    <col min="5129" max="5129" width="9.6640625" style="760" customWidth="1"/>
    <col min="5130" max="5130" width="13.6640625" style="760" bestFit="1" customWidth="1"/>
    <col min="5131" max="5376" width="8.6640625" style="760"/>
    <col min="5377" max="5377" width="11.5546875" style="760" bestFit="1" customWidth="1"/>
    <col min="5378" max="5378" width="12.5546875" style="760" customWidth="1"/>
    <col min="5379" max="5379" width="10.33203125" style="760" customWidth="1"/>
    <col min="5380" max="5380" width="14.6640625" style="760" customWidth="1"/>
    <col min="5381" max="5381" width="13.33203125" style="760" bestFit="1" customWidth="1"/>
    <col min="5382" max="5382" width="4.6640625" style="760" customWidth="1"/>
    <col min="5383" max="5383" width="11.6640625" style="760" customWidth="1"/>
    <col min="5384" max="5384" width="12" style="760" customWidth="1"/>
    <col min="5385" max="5385" width="9.6640625" style="760" customWidth="1"/>
    <col min="5386" max="5386" width="13.6640625" style="760" bestFit="1" customWidth="1"/>
    <col min="5387" max="5632" width="8.6640625" style="760"/>
    <col min="5633" max="5633" width="11.5546875" style="760" bestFit="1" customWidth="1"/>
    <col min="5634" max="5634" width="12.5546875" style="760" customWidth="1"/>
    <col min="5635" max="5635" width="10.33203125" style="760" customWidth="1"/>
    <col min="5636" max="5636" width="14.6640625" style="760" customWidth="1"/>
    <col min="5637" max="5637" width="13.33203125" style="760" bestFit="1" customWidth="1"/>
    <col min="5638" max="5638" width="4.6640625" style="760" customWidth="1"/>
    <col min="5639" max="5639" width="11.6640625" style="760" customWidth="1"/>
    <col min="5640" max="5640" width="12" style="760" customWidth="1"/>
    <col min="5641" max="5641" width="9.6640625" style="760" customWidth="1"/>
    <col min="5642" max="5642" width="13.6640625" style="760" bestFit="1" customWidth="1"/>
    <col min="5643" max="5888" width="8.6640625" style="760"/>
    <col min="5889" max="5889" width="11.5546875" style="760" bestFit="1" customWidth="1"/>
    <col min="5890" max="5890" width="12.5546875" style="760" customWidth="1"/>
    <col min="5891" max="5891" width="10.33203125" style="760" customWidth="1"/>
    <col min="5892" max="5892" width="14.6640625" style="760" customWidth="1"/>
    <col min="5893" max="5893" width="13.33203125" style="760" bestFit="1" customWidth="1"/>
    <col min="5894" max="5894" width="4.6640625" style="760" customWidth="1"/>
    <col min="5895" max="5895" width="11.6640625" style="760" customWidth="1"/>
    <col min="5896" max="5896" width="12" style="760" customWidth="1"/>
    <col min="5897" max="5897" width="9.6640625" style="760" customWidth="1"/>
    <col min="5898" max="5898" width="13.6640625" style="760" bestFit="1" customWidth="1"/>
    <col min="5899" max="6144" width="8.6640625" style="760"/>
    <col min="6145" max="6145" width="11.5546875" style="760" bestFit="1" customWidth="1"/>
    <col min="6146" max="6146" width="12.5546875" style="760" customWidth="1"/>
    <col min="6147" max="6147" width="10.33203125" style="760" customWidth="1"/>
    <col min="6148" max="6148" width="14.6640625" style="760" customWidth="1"/>
    <col min="6149" max="6149" width="13.33203125" style="760" bestFit="1" customWidth="1"/>
    <col min="6150" max="6150" width="4.6640625" style="760" customWidth="1"/>
    <col min="6151" max="6151" width="11.6640625" style="760" customWidth="1"/>
    <col min="6152" max="6152" width="12" style="760" customWidth="1"/>
    <col min="6153" max="6153" width="9.6640625" style="760" customWidth="1"/>
    <col min="6154" max="6154" width="13.6640625" style="760" bestFit="1" customWidth="1"/>
    <col min="6155" max="6400" width="8.6640625" style="760"/>
    <col min="6401" max="6401" width="11.5546875" style="760" bestFit="1" customWidth="1"/>
    <col min="6402" max="6402" width="12.5546875" style="760" customWidth="1"/>
    <col min="6403" max="6403" width="10.33203125" style="760" customWidth="1"/>
    <col min="6404" max="6404" width="14.6640625" style="760" customWidth="1"/>
    <col min="6405" max="6405" width="13.33203125" style="760" bestFit="1" customWidth="1"/>
    <col min="6406" max="6406" width="4.6640625" style="760" customWidth="1"/>
    <col min="6407" max="6407" width="11.6640625" style="760" customWidth="1"/>
    <col min="6408" max="6408" width="12" style="760" customWidth="1"/>
    <col min="6409" max="6409" width="9.6640625" style="760" customWidth="1"/>
    <col min="6410" max="6410" width="13.6640625" style="760" bestFit="1" customWidth="1"/>
    <col min="6411" max="6656" width="8.6640625" style="760"/>
    <col min="6657" max="6657" width="11.5546875" style="760" bestFit="1" customWidth="1"/>
    <col min="6658" max="6658" width="12.5546875" style="760" customWidth="1"/>
    <col min="6659" max="6659" width="10.33203125" style="760" customWidth="1"/>
    <col min="6660" max="6660" width="14.6640625" style="760" customWidth="1"/>
    <col min="6661" max="6661" width="13.33203125" style="760" bestFit="1" customWidth="1"/>
    <col min="6662" max="6662" width="4.6640625" style="760" customWidth="1"/>
    <col min="6663" max="6663" width="11.6640625" style="760" customWidth="1"/>
    <col min="6664" max="6664" width="12" style="760" customWidth="1"/>
    <col min="6665" max="6665" width="9.6640625" style="760" customWidth="1"/>
    <col min="6666" max="6666" width="13.6640625" style="760" bestFit="1" customWidth="1"/>
    <col min="6667" max="6912" width="8.6640625" style="760"/>
    <col min="6913" max="6913" width="11.5546875" style="760" bestFit="1" customWidth="1"/>
    <col min="6914" max="6914" width="12.5546875" style="760" customWidth="1"/>
    <col min="6915" max="6915" width="10.33203125" style="760" customWidth="1"/>
    <col min="6916" max="6916" width="14.6640625" style="760" customWidth="1"/>
    <col min="6917" max="6917" width="13.33203125" style="760" bestFit="1" customWidth="1"/>
    <col min="6918" max="6918" width="4.6640625" style="760" customWidth="1"/>
    <col min="6919" max="6919" width="11.6640625" style="760" customWidth="1"/>
    <col min="6920" max="6920" width="12" style="760" customWidth="1"/>
    <col min="6921" max="6921" width="9.6640625" style="760" customWidth="1"/>
    <col min="6922" max="6922" width="13.6640625" style="760" bestFit="1" customWidth="1"/>
    <col min="6923" max="7168" width="8.6640625" style="760"/>
    <col min="7169" max="7169" width="11.5546875" style="760" bestFit="1" customWidth="1"/>
    <col min="7170" max="7170" width="12.5546875" style="760" customWidth="1"/>
    <col min="7171" max="7171" width="10.33203125" style="760" customWidth="1"/>
    <col min="7172" max="7172" width="14.6640625" style="760" customWidth="1"/>
    <col min="7173" max="7173" width="13.33203125" style="760" bestFit="1" customWidth="1"/>
    <col min="7174" max="7174" width="4.6640625" style="760" customWidth="1"/>
    <col min="7175" max="7175" width="11.6640625" style="760" customWidth="1"/>
    <col min="7176" max="7176" width="12" style="760" customWidth="1"/>
    <col min="7177" max="7177" width="9.6640625" style="760" customWidth="1"/>
    <col min="7178" max="7178" width="13.6640625" style="760" bestFit="1" customWidth="1"/>
    <col min="7179" max="7424" width="8.6640625" style="760"/>
    <col min="7425" max="7425" width="11.5546875" style="760" bestFit="1" customWidth="1"/>
    <col min="7426" max="7426" width="12.5546875" style="760" customWidth="1"/>
    <col min="7427" max="7427" width="10.33203125" style="760" customWidth="1"/>
    <col min="7428" max="7428" width="14.6640625" style="760" customWidth="1"/>
    <col min="7429" max="7429" width="13.33203125" style="760" bestFit="1" customWidth="1"/>
    <col min="7430" max="7430" width="4.6640625" style="760" customWidth="1"/>
    <col min="7431" max="7431" width="11.6640625" style="760" customWidth="1"/>
    <col min="7432" max="7432" width="12" style="760" customWidth="1"/>
    <col min="7433" max="7433" width="9.6640625" style="760" customWidth="1"/>
    <col min="7434" max="7434" width="13.6640625" style="760" bestFit="1" customWidth="1"/>
    <col min="7435" max="7680" width="8.6640625" style="760"/>
    <col min="7681" max="7681" width="11.5546875" style="760" bestFit="1" customWidth="1"/>
    <col min="7682" max="7682" width="12.5546875" style="760" customWidth="1"/>
    <col min="7683" max="7683" width="10.33203125" style="760" customWidth="1"/>
    <col min="7684" max="7684" width="14.6640625" style="760" customWidth="1"/>
    <col min="7685" max="7685" width="13.33203125" style="760" bestFit="1" customWidth="1"/>
    <col min="7686" max="7686" width="4.6640625" style="760" customWidth="1"/>
    <col min="7687" max="7687" width="11.6640625" style="760" customWidth="1"/>
    <col min="7688" max="7688" width="12" style="760" customWidth="1"/>
    <col min="7689" max="7689" width="9.6640625" style="760" customWidth="1"/>
    <col min="7690" max="7690" width="13.6640625" style="760" bestFit="1" customWidth="1"/>
    <col min="7691" max="7936" width="8.6640625" style="760"/>
    <col min="7937" max="7937" width="11.5546875" style="760" bestFit="1" customWidth="1"/>
    <col min="7938" max="7938" width="12.5546875" style="760" customWidth="1"/>
    <col min="7939" max="7939" width="10.33203125" style="760" customWidth="1"/>
    <col min="7940" max="7940" width="14.6640625" style="760" customWidth="1"/>
    <col min="7941" max="7941" width="13.33203125" style="760" bestFit="1" customWidth="1"/>
    <col min="7942" max="7942" width="4.6640625" style="760" customWidth="1"/>
    <col min="7943" max="7943" width="11.6640625" style="760" customWidth="1"/>
    <col min="7944" max="7944" width="12" style="760" customWidth="1"/>
    <col min="7945" max="7945" width="9.6640625" style="760" customWidth="1"/>
    <col min="7946" max="7946" width="13.6640625" style="760" bestFit="1" customWidth="1"/>
    <col min="7947" max="8192" width="8.6640625" style="760"/>
    <col min="8193" max="8193" width="11.5546875" style="760" bestFit="1" customWidth="1"/>
    <col min="8194" max="8194" width="12.5546875" style="760" customWidth="1"/>
    <col min="8195" max="8195" width="10.33203125" style="760" customWidth="1"/>
    <col min="8196" max="8196" width="14.6640625" style="760" customWidth="1"/>
    <col min="8197" max="8197" width="13.33203125" style="760" bestFit="1" customWidth="1"/>
    <col min="8198" max="8198" width="4.6640625" style="760" customWidth="1"/>
    <col min="8199" max="8199" width="11.6640625" style="760" customWidth="1"/>
    <col min="8200" max="8200" width="12" style="760" customWidth="1"/>
    <col min="8201" max="8201" width="9.6640625" style="760" customWidth="1"/>
    <col min="8202" max="8202" width="13.6640625" style="760" bestFit="1" customWidth="1"/>
    <col min="8203" max="8448" width="8.6640625" style="760"/>
    <col min="8449" max="8449" width="11.5546875" style="760" bestFit="1" customWidth="1"/>
    <col min="8450" max="8450" width="12.5546875" style="760" customWidth="1"/>
    <col min="8451" max="8451" width="10.33203125" style="760" customWidth="1"/>
    <col min="8452" max="8452" width="14.6640625" style="760" customWidth="1"/>
    <col min="8453" max="8453" width="13.33203125" style="760" bestFit="1" customWidth="1"/>
    <col min="8454" max="8454" width="4.6640625" style="760" customWidth="1"/>
    <col min="8455" max="8455" width="11.6640625" style="760" customWidth="1"/>
    <col min="8456" max="8456" width="12" style="760" customWidth="1"/>
    <col min="8457" max="8457" width="9.6640625" style="760" customWidth="1"/>
    <col min="8458" max="8458" width="13.6640625" style="760" bestFit="1" customWidth="1"/>
    <col min="8459" max="8704" width="8.6640625" style="760"/>
    <col min="8705" max="8705" width="11.5546875" style="760" bestFit="1" customWidth="1"/>
    <col min="8706" max="8706" width="12.5546875" style="760" customWidth="1"/>
    <col min="8707" max="8707" width="10.33203125" style="760" customWidth="1"/>
    <col min="8708" max="8708" width="14.6640625" style="760" customWidth="1"/>
    <col min="8709" max="8709" width="13.33203125" style="760" bestFit="1" customWidth="1"/>
    <col min="8710" max="8710" width="4.6640625" style="760" customWidth="1"/>
    <col min="8711" max="8711" width="11.6640625" style="760" customWidth="1"/>
    <col min="8712" max="8712" width="12" style="760" customWidth="1"/>
    <col min="8713" max="8713" width="9.6640625" style="760" customWidth="1"/>
    <col min="8714" max="8714" width="13.6640625" style="760" bestFit="1" customWidth="1"/>
    <col min="8715" max="8960" width="8.6640625" style="760"/>
    <col min="8961" max="8961" width="11.5546875" style="760" bestFit="1" customWidth="1"/>
    <col min="8962" max="8962" width="12.5546875" style="760" customWidth="1"/>
    <col min="8963" max="8963" width="10.33203125" style="760" customWidth="1"/>
    <col min="8964" max="8964" width="14.6640625" style="760" customWidth="1"/>
    <col min="8965" max="8965" width="13.33203125" style="760" bestFit="1" customWidth="1"/>
    <col min="8966" max="8966" width="4.6640625" style="760" customWidth="1"/>
    <col min="8967" max="8967" width="11.6640625" style="760" customWidth="1"/>
    <col min="8968" max="8968" width="12" style="760" customWidth="1"/>
    <col min="8969" max="8969" width="9.6640625" style="760" customWidth="1"/>
    <col min="8970" max="8970" width="13.6640625" style="760" bestFit="1" customWidth="1"/>
    <col min="8971" max="9216" width="8.6640625" style="760"/>
    <col min="9217" max="9217" width="11.5546875" style="760" bestFit="1" customWidth="1"/>
    <col min="9218" max="9218" width="12.5546875" style="760" customWidth="1"/>
    <col min="9219" max="9219" width="10.33203125" style="760" customWidth="1"/>
    <col min="9220" max="9220" width="14.6640625" style="760" customWidth="1"/>
    <col min="9221" max="9221" width="13.33203125" style="760" bestFit="1" customWidth="1"/>
    <col min="9222" max="9222" width="4.6640625" style="760" customWidth="1"/>
    <col min="9223" max="9223" width="11.6640625" style="760" customWidth="1"/>
    <col min="9224" max="9224" width="12" style="760" customWidth="1"/>
    <col min="9225" max="9225" width="9.6640625" style="760" customWidth="1"/>
    <col min="9226" max="9226" width="13.6640625" style="760" bestFit="1" customWidth="1"/>
    <col min="9227" max="9472" width="8.6640625" style="760"/>
    <col min="9473" max="9473" width="11.5546875" style="760" bestFit="1" customWidth="1"/>
    <col min="9474" max="9474" width="12.5546875" style="760" customWidth="1"/>
    <col min="9475" max="9475" width="10.33203125" style="760" customWidth="1"/>
    <col min="9476" max="9476" width="14.6640625" style="760" customWidth="1"/>
    <col min="9477" max="9477" width="13.33203125" style="760" bestFit="1" customWidth="1"/>
    <col min="9478" max="9478" width="4.6640625" style="760" customWidth="1"/>
    <col min="9479" max="9479" width="11.6640625" style="760" customWidth="1"/>
    <col min="9480" max="9480" width="12" style="760" customWidth="1"/>
    <col min="9481" max="9481" width="9.6640625" style="760" customWidth="1"/>
    <col min="9482" max="9482" width="13.6640625" style="760" bestFit="1" customWidth="1"/>
    <col min="9483" max="9728" width="8.6640625" style="760"/>
    <col min="9729" max="9729" width="11.5546875" style="760" bestFit="1" customWidth="1"/>
    <col min="9730" max="9730" width="12.5546875" style="760" customWidth="1"/>
    <col min="9731" max="9731" width="10.33203125" style="760" customWidth="1"/>
    <col min="9732" max="9732" width="14.6640625" style="760" customWidth="1"/>
    <col min="9733" max="9733" width="13.33203125" style="760" bestFit="1" customWidth="1"/>
    <col min="9734" max="9734" width="4.6640625" style="760" customWidth="1"/>
    <col min="9735" max="9735" width="11.6640625" style="760" customWidth="1"/>
    <col min="9736" max="9736" width="12" style="760" customWidth="1"/>
    <col min="9737" max="9737" width="9.6640625" style="760" customWidth="1"/>
    <col min="9738" max="9738" width="13.6640625" style="760" bestFit="1" customWidth="1"/>
    <col min="9739" max="9984" width="8.6640625" style="760"/>
    <col min="9985" max="9985" width="11.5546875" style="760" bestFit="1" customWidth="1"/>
    <col min="9986" max="9986" width="12.5546875" style="760" customWidth="1"/>
    <col min="9987" max="9987" width="10.33203125" style="760" customWidth="1"/>
    <col min="9988" max="9988" width="14.6640625" style="760" customWidth="1"/>
    <col min="9989" max="9989" width="13.33203125" style="760" bestFit="1" customWidth="1"/>
    <col min="9990" max="9990" width="4.6640625" style="760" customWidth="1"/>
    <col min="9991" max="9991" width="11.6640625" style="760" customWidth="1"/>
    <col min="9992" max="9992" width="12" style="760" customWidth="1"/>
    <col min="9993" max="9993" width="9.6640625" style="760" customWidth="1"/>
    <col min="9994" max="9994" width="13.6640625" style="760" bestFit="1" customWidth="1"/>
    <col min="9995" max="10240" width="8.6640625" style="760"/>
    <col min="10241" max="10241" width="11.5546875" style="760" bestFit="1" customWidth="1"/>
    <col min="10242" max="10242" width="12.5546875" style="760" customWidth="1"/>
    <col min="10243" max="10243" width="10.33203125" style="760" customWidth="1"/>
    <col min="10244" max="10244" width="14.6640625" style="760" customWidth="1"/>
    <col min="10245" max="10245" width="13.33203125" style="760" bestFit="1" customWidth="1"/>
    <col min="10246" max="10246" width="4.6640625" style="760" customWidth="1"/>
    <col min="10247" max="10247" width="11.6640625" style="760" customWidth="1"/>
    <col min="10248" max="10248" width="12" style="760" customWidth="1"/>
    <col min="10249" max="10249" width="9.6640625" style="760" customWidth="1"/>
    <col min="10250" max="10250" width="13.6640625" style="760" bestFit="1" customWidth="1"/>
    <col min="10251" max="10496" width="8.6640625" style="760"/>
    <col min="10497" max="10497" width="11.5546875" style="760" bestFit="1" customWidth="1"/>
    <col min="10498" max="10498" width="12.5546875" style="760" customWidth="1"/>
    <col min="10499" max="10499" width="10.33203125" style="760" customWidth="1"/>
    <col min="10500" max="10500" width="14.6640625" style="760" customWidth="1"/>
    <col min="10501" max="10501" width="13.33203125" style="760" bestFit="1" customWidth="1"/>
    <col min="10502" max="10502" width="4.6640625" style="760" customWidth="1"/>
    <col min="10503" max="10503" width="11.6640625" style="760" customWidth="1"/>
    <col min="10504" max="10504" width="12" style="760" customWidth="1"/>
    <col min="10505" max="10505" width="9.6640625" style="760" customWidth="1"/>
    <col min="10506" max="10506" width="13.6640625" style="760" bestFit="1" customWidth="1"/>
    <col min="10507" max="10752" width="8.6640625" style="760"/>
    <col min="10753" max="10753" width="11.5546875" style="760" bestFit="1" customWidth="1"/>
    <col min="10754" max="10754" width="12.5546875" style="760" customWidth="1"/>
    <col min="10755" max="10755" width="10.33203125" style="760" customWidth="1"/>
    <col min="10756" max="10756" width="14.6640625" style="760" customWidth="1"/>
    <col min="10757" max="10757" width="13.33203125" style="760" bestFit="1" customWidth="1"/>
    <col min="10758" max="10758" width="4.6640625" style="760" customWidth="1"/>
    <col min="10759" max="10759" width="11.6640625" style="760" customWidth="1"/>
    <col min="10760" max="10760" width="12" style="760" customWidth="1"/>
    <col min="10761" max="10761" width="9.6640625" style="760" customWidth="1"/>
    <col min="10762" max="10762" width="13.6640625" style="760" bestFit="1" customWidth="1"/>
    <col min="10763" max="11008" width="8.6640625" style="760"/>
    <col min="11009" max="11009" width="11.5546875" style="760" bestFit="1" customWidth="1"/>
    <col min="11010" max="11010" width="12.5546875" style="760" customWidth="1"/>
    <col min="11011" max="11011" width="10.33203125" style="760" customWidth="1"/>
    <col min="11012" max="11012" width="14.6640625" style="760" customWidth="1"/>
    <col min="11013" max="11013" width="13.33203125" style="760" bestFit="1" customWidth="1"/>
    <col min="11014" max="11014" width="4.6640625" style="760" customWidth="1"/>
    <col min="11015" max="11015" width="11.6640625" style="760" customWidth="1"/>
    <col min="11016" max="11016" width="12" style="760" customWidth="1"/>
    <col min="11017" max="11017" width="9.6640625" style="760" customWidth="1"/>
    <col min="11018" max="11018" width="13.6640625" style="760" bestFit="1" customWidth="1"/>
    <col min="11019" max="11264" width="8.6640625" style="760"/>
    <col min="11265" max="11265" width="11.5546875" style="760" bestFit="1" customWidth="1"/>
    <col min="11266" max="11266" width="12.5546875" style="760" customWidth="1"/>
    <col min="11267" max="11267" width="10.33203125" style="760" customWidth="1"/>
    <col min="11268" max="11268" width="14.6640625" style="760" customWidth="1"/>
    <col min="11269" max="11269" width="13.33203125" style="760" bestFit="1" customWidth="1"/>
    <col min="11270" max="11270" width="4.6640625" style="760" customWidth="1"/>
    <col min="11271" max="11271" width="11.6640625" style="760" customWidth="1"/>
    <col min="11272" max="11272" width="12" style="760" customWidth="1"/>
    <col min="11273" max="11273" width="9.6640625" style="760" customWidth="1"/>
    <col min="11274" max="11274" width="13.6640625" style="760" bestFit="1" customWidth="1"/>
    <col min="11275" max="11520" width="8.6640625" style="760"/>
    <col min="11521" max="11521" width="11.5546875" style="760" bestFit="1" customWidth="1"/>
    <col min="11522" max="11522" width="12.5546875" style="760" customWidth="1"/>
    <col min="11523" max="11523" width="10.33203125" style="760" customWidth="1"/>
    <col min="11524" max="11524" width="14.6640625" style="760" customWidth="1"/>
    <col min="11525" max="11525" width="13.33203125" style="760" bestFit="1" customWidth="1"/>
    <col min="11526" max="11526" width="4.6640625" style="760" customWidth="1"/>
    <col min="11527" max="11527" width="11.6640625" style="760" customWidth="1"/>
    <col min="11528" max="11528" width="12" style="760" customWidth="1"/>
    <col min="11529" max="11529" width="9.6640625" style="760" customWidth="1"/>
    <col min="11530" max="11530" width="13.6640625" style="760" bestFit="1" customWidth="1"/>
    <col min="11531" max="11776" width="8.6640625" style="760"/>
    <col min="11777" max="11777" width="11.5546875" style="760" bestFit="1" customWidth="1"/>
    <col min="11778" max="11778" width="12.5546875" style="760" customWidth="1"/>
    <col min="11779" max="11779" width="10.33203125" style="760" customWidth="1"/>
    <col min="11780" max="11780" width="14.6640625" style="760" customWidth="1"/>
    <col min="11781" max="11781" width="13.33203125" style="760" bestFit="1" customWidth="1"/>
    <col min="11782" max="11782" width="4.6640625" style="760" customWidth="1"/>
    <col min="11783" max="11783" width="11.6640625" style="760" customWidth="1"/>
    <col min="11784" max="11784" width="12" style="760" customWidth="1"/>
    <col min="11785" max="11785" width="9.6640625" style="760" customWidth="1"/>
    <col min="11786" max="11786" width="13.6640625" style="760" bestFit="1" customWidth="1"/>
    <col min="11787" max="12032" width="8.6640625" style="760"/>
    <col min="12033" max="12033" width="11.5546875" style="760" bestFit="1" customWidth="1"/>
    <col min="12034" max="12034" width="12.5546875" style="760" customWidth="1"/>
    <col min="12035" max="12035" width="10.33203125" style="760" customWidth="1"/>
    <col min="12036" max="12036" width="14.6640625" style="760" customWidth="1"/>
    <col min="12037" max="12037" width="13.33203125" style="760" bestFit="1" customWidth="1"/>
    <col min="12038" max="12038" width="4.6640625" style="760" customWidth="1"/>
    <col min="12039" max="12039" width="11.6640625" style="760" customWidth="1"/>
    <col min="12040" max="12040" width="12" style="760" customWidth="1"/>
    <col min="12041" max="12041" width="9.6640625" style="760" customWidth="1"/>
    <col min="12042" max="12042" width="13.6640625" style="760" bestFit="1" customWidth="1"/>
    <col min="12043" max="12288" width="8.6640625" style="760"/>
    <col min="12289" max="12289" width="11.5546875" style="760" bestFit="1" customWidth="1"/>
    <col min="12290" max="12290" width="12.5546875" style="760" customWidth="1"/>
    <col min="12291" max="12291" width="10.33203125" style="760" customWidth="1"/>
    <col min="12292" max="12292" width="14.6640625" style="760" customWidth="1"/>
    <col min="12293" max="12293" width="13.33203125" style="760" bestFit="1" customWidth="1"/>
    <col min="12294" max="12294" width="4.6640625" style="760" customWidth="1"/>
    <col min="12295" max="12295" width="11.6640625" style="760" customWidth="1"/>
    <col min="12296" max="12296" width="12" style="760" customWidth="1"/>
    <col min="12297" max="12297" width="9.6640625" style="760" customWidth="1"/>
    <col min="12298" max="12298" width="13.6640625" style="760" bestFit="1" customWidth="1"/>
    <col min="12299" max="12544" width="8.6640625" style="760"/>
    <col min="12545" max="12545" width="11.5546875" style="760" bestFit="1" customWidth="1"/>
    <col min="12546" max="12546" width="12.5546875" style="760" customWidth="1"/>
    <col min="12547" max="12547" width="10.33203125" style="760" customWidth="1"/>
    <col min="12548" max="12548" width="14.6640625" style="760" customWidth="1"/>
    <col min="12549" max="12549" width="13.33203125" style="760" bestFit="1" customWidth="1"/>
    <col min="12550" max="12550" width="4.6640625" style="760" customWidth="1"/>
    <col min="12551" max="12551" width="11.6640625" style="760" customWidth="1"/>
    <col min="12552" max="12552" width="12" style="760" customWidth="1"/>
    <col min="12553" max="12553" width="9.6640625" style="760" customWidth="1"/>
    <col min="12554" max="12554" width="13.6640625" style="760" bestFit="1" customWidth="1"/>
    <col min="12555" max="12800" width="8.6640625" style="760"/>
    <col min="12801" max="12801" width="11.5546875" style="760" bestFit="1" customWidth="1"/>
    <col min="12802" max="12802" width="12.5546875" style="760" customWidth="1"/>
    <col min="12803" max="12803" width="10.33203125" style="760" customWidth="1"/>
    <col min="12804" max="12804" width="14.6640625" style="760" customWidth="1"/>
    <col min="12805" max="12805" width="13.33203125" style="760" bestFit="1" customWidth="1"/>
    <col min="12806" max="12806" width="4.6640625" style="760" customWidth="1"/>
    <col min="12807" max="12807" width="11.6640625" style="760" customWidth="1"/>
    <col min="12808" max="12808" width="12" style="760" customWidth="1"/>
    <col min="12809" max="12809" width="9.6640625" style="760" customWidth="1"/>
    <col min="12810" max="12810" width="13.6640625" style="760" bestFit="1" customWidth="1"/>
    <col min="12811" max="13056" width="8.6640625" style="760"/>
    <col min="13057" max="13057" width="11.5546875" style="760" bestFit="1" customWidth="1"/>
    <col min="13058" max="13058" width="12.5546875" style="760" customWidth="1"/>
    <col min="13059" max="13059" width="10.33203125" style="760" customWidth="1"/>
    <col min="13060" max="13060" width="14.6640625" style="760" customWidth="1"/>
    <col min="13061" max="13061" width="13.33203125" style="760" bestFit="1" customWidth="1"/>
    <col min="13062" max="13062" width="4.6640625" style="760" customWidth="1"/>
    <col min="13063" max="13063" width="11.6640625" style="760" customWidth="1"/>
    <col min="13064" max="13064" width="12" style="760" customWidth="1"/>
    <col min="13065" max="13065" width="9.6640625" style="760" customWidth="1"/>
    <col min="13066" max="13066" width="13.6640625" style="760" bestFit="1" customWidth="1"/>
    <col min="13067" max="13312" width="8.6640625" style="760"/>
    <col min="13313" max="13313" width="11.5546875" style="760" bestFit="1" customWidth="1"/>
    <col min="13314" max="13314" width="12.5546875" style="760" customWidth="1"/>
    <col min="13315" max="13315" width="10.33203125" style="760" customWidth="1"/>
    <col min="13316" max="13316" width="14.6640625" style="760" customWidth="1"/>
    <col min="13317" max="13317" width="13.33203125" style="760" bestFit="1" customWidth="1"/>
    <col min="13318" max="13318" width="4.6640625" style="760" customWidth="1"/>
    <col min="13319" max="13319" width="11.6640625" style="760" customWidth="1"/>
    <col min="13320" max="13320" width="12" style="760" customWidth="1"/>
    <col min="13321" max="13321" width="9.6640625" style="760" customWidth="1"/>
    <col min="13322" max="13322" width="13.6640625" style="760" bestFit="1" customWidth="1"/>
    <col min="13323" max="13568" width="8.6640625" style="760"/>
    <col min="13569" max="13569" width="11.5546875" style="760" bestFit="1" customWidth="1"/>
    <col min="13570" max="13570" width="12.5546875" style="760" customWidth="1"/>
    <col min="13571" max="13571" width="10.33203125" style="760" customWidth="1"/>
    <col min="13572" max="13572" width="14.6640625" style="760" customWidth="1"/>
    <col min="13573" max="13573" width="13.33203125" style="760" bestFit="1" customWidth="1"/>
    <col min="13574" max="13574" width="4.6640625" style="760" customWidth="1"/>
    <col min="13575" max="13575" width="11.6640625" style="760" customWidth="1"/>
    <col min="13576" max="13576" width="12" style="760" customWidth="1"/>
    <col min="13577" max="13577" width="9.6640625" style="760" customWidth="1"/>
    <col min="13578" max="13578" width="13.6640625" style="760" bestFit="1" customWidth="1"/>
    <col min="13579" max="13824" width="8.6640625" style="760"/>
    <col min="13825" max="13825" width="11.5546875" style="760" bestFit="1" customWidth="1"/>
    <col min="13826" max="13826" width="12.5546875" style="760" customWidth="1"/>
    <col min="13827" max="13827" width="10.33203125" style="760" customWidth="1"/>
    <col min="13828" max="13828" width="14.6640625" style="760" customWidth="1"/>
    <col min="13829" max="13829" width="13.33203125" style="760" bestFit="1" customWidth="1"/>
    <col min="13830" max="13830" width="4.6640625" style="760" customWidth="1"/>
    <col min="13831" max="13831" width="11.6640625" style="760" customWidth="1"/>
    <col min="13832" max="13832" width="12" style="760" customWidth="1"/>
    <col min="13833" max="13833" width="9.6640625" style="760" customWidth="1"/>
    <col min="13834" max="13834" width="13.6640625" style="760" bestFit="1" customWidth="1"/>
    <col min="13835" max="14080" width="8.6640625" style="760"/>
    <col min="14081" max="14081" width="11.5546875" style="760" bestFit="1" customWidth="1"/>
    <col min="14082" max="14082" width="12.5546875" style="760" customWidth="1"/>
    <col min="14083" max="14083" width="10.33203125" style="760" customWidth="1"/>
    <col min="14084" max="14084" width="14.6640625" style="760" customWidth="1"/>
    <col min="14085" max="14085" width="13.33203125" style="760" bestFit="1" customWidth="1"/>
    <col min="14086" max="14086" width="4.6640625" style="760" customWidth="1"/>
    <col min="14087" max="14087" width="11.6640625" style="760" customWidth="1"/>
    <col min="14088" max="14088" width="12" style="760" customWidth="1"/>
    <col min="14089" max="14089" width="9.6640625" style="760" customWidth="1"/>
    <col min="14090" max="14090" width="13.6640625" style="760" bestFit="1" customWidth="1"/>
    <col min="14091" max="14336" width="8.6640625" style="760"/>
    <col min="14337" max="14337" width="11.5546875" style="760" bestFit="1" customWidth="1"/>
    <col min="14338" max="14338" width="12.5546875" style="760" customWidth="1"/>
    <col min="14339" max="14339" width="10.33203125" style="760" customWidth="1"/>
    <col min="14340" max="14340" width="14.6640625" style="760" customWidth="1"/>
    <col min="14341" max="14341" width="13.33203125" style="760" bestFit="1" customWidth="1"/>
    <col min="14342" max="14342" width="4.6640625" style="760" customWidth="1"/>
    <col min="14343" max="14343" width="11.6640625" style="760" customWidth="1"/>
    <col min="14344" max="14344" width="12" style="760" customWidth="1"/>
    <col min="14345" max="14345" width="9.6640625" style="760" customWidth="1"/>
    <col min="14346" max="14346" width="13.6640625" style="760" bestFit="1" customWidth="1"/>
    <col min="14347" max="14592" width="8.6640625" style="760"/>
    <col min="14593" max="14593" width="11.5546875" style="760" bestFit="1" customWidth="1"/>
    <col min="14594" max="14594" width="12.5546875" style="760" customWidth="1"/>
    <col min="14595" max="14595" width="10.33203125" style="760" customWidth="1"/>
    <col min="14596" max="14596" width="14.6640625" style="760" customWidth="1"/>
    <col min="14597" max="14597" width="13.33203125" style="760" bestFit="1" customWidth="1"/>
    <col min="14598" max="14598" width="4.6640625" style="760" customWidth="1"/>
    <col min="14599" max="14599" width="11.6640625" style="760" customWidth="1"/>
    <col min="14600" max="14600" width="12" style="760" customWidth="1"/>
    <col min="14601" max="14601" width="9.6640625" style="760" customWidth="1"/>
    <col min="14602" max="14602" width="13.6640625" style="760" bestFit="1" customWidth="1"/>
    <col min="14603" max="14848" width="8.6640625" style="760"/>
    <col min="14849" max="14849" width="11.5546875" style="760" bestFit="1" customWidth="1"/>
    <col min="14850" max="14850" width="12.5546875" style="760" customWidth="1"/>
    <col min="14851" max="14851" width="10.33203125" style="760" customWidth="1"/>
    <col min="14852" max="14852" width="14.6640625" style="760" customWidth="1"/>
    <col min="14853" max="14853" width="13.33203125" style="760" bestFit="1" customWidth="1"/>
    <col min="14854" max="14854" width="4.6640625" style="760" customWidth="1"/>
    <col min="14855" max="14855" width="11.6640625" style="760" customWidth="1"/>
    <col min="14856" max="14856" width="12" style="760" customWidth="1"/>
    <col min="14857" max="14857" width="9.6640625" style="760" customWidth="1"/>
    <col min="14858" max="14858" width="13.6640625" style="760" bestFit="1" customWidth="1"/>
    <col min="14859" max="15104" width="8.6640625" style="760"/>
    <col min="15105" max="15105" width="11.5546875" style="760" bestFit="1" customWidth="1"/>
    <col min="15106" max="15106" width="12.5546875" style="760" customWidth="1"/>
    <col min="15107" max="15107" width="10.33203125" style="760" customWidth="1"/>
    <col min="15108" max="15108" width="14.6640625" style="760" customWidth="1"/>
    <col min="15109" max="15109" width="13.33203125" style="760" bestFit="1" customWidth="1"/>
    <col min="15110" max="15110" width="4.6640625" style="760" customWidth="1"/>
    <col min="15111" max="15111" width="11.6640625" style="760" customWidth="1"/>
    <col min="15112" max="15112" width="12" style="760" customWidth="1"/>
    <col min="15113" max="15113" width="9.6640625" style="760" customWidth="1"/>
    <col min="15114" max="15114" width="13.6640625" style="760" bestFit="1" customWidth="1"/>
    <col min="15115" max="15360" width="8.6640625" style="760"/>
    <col min="15361" max="15361" width="11.5546875" style="760" bestFit="1" customWidth="1"/>
    <col min="15362" max="15362" width="12.5546875" style="760" customWidth="1"/>
    <col min="15363" max="15363" width="10.33203125" style="760" customWidth="1"/>
    <col min="15364" max="15364" width="14.6640625" style="760" customWidth="1"/>
    <col min="15365" max="15365" width="13.33203125" style="760" bestFit="1" customWidth="1"/>
    <col min="15366" max="15366" width="4.6640625" style="760" customWidth="1"/>
    <col min="15367" max="15367" width="11.6640625" style="760" customWidth="1"/>
    <col min="15368" max="15368" width="12" style="760" customWidth="1"/>
    <col min="15369" max="15369" width="9.6640625" style="760" customWidth="1"/>
    <col min="15370" max="15370" width="13.6640625" style="760" bestFit="1" customWidth="1"/>
    <col min="15371" max="15616" width="8.6640625" style="760"/>
    <col min="15617" max="15617" width="11.5546875" style="760" bestFit="1" customWidth="1"/>
    <col min="15618" max="15618" width="12.5546875" style="760" customWidth="1"/>
    <col min="15619" max="15619" width="10.33203125" style="760" customWidth="1"/>
    <col min="15620" max="15620" width="14.6640625" style="760" customWidth="1"/>
    <col min="15621" max="15621" width="13.33203125" style="760" bestFit="1" customWidth="1"/>
    <col min="15622" max="15622" width="4.6640625" style="760" customWidth="1"/>
    <col min="15623" max="15623" width="11.6640625" style="760" customWidth="1"/>
    <col min="15624" max="15624" width="12" style="760" customWidth="1"/>
    <col min="15625" max="15625" width="9.6640625" style="760" customWidth="1"/>
    <col min="15626" max="15626" width="13.6640625" style="760" bestFit="1" customWidth="1"/>
    <col min="15627" max="15872" width="8.6640625" style="760"/>
    <col min="15873" max="15873" width="11.5546875" style="760" bestFit="1" customWidth="1"/>
    <col min="15874" max="15874" width="12.5546875" style="760" customWidth="1"/>
    <col min="15875" max="15875" width="10.33203125" style="760" customWidth="1"/>
    <col min="15876" max="15876" width="14.6640625" style="760" customWidth="1"/>
    <col min="15877" max="15877" width="13.33203125" style="760" bestFit="1" customWidth="1"/>
    <col min="15878" max="15878" width="4.6640625" style="760" customWidth="1"/>
    <col min="15879" max="15879" width="11.6640625" style="760" customWidth="1"/>
    <col min="15880" max="15880" width="12" style="760" customWidth="1"/>
    <col min="15881" max="15881" width="9.6640625" style="760" customWidth="1"/>
    <col min="15882" max="15882" width="13.6640625" style="760" bestFit="1" customWidth="1"/>
    <col min="15883" max="16128" width="8.6640625" style="760"/>
    <col min="16129" max="16129" width="11.5546875" style="760" bestFit="1" customWidth="1"/>
    <col min="16130" max="16130" width="12.5546875" style="760" customWidth="1"/>
    <col min="16131" max="16131" width="10.33203125" style="760" customWidth="1"/>
    <col min="16132" max="16132" width="14.6640625" style="760" customWidth="1"/>
    <col min="16133" max="16133" width="13.33203125" style="760" bestFit="1" customWidth="1"/>
    <col min="16134" max="16134" width="4.6640625" style="760" customWidth="1"/>
    <col min="16135" max="16135" width="11.6640625" style="760" customWidth="1"/>
    <col min="16136" max="16136" width="12" style="760" customWidth="1"/>
    <col min="16137" max="16137" width="9.6640625" style="760" customWidth="1"/>
    <col min="16138" max="16138" width="13.6640625" style="760" bestFit="1" customWidth="1"/>
    <col min="16139" max="16384" width="8.6640625" style="760"/>
  </cols>
  <sheetData>
    <row r="1" spans="1:11" ht="22.8">
      <c r="A1" s="4098" t="s">
        <v>3078</v>
      </c>
      <c r="B1" s="4098"/>
      <c r="C1" s="4098"/>
      <c r="D1" s="4098"/>
      <c r="E1" s="4098"/>
      <c r="F1" s="4098"/>
      <c r="G1" s="4098"/>
      <c r="H1" s="4098"/>
      <c r="I1" s="4098"/>
      <c r="J1" s="4098"/>
      <c r="K1" s="4098"/>
    </row>
    <row r="2" spans="1:11" ht="15.6">
      <c r="A2" s="4112" t="str">
        <f>Overview!C8</f>
        <v>Woodstone Apartments II</v>
      </c>
      <c r="B2" s="4112"/>
      <c r="C2" s="4112"/>
      <c r="D2" s="4112"/>
      <c r="E2" s="4112"/>
      <c r="F2" s="4112"/>
      <c r="G2" s="4112"/>
      <c r="H2" s="4112"/>
      <c r="I2" s="4112"/>
      <c r="J2" s="4112"/>
      <c r="K2" s="4112"/>
    </row>
    <row r="3" spans="1:11" ht="9" customHeight="1">
      <c r="A3" s="761"/>
      <c r="B3" s="761"/>
      <c r="C3" s="761"/>
    </row>
    <row r="4" spans="1:11" ht="17.399999999999999">
      <c r="A4" s="762" t="s">
        <v>3550</v>
      </c>
      <c r="B4" s="761"/>
      <c r="C4" s="761"/>
      <c r="K4" s="763"/>
    </row>
    <row r="5" spans="1:11" s="718" customFormat="1" ht="42" customHeight="1">
      <c r="C5" s="4099" t="s">
        <v>4462</v>
      </c>
      <c r="D5" s="4100"/>
      <c r="E5" s="4101"/>
      <c r="F5" s="562"/>
      <c r="G5" s="4099" t="s">
        <v>4463</v>
      </c>
      <c r="H5" s="4100"/>
      <c r="I5" s="4101"/>
      <c r="J5" s="760"/>
      <c r="K5" s="4110" t="s">
        <v>4464</v>
      </c>
    </row>
    <row r="6" spans="1:11" s="765" customFormat="1" ht="15" customHeight="1">
      <c r="A6" s="764" t="s">
        <v>2713</v>
      </c>
      <c r="C6" s="766" t="s">
        <v>3533</v>
      </c>
      <c r="D6" s="766" t="s">
        <v>4465</v>
      </c>
      <c r="E6" s="766" t="s">
        <v>1989</v>
      </c>
      <c r="G6" s="766" t="s">
        <v>3534</v>
      </c>
      <c r="H6" s="766" t="s">
        <v>4466</v>
      </c>
      <c r="I6" s="766" t="s">
        <v>1989</v>
      </c>
      <c r="K6" s="4111"/>
    </row>
    <row r="7" spans="1:11" s="562" customFormat="1" ht="13.5" customHeight="1">
      <c r="A7" s="562" t="s">
        <v>3079</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2711</v>
      </c>
      <c r="C8" s="768"/>
      <c r="D8" s="1265">
        <f>'Part VI-Revenues &amp; Expenses'!$K$63</f>
        <v>12</v>
      </c>
      <c r="E8" s="770">
        <f>C8*D8</f>
        <v>0</v>
      </c>
      <c r="G8" s="768"/>
      <c r="H8" s="769">
        <f>'Part VI-Revenues &amp; Expenses'!$K$67</f>
        <v>12</v>
      </c>
      <c r="I8" s="770">
        <f>G8*H8</f>
        <v>0</v>
      </c>
      <c r="K8" s="767" t="s">
        <v>3535</v>
      </c>
    </row>
    <row r="9" spans="1:11" s="562" customFormat="1" ht="13.5" customHeight="1">
      <c r="A9" s="562" t="s">
        <v>2712</v>
      </c>
      <c r="C9" s="768"/>
      <c r="D9" s="1265">
        <f>'Part VI-Revenues &amp; Expenses'!$L$63</f>
        <v>23</v>
      </c>
      <c r="E9" s="770">
        <f>C9*D9</f>
        <v>0</v>
      </c>
      <c r="G9" s="768"/>
      <c r="H9" s="769">
        <f>'Part VI-Revenues &amp; Expenses'!$L$67</f>
        <v>24</v>
      </c>
      <c r="I9" s="770">
        <f>G9*H9</f>
        <v>0</v>
      </c>
      <c r="K9" s="1272">
        <f>'Part IV-A-Uses of Funds'!$G$132</f>
        <v>5168536</v>
      </c>
    </row>
    <row r="10" spans="1:11" s="562" customFormat="1" ht="13.5" customHeight="1">
      <c r="A10" s="562" t="s">
        <v>2715</v>
      </c>
      <c r="C10" s="768"/>
      <c r="D10" s="1265">
        <f>'Part VI-Revenues &amp; Expenses'!$M$63</f>
        <v>4</v>
      </c>
      <c r="E10" s="770">
        <f>C10*D10</f>
        <v>0</v>
      </c>
      <c r="G10" s="768"/>
      <c r="H10" s="769">
        <f>'Part VI-Revenues &amp; Expenses'!$M$67</f>
        <v>4</v>
      </c>
      <c r="I10" s="770">
        <f>G10*H10</f>
        <v>0</v>
      </c>
      <c r="K10" s="767" t="s">
        <v>3536</v>
      </c>
    </row>
    <row r="11" spans="1:11" s="562" customFormat="1" ht="13.5" customHeight="1">
      <c r="A11" s="772" t="s">
        <v>3532</v>
      </c>
      <c r="C11" s="773"/>
      <c r="D11" s="1266">
        <f>'Part VI-Revenues &amp; Expenses'!$N$63</f>
        <v>0</v>
      </c>
      <c r="E11" s="775">
        <f>C11*D11</f>
        <v>0</v>
      </c>
      <c r="G11" s="773"/>
      <c r="H11" s="774">
        <f>'Part VI-Revenues &amp; Expenses'!$N$67</f>
        <v>0</v>
      </c>
      <c r="I11" s="775">
        <f>G11*H11</f>
        <v>0</v>
      </c>
      <c r="K11" s="4102" t="s">
        <v>3540</v>
      </c>
    </row>
    <row r="12" spans="1:11" ht="13.5" customHeight="1" thickBot="1">
      <c r="A12" s="776" t="s">
        <v>3502</v>
      </c>
      <c r="D12" s="807">
        <f>SUM(D7:D11)</f>
        <v>39</v>
      </c>
      <c r="E12" s="777"/>
      <c r="G12" s="776" t="s">
        <v>1792</v>
      </c>
      <c r="H12" s="1271">
        <f>SUM(H7:H11)</f>
        <v>40</v>
      </c>
      <c r="I12" s="777"/>
      <c r="K12" s="4103"/>
    </row>
    <row r="13" spans="1:11" s="562" customFormat="1" ht="13.5" customHeight="1" thickBot="1">
      <c r="A13" s="776" t="s">
        <v>3080</v>
      </c>
      <c r="B13" s="778"/>
      <c r="E13" s="779">
        <f>SUM(E7:E11)</f>
        <v>0</v>
      </c>
      <c r="G13" s="776" t="s">
        <v>3315</v>
      </c>
      <c r="H13" s="778"/>
      <c r="I13" s="780">
        <f>SUM(I7:I11)</f>
        <v>0</v>
      </c>
      <c r="K13" s="1272">
        <f>'Part VIII-Threshold Criteria'!$P$63</f>
        <v>7171052</v>
      </c>
    </row>
    <row r="14" spans="1:11" ht="11.25" customHeight="1">
      <c r="G14" s="781" t="s">
        <v>3537</v>
      </c>
    </row>
    <row r="15" spans="1:11" s="562" customFormat="1" ht="9" customHeight="1"/>
    <row r="16" spans="1:11" ht="16.5" customHeight="1">
      <c r="A16" s="762" t="s">
        <v>3551</v>
      </c>
    </row>
    <row r="17" spans="1:11" ht="6" customHeight="1"/>
    <row r="18" spans="1:11" s="562" customFormat="1" ht="13.5" customHeight="1">
      <c r="A18" s="562" t="s">
        <v>3539</v>
      </c>
      <c r="E18" s="1273" t="s">
        <v>4250</v>
      </c>
      <c r="F18" s="1274"/>
      <c r="G18" s="1274"/>
      <c r="H18" s="1274"/>
      <c r="I18" s="1274"/>
      <c r="K18" s="1250">
        <f>Overview!$E$13</f>
        <v>39</v>
      </c>
    </row>
    <row r="19" spans="1:11" s="562" customFormat="1" ht="13.5" customHeight="1">
      <c r="A19" s="562" t="s">
        <v>3081</v>
      </c>
      <c r="E19" s="1268"/>
      <c r="K19" s="635">
        <f>Overview!$C$13</f>
        <v>40</v>
      </c>
    </row>
    <row r="20" spans="1:11" ht="3" customHeight="1">
      <c r="A20" s="782"/>
      <c r="E20" s="1269"/>
    </row>
    <row r="21" spans="1:11" s="562" customFormat="1" ht="13.5" customHeight="1">
      <c r="A21" s="562" t="s">
        <v>3082</v>
      </c>
      <c r="E21" s="1267" t="s">
        <v>3538</v>
      </c>
      <c r="K21" s="783">
        <f>K18/K19</f>
        <v>0.97499999999999998</v>
      </c>
    </row>
    <row r="22" spans="1:11" ht="6.75" customHeight="1">
      <c r="E22" s="1269"/>
    </row>
    <row r="23" spans="1:11" s="562" customFormat="1" ht="13.5" customHeight="1">
      <c r="A23" s="562" t="s">
        <v>3501</v>
      </c>
      <c r="C23" s="784"/>
      <c r="E23" s="1267" t="s">
        <v>3085</v>
      </c>
      <c r="K23" s="635">
        <f>K9</f>
        <v>5168536</v>
      </c>
    </row>
    <row r="24" spans="1:11" s="562" customFormat="1" ht="13.5" customHeight="1">
      <c r="A24" s="785" t="s">
        <v>1759</v>
      </c>
      <c r="E24" s="1268"/>
      <c r="K24" s="771">
        <f>'Part IV-A-Uses of Funds'!$G$122</f>
        <v>86567</v>
      </c>
    </row>
    <row r="25" spans="1:11" s="562" customFormat="1" ht="13.5" customHeight="1">
      <c r="A25" s="785" t="s">
        <v>3086</v>
      </c>
      <c r="E25" s="1268"/>
      <c r="K25" s="786">
        <v>0</v>
      </c>
    </row>
    <row r="26" spans="1:11" s="562" customFormat="1" ht="13.5" customHeight="1">
      <c r="A26" s="785" t="s">
        <v>3086</v>
      </c>
      <c r="E26" s="1268"/>
      <c r="K26" s="786">
        <v>0</v>
      </c>
    </row>
    <row r="27" spans="1:11" ht="3" customHeight="1">
      <c r="A27" s="787"/>
      <c r="E27" s="1269"/>
      <c r="K27" s="788">
        <v>0</v>
      </c>
    </row>
    <row r="28" spans="1:11" s="778" customFormat="1" ht="13.5" customHeight="1">
      <c r="A28" s="778" t="s">
        <v>3087</v>
      </c>
      <c r="E28" s="1270"/>
      <c r="K28" s="789">
        <f>K23-SUM(K24:K27)</f>
        <v>5081969</v>
      </c>
    </row>
    <row r="29" spans="1:11" ht="6.75" customHeight="1">
      <c r="A29" s="782"/>
      <c r="E29" s="1269"/>
      <c r="K29" s="790"/>
    </row>
    <row r="30" spans="1:11" s="562" customFormat="1" ht="15" customHeight="1">
      <c r="A30" s="778" t="s">
        <v>3088</v>
      </c>
      <c r="E30" s="1267" t="s">
        <v>3545</v>
      </c>
      <c r="F30" s="791"/>
      <c r="G30" s="791"/>
      <c r="H30" s="791"/>
      <c r="I30" s="791"/>
      <c r="K30" s="792">
        <f>K21*K28</f>
        <v>4954919.7749999994</v>
      </c>
    </row>
    <row r="31" spans="1:11" ht="13.5" customHeight="1">
      <c r="E31" s="1269"/>
      <c r="K31" s="790"/>
    </row>
    <row r="32" spans="1:11" s="562" customFormat="1" ht="16.5" customHeight="1">
      <c r="A32" s="793" t="s">
        <v>3552</v>
      </c>
      <c r="B32" s="778"/>
      <c r="C32" s="778"/>
      <c r="D32" s="778"/>
      <c r="E32" s="1267"/>
    </row>
    <row r="33" spans="1:11" ht="6" customHeight="1" thickBot="1">
      <c r="E33" s="1269"/>
    </row>
    <row r="34" spans="1:11" s="562" customFormat="1" ht="18" customHeight="1" thickBot="1">
      <c r="A34" s="794" t="s">
        <v>3548</v>
      </c>
      <c r="B34" s="778"/>
      <c r="C34" s="778"/>
      <c r="D34" s="778"/>
      <c r="E34" s="1267" t="s">
        <v>3546</v>
      </c>
      <c r="K34" s="795">
        <f>MIN(E13,K30)</f>
        <v>0</v>
      </c>
    </row>
    <row r="35" spans="1:11" ht="6" customHeight="1">
      <c r="E35" s="1269"/>
    </row>
    <row r="36" spans="1:11" s="562" customFormat="1" ht="15" customHeight="1">
      <c r="A36" s="778" t="s">
        <v>3549</v>
      </c>
      <c r="E36" s="1267" t="s">
        <v>3547</v>
      </c>
      <c r="K36" s="796">
        <f>Overview!C25</f>
        <v>0</v>
      </c>
    </row>
    <row r="37" spans="1:11" s="562" customFormat="1" ht="9" customHeight="1" thickBot="1">
      <c r="E37" s="797"/>
      <c r="F37" s="797"/>
      <c r="G37" s="797"/>
      <c r="H37" s="797"/>
      <c r="K37" s="798"/>
    </row>
    <row r="38" spans="1:11" s="562" customFormat="1" ht="15.75" customHeight="1">
      <c r="A38" s="4104" t="s">
        <v>3543</v>
      </c>
      <c r="B38" s="4104"/>
      <c r="C38" s="4104"/>
      <c r="D38" s="4105" t="s">
        <v>3083</v>
      </c>
      <c r="E38" s="4105"/>
      <c r="F38" s="4105" t="s">
        <v>3084</v>
      </c>
      <c r="G38" s="4105"/>
      <c r="H38" s="4105"/>
      <c r="I38" s="1870" t="s">
        <v>2828</v>
      </c>
      <c r="K38" s="4106">
        <f>ROUND((D39/F39)*I39,0)</f>
        <v>0</v>
      </c>
    </row>
    <row r="39" spans="1:11" s="562" customFormat="1" ht="15.75" customHeight="1" thickBot="1">
      <c r="A39" s="4104"/>
      <c r="B39" s="4104"/>
      <c r="C39" s="4104"/>
      <c r="D39" s="4108">
        <f>K36</f>
        <v>0</v>
      </c>
      <c r="E39" s="4108"/>
      <c r="F39" s="4109">
        <f>K28</f>
        <v>5081969</v>
      </c>
      <c r="G39" s="4109"/>
      <c r="H39" s="4109"/>
      <c r="I39" s="799">
        <f>K19</f>
        <v>40</v>
      </c>
      <c r="K39" s="4107"/>
    </row>
    <row r="40" spans="1:11" ht="12.75" customHeight="1">
      <c r="D40" s="800" t="s">
        <v>3544</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33203125" defaultRowHeight="13.2"/>
  <cols>
    <col min="1" max="1" width="3" style="760" customWidth="1"/>
    <col min="2" max="2" width="0.6640625" style="760" customWidth="1"/>
    <col min="3" max="3" width="16.44140625" style="760" customWidth="1"/>
    <col min="4" max="4" width="18.33203125" style="760" customWidth="1"/>
    <col min="5" max="5" width="16.44140625" style="760" customWidth="1"/>
    <col min="6" max="6" width="13.33203125" style="760" customWidth="1"/>
    <col min="7" max="7" width="14.44140625" style="760" customWidth="1"/>
    <col min="8" max="8" width="5.6640625" style="760" customWidth="1"/>
    <col min="9" max="16384" width="9.33203125" style="760"/>
  </cols>
  <sheetData>
    <row r="1" spans="1:13" ht="12" customHeight="1">
      <c r="A1" s="4113" t="str">
        <f>CONCATENATE(Overview!E8,"  ",Overview!C8)</f>
        <v>2019-049  Woodstone Apartments II</v>
      </c>
      <c r="B1" s="4113"/>
      <c r="C1" s="4113"/>
      <c r="D1" s="4113"/>
      <c r="E1" s="4113"/>
      <c r="F1" s="4113"/>
      <c r="G1" s="4113"/>
      <c r="H1" s="4113"/>
    </row>
    <row r="3" spans="1:13" ht="12" customHeight="1">
      <c r="A3" s="4114" t="s">
        <v>3504</v>
      </c>
      <c r="B3" s="4114"/>
      <c r="C3" s="4114"/>
      <c r="D3" s="4114"/>
      <c r="E3" s="4114"/>
      <c r="F3" s="4114"/>
      <c r="G3" s="4114"/>
      <c r="H3" s="4114"/>
      <c r="I3" s="1874"/>
      <c r="J3" s="4116" t="s">
        <v>4251</v>
      </c>
      <c r="K3" s="4116"/>
      <c r="L3" s="833"/>
      <c r="M3" s="833"/>
    </row>
    <row r="4" spans="1:13">
      <c r="J4" s="4116"/>
      <c r="K4" s="4116"/>
    </row>
    <row r="5" spans="1:13" ht="12" customHeight="1">
      <c r="A5" s="760">
        <v>1</v>
      </c>
      <c r="C5" s="760" t="s">
        <v>3090</v>
      </c>
      <c r="E5" s="815" t="str">
        <f>Overview!H9</f>
        <v>Woodstone Apartments II, LP</v>
      </c>
      <c r="J5" s="4116"/>
      <c r="K5" s="4116"/>
    </row>
    <row r="6" spans="1:13" ht="3" customHeight="1">
      <c r="H6" s="777"/>
      <c r="J6" s="4116"/>
      <c r="K6" s="4116"/>
    </row>
    <row r="7" spans="1:13" ht="12" customHeight="1">
      <c r="A7" s="760">
        <v>2</v>
      </c>
      <c r="C7" s="760" t="s">
        <v>3091</v>
      </c>
      <c r="E7" s="815" t="str">
        <f>'Part II-Development Team'!H6</f>
        <v>404 E McKinney Ave</v>
      </c>
      <c r="J7" s="4116"/>
      <c r="K7" s="4116"/>
    </row>
    <row r="8" spans="1:13" ht="12" customHeight="1">
      <c r="E8" s="815" t="str">
        <f>+'Part II-Development Team'!H7&amp;","&amp;" "&amp;'Part II-Development Team'!H8&amp;" "&amp;LEFT('Part II-Development Team'!J8,5)</f>
        <v>Albertville, AL 35950</v>
      </c>
      <c r="J8" s="4116"/>
      <c r="K8" s="4116"/>
    </row>
    <row r="9" spans="1:13" ht="12" customHeight="1">
      <c r="C9" s="760" t="s">
        <v>3092</v>
      </c>
      <c r="E9" s="4115" t="str">
        <f>'Part II-Development Team'!L7</f>
        <v>Applied For</v>
      </c>
      <c r="F9" s="4115"/>
      <c r="J9" s="4116"/>
      <c r="K9" s="4116"/>
    </row>
    <row r="10" spans="1:13" ht="12" customHeight="1">
      <c r="C10" s="760" t="s">
        <v>3093</v>
      </c>
      <c r="E10" s="815" t="str">
        <f>'Part II-Development Team'!Q5</f>
        <v>Jeff Beaver</v>
      </c>
    </row>
    <row r="11" spans="1:13" ht="12" customHeight="1">
      <c r="C11" s="760" t="s">
        <v>4256</v>
      </c>
      <c r="E11" s="815" t="str">
        <f>'Part II-Development Team'!L9</f>
        <v>jeff@olympiaconstruction.net</v>
      </c>
    </row>
    <row r="12" spans="1:13" ht="12" customHeight="1">
      <c r="C12" s="760" t="s">
        <v>4252</v>
      </c>
      <c r="E12" s="1875">
        <f>'Part II-Development Team'!H9</f>
        <v>2568786054</v>
      </c>
    </row>
    <row r="13" spans="1:13" ht="12" customHeight="1">
      <c r="C13" s="760" t="s">
        <v>4255</v>
      </c>
      <c r="E13" s="1875">
        <f>'Part II-Development Team'!Q7</f>
        <v>2568786054</v>
      </c>
    </row>
    <row r="14" spans="1:13" ht="3" customHeight="1"/>
    <row r="15" spans="1:13" ht="12" customHeight="1">
      <c r="A15" s="760">
        <v>3</v>
      </c>
      <c r="C15" s="760" t="s">
        <v>3094</v>
      </c>
      <c r="E15" s="815" t="str">
        <f>Overview!C8</f>
        <v>Woodstone Apartments II</v>
      </c>
    </row>
    <row r="16" spans="1:13" ht="12" customHeight="1">
      <c r="C16" s="760" t="s">
        <v>3095</v>
      </c>
      <c r="E16" s="815" t="str">
        <f>'Part I-Project Information'!$F$35</f>
        <v>320 Main Street East</v>
      </c>
    </row>
    <row r="17" spans="1:8" ht="12" customHeight="1">
      <c r="E17" s="815" t="str">
        <f>+'Part I-Project Information'!$F$38&amp;","&amp;" GA "&amp;LEFT('Part I-Project Information'!$J$38,5)</f>
        <v>Leesburg, GA 31763</v>
      </c>
    </row>
    <row r="18" spans="1:8" ht="3" customHeight="1"/>
    <row r="19" spans="1:8" ht="12" customHeight="1">
      <c r="A19" s="760">
        <v>4</v>
      </c>
      <c r="C19" s="760" t="s">
        <v>3096</v>
      </c>
      <c r="E19" s="815" t="str">
        <f>'Part II-Development Team'!H92</f>
        <v>Olympia Management, Inc.</v>
      </c>
    </row>
    <row r="20" spans="1:8" ht="12" customHeight="1">
      <c r="C20" s="760" t="s">
        <v>3097</v>
      </c>
      <c r="E20" s="815" t="str">
        <f>'Part II-Development Team'!H93</f>
        <v>450 E McKinney Ave</v>
      </c>
    </row>
    <row r="21" spans="1:8" ht="12" customHeight="1">
      <c r="E21" s="815" t="str">
        <f>+'Part II-Development Team'!H94&amp;","&amp;" "&amp;'Part II-Development Team'!H95&amp;" "&amp;LEFT('Part II-Development Team'!L95,5)</f>
        <v>Albertville, AL 35950</v>
      </c>
    </row>
    <row r="22" spans="1:8" ht="12" customHeight="1">
      <c r="C22" s="760" t="s">
        <v>4252</v>
      </c>
      <c r="E22" s="1875">
        <f>'Part II-Development Team'!H96</f>
        <v>2568786054</v>
      </c>
    </row>
    <row r="23" spans="1:8" ht="12" customHeight="1">
      <c r="C23" s="760" t="s">
        <v>4255</v>
      </c>
      <c r="E23" s="1875">
        <f>'Part II-Development Team'!Q94</f>
        <v>2568786054</v>
      </c>
    </row>
    <row r="24" spans="1:8" ht="12" customHeight="1">
      <c r="C24" s="760" t="s">
        <v>4256</v>
      </c>
      <c r="E24" s="1875" t="str">
        <f>'Part II-Development Team'!L96</f>
        <v>jeff@olympiaconstruction.net</v>
      </c>
    </row>
    <row r="25" spans="1:8" ht="3" customHeight="1">
      <c r="E25" s="815"/>
    </row>
    <row r="26" spans="1:8" ht="12" customHeight="1">
      <c r="A26" s="760">
        <v>5</v>
      </c>
      <c r="C26" s="760" t="s">
        <v>3098</v>
      </c>
      <c r="E26" s="815" t="str">
        <f>Overview!$H$7</f>
        <v>Acquisition/Rehabilitation</v>
      </c>
    </row>
    <row r="27" spans="1:8" ht="12" customHeight="1">
      <c r="E27" s="1873" t="s">
        <v>1770</v>
      </c>
    </row>
    <row r="28" spans="1:8" ht="12" customHeight="1">
      <c r="C28" s="760" t="s">
        <v>3503</v>
      </c>
      <c r="E28" s="760" t="str">
        <f>Overview!$C$9</f>
        <v>&lt;&lt;Select&gt;&gt;</v>
      </c>
    </row>
    <row r="29" spans="1:8" ht="3" customHeight="1">
      <c r="H29" s="837"/>
    </row>
    <row r="30" spans="1:8" ht="12" customHeight="1">
      <c r="A30" s="760">
        <v>6</v>
      </c>
      <c r="C30" s="760" t="s">
        <v>3099</v>
      </c>
      <c r="E30" s="760" t="s">
        <v>2408</v>
      </c>
      <c r="F30" s="1876">
        <f>'Part III-Sources of Funds'!L20</f>
        <v>4100000</v>
      </c>
      <c r="G30" s="760" t="s">
        <v>3100</v>
      </c>
    </row>
    <row r="31" spans="1:8" ht="12" customHeight="1">
      <c r="F31" s="1876" t="s">
        <v>3101</v>
      </c>
      <c r="G31" s="760" t="s">
        <v>3102</v>
      </c>
    </row>
    <row r="32" spans="1:8" ht="3" customHeight="1">
      <c r="F32" s="805"/>
    </row>
    <row r="33" spans="1:7" ht="12" customHeight="1">
      <c r="A33" s="760">
        <v>7</v>
      </c>
      <c r="C33" s="760" t="s">
        <v>3103</v>
      </c>
      <c r="F33" s="1877">
        <v>0</v>
      </c>
    </row>
    <row r="34" spans="1:7" ht="3" customHeight="1">
      <c r="F34" s="805"/>
    </row>
    <row r="35" spans="1:7" ht="12" customHeight="1">
      <c r="A35" s="760">
        <v>8</v>
      </c>
      <c r="C35" s="760" t="s">
        <v>3104</v>
      </c>
      <c r="E35" s="760" t="s">
        <v>2408</v>
      </c>
      <c r="F35" s="1878">
        <v>0.01</v>
      </c>
    </row>
    <row r="36" spans="1:7" ht="3" customHeight="1">
      <c r="F36" s="1877"/>
    </row>
    <row r="37" spans="1:7" ht="12" customHeight="1">
      <c r="A37" s="760">
        <v>9</v>
      </c>
      <c r="C37" s="760" t="s">
        <v>3105</v>
      </c>
      <c r="F37" s="1879">
        <v>24</v>
      </c>
      <c r="G37" s="760" t="s">
        <v>3106</v>
      </c>
    </row>
    <row r="38" spans="1:7" ht="3" customHeight="1">
      <c r="F38" s="1877"/>
    </row>
    <row r="39" spans="1:7" ht="12" customHeight="1">
      <c r="A39" s="760">
        <v>10</v>
      </c>
      <c r="C39" s="760" t="s">
        <v>3107</v>
      </c>
      <c r="E39" s="760" t="s">
        <v>2408</v>
      </c>
      <c r="F39" s="805">
        <f>'Part III-Sources of Funds'!L38*12</f>
        <v>0</v>
      </c>
      <c r="G39" s="760" t="s">
        <v>3106</v>
      </c>
    </row>
    <row r="40" spans="1:7" ht="3" customHeight="1">
      <c r="F40" s="805"/>
    </row>
    <row r="41" spans="1:7" ht="12" customHeight="1">
      <c r="A41" s="760">
        <v>11</v>
      </c>
      <c r="C41" s="760" t="s">
        <v>3108</v>
      </c>
      <c r="F41" s="1880">
        <v>24</v>
      </c>
      <c r="G41" s="760" t="s">
        <v>3106</v>
      </c>
    </row>
    <row r="42" spans="1:7" ht="3" customHeight="1"/>
    <row r="43" spans="1:7" ht="12" customHeight="1">
      <c r="A43" s="760">
        <v>12</v>
      </c>
      <c r="C43" s="760" t="s">
        <v>3109</v>
      </c>
      <c r="F43" s="1881" t="s">
        <v>3110</v>
      </c>
    </row>
    <row r="44" spans="1:7" ht="3" customHeight="1"/>
    <row r="45" spans="1:7" ht="12" customHeight="1">
      <c r="A45" s="760">
        <v>13</v>
      </c>
      <c r="C45" s="760" t="s">
        <v>3111</v>
      </c>
      <c r="E45" s="760" t="s">
        <v>2408</v>
      </c>
      <c r="F45" s="815" t="s">
        <v>3112</v>
      </c>
    </row>
    <row r="46" spans="1:7" ht="3" customHeight="1">
      <c r="F46" s="777"/>
    </row>
    <row r="47" spans="1:7" ht="12" customHeight="1">
      <c r="A47" s="760">
        <v>14</v>
      </c>
      <c r="C47" s="760" t="s">
        <v>3113</v>
      </c>
      <c r="E47" s="815" t="str">
        <f>'Part II-Development Team'!H14</f>
        <v>Olympia GP Holdings, LLC</v>
      </c>
    </row>
    <row r="48" spans="1:7" ht="3" customHeight="1">
      <c r="E48" s="815"/>
    </row>
    <row r="49" spans="1:7" ht="12" customHeight="1">
      <c r="A49" s="760">
        <v>15</v>
      </c>
      <c r="C49" s="760" t="s">
        <v>4258</v>
      </c>
      <c r="E49" s="815" t="str">
        <f>'Part II-Development Team'!Q98</f>
        <v>Russ Henry</v>
      </c>
      <c r="G49" s="815" t="str">
        <f>'Part II-Development Team'!H98</f>
        <v>Coleman Talley LLP</v>
      </c>
    </row>
    <row r="50" spans="1:7" ht="12" customHeight="1">
      <c r="C50" s="760" t="s">
        <v>3114</v>
      </c>
      <c r="E50" s="815">
        <f>'Part II-Development Team'!O102</f>
        <v>0</v>
      </c>
      <c r="F50" s="805"/>
    </row>
    <row r="51" spans="1:7" ht="3" customHeight="1">
      <c r="F51" s="805"/>
    </row>
    <row r="52" spans="1:7" ht="12" customHeight="1">
      <c r="A52" s="760">
        <v>16</v>
      </c>
      <c r="C52" s="760" t="s">
        <v>3115</v>
      </c>
      <c r="F52" s="1880">
        <f>Overview!C13</f>
        <v>40</v>
      </c>
    </row>
    <row r="53" spans="1:7" ht="3" customHeight="1">
      <c r="F53" s="805"/>
    </row>
    <row r="54" spans="1:7" ht="12" customHeight="1">
      <c r="A54" s="833">
        <v>17</v>
      </c>
      <c r="B54" s="833"/>
      <c r="C54" s="833" t="s">
        <v>3116</v>
      </c>
      <c r="D54" s="833"/>
      <c r="E54" s="833"/>
      <c r="F54" s="1882">
        <f>'HOME Allocation Limit WS'!K18</f>
        <v>39</v>
      </c>
      <c r="G54" s="833"/>
    </row>
    <row r="55" spans="1:7" ht="3" customHeight="1">
      <c r="F55" s="805"/>
    </row>
    <row r="56" spans="1:7" ht="12" customHeight="1">
      <c r="A56" s="760">
        <v>18</v>
      </c>
      <c r="C56" s="760" t="s">
        <v>3117</v>
      </c>
      <c r="F56" s="1882">
        <f>'Part VI-Revenues &amp; Expenses'!O66</f>
        <v>1</v>
      </c>
      <c r="G56" s="760" t="s">
        <v>4257</v>
      </c>
    </row>
    <row r="57" spans="1:7" ht="3" customHeight="1">
      <c r="F57" s="805"/>
    </row>
    <row r="58" spans="1:7" ht="12" customHeight="1">
      <c r="A58" s="760">
        <v>19</v>
      </c>
      <c r="C58" s="760" t="s">
        <v>3118</v>
      </c>
      <c r="F58" s="1883"/>
      <c r="G58" s="760" t="s">
        <v>3505</v>
      </c>
    </row>
    <row r="59" spans="1:7" ht="3" customHeight="1">
      <c r="F59" s="805"/>
    </row>
    <row r="60" spans="1:7" ht="12" customHeight="1">
      <c r="A60" s="760">
        <v>20</v>
      </c>
      <c r="C60" s="760" t="s">
        <v>3119</v>
      </c>
      <c r="F60" s="1884" t="s">
        <v>969</v>
      </c>
      <c r="G60" s="833"/>
    </row>
    <row r="61" spans="1:7" ht="3" customHeight="1"/>
    <row r="62" spans="1:7" ht="12" customHeight="1">
      <c r="A62" s="760">
        <v>21</v>
      </c>
      <c r="C62" s="760" t="s">
        <v>3520</v>
      </c>
      <c r="E62" s="1885" t="s">
        <v>3506</v>
      </c>
      <c r="F62" s="1886" t="s">
        <v>3507</v>
      </c>
      <c r="G62" s="1885" t="s">
        <v>3120</v>
      </c>
    </row>
    <row r="63" spans="1:7" ht="12" customHeight="1">
      <c r="E63" s="1885" t="s">
        <v>3506</v>
      </c>
      <c r="F63" s="1886" t="s">
        <v>3507</v>
      </c>
      <c r="G63" s="1885"/>
    </row>
    <row r="64" spans="1:7" ht="3" customHeight="1"/>
    <row r="65" spans="1:7" ht="12" customHeight="1">
      <c r="A65" s="760">
        <v>22</v>
      </c>
      <c r="C65" s="760" t="s">
        <v>3121</v>
      </c>
      <c r="E65" s="815" t="str">
        <f>Overview!H9</f>
        <v>Woodstone Apartments II, LP</v>
      </c>
    </row>
    <row r="66" spans="1:7" ht="3" customHeight="1"/>
    <row r="67" spans="1:7" ht="12" customHeight="1">
      <c r="A67" s="760">
        <v>23</v>
      </c>
      <c r="C67" s="760" t="s">
        <v>3122</v>
      </c>
      <c r="F67" s="805" t="s">
        <v>3123</v>
      </c>
    </row>
    <row r="68" spans="1:7" ht="3" customHeight="1"/>
    <row r="69" spans="1:7" ht="12" customHeight="1">
      <c r="A69" s="760">
        <v>24</v>
      </c>
      <c r="C69" s="760" t="s">
        <v>3124</v>
      </c>
      <c r="E69" s="760" t="s">
        <v>2408</v>
      </c>
      <c r="F69" s="805">
        <v>20</v>
      </c>
      <c r="G69" s="760" t="s">
        <v>2468</v>
      </c>
    </row>
    <row r="70" spans="1:7" ht="3" customHeight="1"/>
    <row r="71" spans="1:7" ht="12" customHeight="1">
      <c r="A71" s="760">
        <v>25</v>
      </c>
      <c r="C71" s="760" t="s">
        <v>3125</v>
      </c>
      <c r="F71" s="1887">
        <f>'Part IV-A-Uses of Funds'!$G$122</f>
        <v>86567</v>
      </c>
    </row>
    <row r="72" spans="1:7" ht="3" customHeight="1">
      <c r="F72" s="1887"/>
    </row>
    <row r="73" spans="1:7" ht="12" customHeight="1">
      <c r="A73" s="760">
        <v>26</v>
      </c>
      <c r="C73" s="760" t="s">
        <v>3126</v>
      </c>
      <c r="F73" s="1887">
        <f>'Part IV-A-Uses of Funds'!$G$123</f>
        <v>7500</v>
      </c>
    </row>
    <row r="74" spans="1:7" ht="3" customHeight="1">
      <c r="F74" s="1887"/>
    </row>
    <row r="75" spans="1:7" ht="12" customHeight="1">
      <c r="A75" s="760">
        <v>27</v>
      </c>
      <c r="C75" s="760" t="s">
        <v>3127</v>
      </c>
      <c r="F75" s="1888">
        <f>'Part IV-A-Uses of Funds'!$G$121</f>
        <v>43283</v>
      </c>
    </row>
    <row r="76" spans="1:7" ht="3" customHeight="1">
      <c r="F76" s="1887"/>
    </row>
    <row r="77" spans="1:7" ht="12" customHeight="1">
      <c r="A77" s="760">
        <v>28</v>
      </c>
      <c r="C77" s="760" t="s">
        <v>3128</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33203125" defaultRowHeight="13.2"/>
  <cols>
    <col min="1" max="1" width="23.5546875" style="760" customWidth="1"/>
    <col min="2" max="2" width="11" style="760" customWidth="1"/>
    <col min="3" max="3" width="31" style="760" customWidth="1"/>
    <col min="4" max="4" width="14" style="760" customWidth="1"/>
    <col min="5" max="10" width="11.33203125" style="760" customWidth="1"/>
    <col min="11" max="16384" width="9.33203125" style="760"/>
  </cols>
  <sheetData>
    <row r="1" spans="1:13" ht="13.8">
      <c r="A1" s="4131" t="s">
        <v>3317</v>
      </c>
      <c r="B1" s="4131"/>
      <c r="C1" s="4131"/>
      <c r="D1" s="4131"/>
      <c r="E1" s="4131"/>
      <c r="F1" s="4131"/>
      <c r="G1" s="4131"/>
      <c r="H1" s="4131"/>
      <c r="I1" s="4131"/>
      <c r="J1" s="4131"/>
    </row>
    <row r="2" spans="1:13" ht="13.8">
      <c r="A2" s="4131" t="str">
        <f>Overview!E8&amp;"  "&amp;Overview!C8</f>
        <v>2019-049  Woodstone Apartments II</v>
      </c>
      <c r="B2" s="4131"/>
      <c r="C2" s="4131"/>
      <c r="D2" s="4131"/>
      <c r="E2" s="4131"/>
      <c r="F2" s="4131"/>
      <c r="G2" s="4131"/>
      <c r="H2" s="4131"/>
      <c r="I2" s="4131"/>
      <c r="J2" s="4131"/>
    </row>
    <row r="3" spans="1:13" ht="6" customHeight="1">
      <c r="K3" s="4116" t="s">
        <v>4251</v>
      </c>
      <c r="L3" s="4116"/>
      <c r="M3" s="4116"/>
    </row>
    <row r="4" spans="1:13" ht="12" customHeight="1">
      <c r="A4" s="801" t="s">
        <v>3129</v>
      </c>
      <c r="K4" s="4116"/>
      <c r="L4" s="4116"/>
      <c r="M4" s="4116"/>
    </row>
    <row r="5" spans="1:13" ht="12" customHeight="1">
      <c r="A5" s="760" t="s">
        <v>3130</v>
      </c>
      <c r="C5" s="802" t="str">
        <f>'Subsidy Layering Memo'!D6</f>
        <v>(Underwriter)</v>
      </c>
      <c r="I5" s="802"/>
      <c r="K5" s="4116"/>
      <c r="L5" s="4116"/>
      <c r="M5" s="4116"/>
    </row>
    <row r="6" spans="1:13" ht="6" customHeight="1">
      <c r="C6" s="697"/>
      <c r="D6" s="802"/>
      <c r="I6" s="802"/>
      <c r="K6" s="4116"/>
      <c r="L6" s="4116"/>
      <c r="M6" s="4116"/>
    </row>
    <row r="7" spans="1:13" ht="12" customHeight="1">
      <c r="A7" s="801" t="s">
        <v>3131</v>
      </c>
      <c r="C7" s="697"/>
      <c r="D7" s="802"/>
      <c r="I7" s="802"/>
      <c r="K7" s="4116"/>
      <c r="L7" s="4116"/>
      <c r="M7" s="4116"/>
    </row>
    <row r="8" spans="1:13" ht="12" customHeight="1">
      <c r="A8" s="760" t="s">
        <v>3132</v>
      </c>
      <c r="C8" s="802" t="str">
        <f>Overview!$H$9</f>
        <v>Woodstone Apartments II, LP</v>
      </c>
      <c r="I8" s="802"/>
      <c r="K8" s="4116"/>
      <c r="L8" s="4116"/>
      <c r="M8" s="4116"/>
    </row>
    <row r="9" spans="1:13" ht="3" customHeight="1">
      <c r="C9" s="697"/>
      <c r="D9" s="802"/>
      <c r="I9" s="802"/>
    </row>
    <row r="10" spans="1:13" ht="12" customHeight="1">
      <c r="A10" s="760" t="s">
        <v>3133</v>
      </c>
      <c r="C10" s="1277" t="s">
        <v>1770</v>
      </c>
      <c r="I10" s="802"/>
    </row>
    <row r="11" spans="1:13" ht="12" customHeight="1">
      <c r="C11" s="1277" t="s">
        <v>1770</v>
      </c>
      <c r="I11" s="802"/>
    </row>
    <row r="12" spans="1:13" ht="12" customHeight="1">
      <c r="C12" s="802" t="s">
        <v>2678</v>
      </c>
      <c r="D12" s="823" t="s">
        <v>1770</v>
      </c>
      <c r="I12" s="802"/>
    </row>
    <row r="13" spans="1:13" ht="12" customHeight="1">
      <c r="C13" s="802" t="s">
        <v>3134</v>
      </c>
      <c r="D13" s="4124"/>
      <c r="E13" s="4124"/>
      <c r="F13" s="4124"/>
      <c r="G13" s="4124"/>
      <c r="H13" s="4124"/>
      <c r="I13" s="4124"/>
      <c r="J13" s="4124"/>
    </row>
    <row r="14" spans="1:13" ht="3" customHeight="1">
      <c r="G14" s="697"/>
      <c r="H14" s="802"/>
      <c r="I14" s="802"/>
    </row>
    <row r="15" spans="1:13" ht="12" customHeight="1">
      <c r="A15" s="760" t="s">
        <v>3135</v>
      </c>
      <c r="C15" s="804" t="str">
        <f>'Preview term'!E10</f>
        <v>Jeff Beaver</v>
      </c>
      <c r="G15" s="697"/>
      <c r="I15" s="802"/>
    </row>
    <row r="16" spans="1:13" ht="12" customHeight="1">
      <c r="A16" s="815" t="s">
        <v>4467</v>
      </c>
      <c r="C16" s="804" t="str">
        <f>'Part II-Development Team'!Q6</f>
        <v>Pres. of Member of GP</v>
      </c>
      <c r="G16" s="697"/>
      <c r="I16" s="802"/>
    </row>
    <row r="17" spans="1:9" ht="3" customHeight="1">
      <c r="G17" s="697"/>
      <c r="H17" s="802"/>
      <c r="I17" s="802"/>
    </row>
    <row r="18" spans="1:9" ht="12" customHeight="1">
      <c r="A18" s="760" t="s">
        <v>3136</v>
      </c>
      <c r="C18" s="804" t="str">
        <f>'Preview term'!$E$7</f>
        <v>404 E McKinney Ave</v>
      </c>
      <c r="G18" s="697"/>
      <c r="I18" s="802"/>
    </row>
    <row r="19" spans="1:9" ht="12" customHeight="1">
      <c r="C19" s="804" t="str">
        <f>'Preview term'!$E$8</f>
        <v>Albertville, AL 35950</v>
      </c>
      <c r="G19" s="697"/>
      <c r="I19" s="802"/>
    </row>
    <row r="20" spans="1:9" ht="3" customHeight="1">
      <c r="G20" s="697"/>
      <c r="H20" s="802"/>
      <c r="I20" s="802"/>
    </row>
    <row r="21" spans="1:9" ht="12" customHeight="1">
      <c r="A21" s="760" t="s">
        <v>3137</v>
      </c>
      <c r="C21" s="804" t="str">
        <f>CONCATENATE('Preview term'!E49," of  ",'Preview term'!G49)</f>
        <v>Russ Henry of  Coleman Talley LLP</v>
      </c>
      <c r="G21" s="697"/>
      <c r="I21" s="802"/>
    </row>
    <row r="22" spans="1:9" ht="3" customHeight="1">
      <c r="C22" s="804"/>
      <c r="G22" s="697"/>
      <c r="I22" s="802"/>
    </row>
    <row r="23" spans="1:9" ht="12" customHeight="1">
      <c r="A23" s="760" t="s">
        <v>3138</v>
      </c>
      <c r="C23" s="804">
        <f>'Preview term'!E12</f>
        <v>2568786054</v>
      </c>
      <c r="G23" s="697"/>
      <c r="I23" s="802"/>
    </row>
    <row r="24" spans="1:9" ht="3" customHeight="1">
      <c r="C24" s="804"/>
      <c r="G24" s="697"/>
      <c r="I24" s="802"/>
    </row>
    <row r="25" spans="1:9" ht="12" customHeight="1">
      <c r="A25" s="760" t="s">
        <v>3139</v>
      </c>
      <c r="C25" s="1279" t="str">
        <f>'Preview term'!E11</f>
        <v>jeff@olympiaconstruction.net</v>
      </c>
      <c r="G25" s="697"/>
    </row>
    <row r="26" spans="1:9" ht="6" customHeight="1">
      <c r="G26" s="697"/>
      <c r="H26" s="802"/>
      <c r="I26" s="802"/>
    </row>
    <row r="27" spans="1:9" ht="12" customHeight="1">
      <c r="A27" s="801" t="s">
        <v>3140</v>
      </c>
      <c r="G27" s="697"/>
      <c r="H27" s="802"/>
      <c r="I27" s="802"/>
    </row>
    <row r="28" spans="1:9" ht="12" customHeight="1">
      <c r="A28" s="760" t="s">
        <v>3141</v>
      </c>
      <c r="C28" s="804" t="str">
        <f>Overview!$C$8</f>
        <v>Woodstone Apartments II</v>
      </c>
      <c r="I28" s="802"/>
    </row>
    <row r="29" spans="1:9" ht="3" customHeight="1">
      <c r="C29" s="804"/>
      <c r="I29" s="802"/>
    </row>
    <row r="30" spans="1:9" ht="12" customHeight="1">
      <c r="A30" s="760" t="s">
        <v>3142</v>
      </c>
      <c r="C30" s="804" t="str">
        <f>'Preview term'!E16</f>
        <v>320 Main Street East</v>
      </c>
      <c r="I30" s="802"/>
    </row>
    <row r="31" spans="1:9">
      <c r="C31" s="802" t="str">
        <f>'Preview term'!E17</f>
        <v>Leesburg, GA 31763</v>
      </c>
      <c r="I31" s="802"/>
    </row>
    <row r="32" spans="1:9" ht="3" customHeight="1">
      <c r="C32" s="697"/>
      <c r="D32" s="697"/>
      <c r="I32" s="697"/>
    </row>
    <row r="33" spans="1:10" ht="12" customHeight="1">
      <c r="A33" s="760" t="s">
        <v>3143</v>
      </c>
      <c r="C33" s="697" t="s">
        <v>3144</v>
      </c>
      <c r="D33" s="1278">
        <f>'Preview term'!F54</f>
        <v>39</v>
      </c>
      <c r="I33" s="697"/>
    </row>
    <row r="34" spans="1:10" ht="12" customHeight="1">
      <c r="C34" s="697" t="s">
        <v>3145</v>
      </c>
      <c r="D34" s="806">
        <f>'HOME Allocation Limit WS'!H12-'HOME Allocation Limit WS'!D12</f>
        <v>1</v>
      </c>
      <c r="I34" s="697"/>
    </row>
    <row r="35" spans="1:10" ht="12" customHeight="1">
      <c r="C35" s="697" t="s">
        <v>3146</v>
      </c>
      <c r="D35" s="807">
        <f>SUM(D33:D34)</f>
        <v>40</v>
      </c>
      <c r="I35" s="697"/>
    </row>
    <row r="36" spans="1:10" ht="3" customHeight="1">
      <c r="C36" s="697"/>
      <c r="D36" s="697"/>
      <c r="I36" s="697"/>
    </row>
    <row r="37" spans="1:10" ht="12" customHeight="1">
      <c r="A37" s="760" t="s">
        <v>3147</v>
      </c>
      <c r="C37" s="1885" t="s">
        <v>1770</v>
      </c>
      <c r="D37" s="1276">
        <f>'Preview term'!F56</f>
        <v>1</v>
      </c>
      <c r="E37" s="697" t="s">
        <v>3148</v>
      </c>
      <c r="I37" s="697"/>
    </row>
    <row r="38" spans="1:10" ht="3" customHeight="1">
      <c r="G38" s="808"/>
      <c r="H38" s="697"/>
      <c r="I38" s="697"/>
    </row>
    <row r="39" spans="1:10" ht="25.5" customHeight="1">
      <c r="A39" s="809" t="s">
        <v>3149</v>
      </c>
      <c r="C39" s="4132"/>
      <c r="D39" s="4132"/>
      <c r="E39" s="4132"/>
      <c r="F39" s="4132"/>
      <c r="G39" s="4132"/>
      <c r="H39" s="4132"/>
      <c r="I39" s="4132"/>
      <c r="J39" s="4132"/>
    </row>
    <row r="40" spans="1:10" ht="3" customHeight="1">
      <c r="G40" s="697"/>
      <c r="H40" s="697"/>
      <c r="I40" s="697"/>
    </row>
    <row r="41" spans="1:10" ht="25.5" customHeight="1">
      <c r="A41" s="809" t="s">
        <v>3150</v>
      </c>
      <c r="C41" s="4133" t="s">
        <v>3508</v>
      </c>
      <c r="D41" s="4133"/>
      <c r="E41" s="4133"/>
      <c r="F41" s="4133"/>
      <c r="G41" s="4133"/>
      <c r="H41" s="4133"/>
      <c r="I41" s="4133"/>
      <c r="J41" s="4133"/>
    </row>
    <row r="42" spans="1:10" ht="3" customHeight="1">
      <c r="C42" s="560"/>
      <c r="D42" s="560"/>
      <c r="E42" s="560"/>
      <c r="F42" s="560"/>
      <c r="G42" s="560"/>
      <c r="H42" s="561"/>
      <c r="I42" s="562"/>
      <c r="J42" s="561"/>
    </row>
    <row r="43" spans="1:10" ht="12" customHeight="1">
      <c r="A43" s="760" t="s">
        <v>3151</v>
      </c>
      <c r="C43" s="633" t="str">
        <f>'Part I-Project Information'!J39</f>
        <v>Lee</v>
      </c>
      <c r="D43" s="560"/>
      <c r="F43" s="561"/>
      <c r="I43" s="562"/>
      <c r="J43" s="561"/>
    </row>
    <row r="44" spans="1:10" ht="3" customHeight="1">
      <c r="C44" s="560"/>
      <c r="D44" s="560"/>
      <c r="E44" s="560"/>
      <c r="F44" s="561"/>
      <c r="I44" s="562"/>
      <c r="J44" s="561"/>
    </row>
    <row r="45" spans="1:10" ht="12" customHeight="1">
      <c r="A45" s="760" t="s">
        <v>3152</v>
      </c>
      <c r="C45" s="823" t="s">
        <v>1770</v>
      </c>
      <c r="I45" s="562"/>
      <c r="J45" s="561"/>
    </row>
    <row r="46" spans="1:10" ht="3" customHeight="1">
      <c r="C46" s="697"/>
      <c r="D46" s="810"/>
      <c r="I46" s="697"/>
    </row>
    <row r="47" spans="1:10" ht="12" customHeight="1">
      <c r="A47" s="760" t="s">
        <v>3153</v>
      </c>
      <c r="C47" s="811"/>
      <c r="I47" s="812"/>
      <c r="J47" s="812"/>
    </row>
    <row r="48" spans="1:10" ht="3" customHeight="1">
      <c r="D48" s="812"/>
      <c r="E48" s="812"/>
      <c r="F48" s="812"/>
      <c r="G48" s="813"/>
      <c r="H48" s="697"/>
      <c r="I48" s="812"/>
      <c r="J48" s="812"/>
    </row>
    <row r="49" spans="1:10" ht="12" customHeight="1">
      <c r="A49" s="697"/>
      <c r="B49" s="760" t="s">
        <v>3154</v>
      </c>
      <c r="C49" s="4133" t="s">
        <v>574</v>
      </c>
      <c r="D49" s="4133"/>
      <c r="E49" s="4133"/>
      <c r="F49" s="4133"/>
      <c r="G49" s="4133"/>
      <c r="H49" s="4133"/>
      <c r="I49" s="4133"/>
      <c r="J49" s="4133"/>
    </row>
    <row r="50" spans="1:10" ht="12" customHeight="1">
      <c r="C50" s="4128" t="s">
        <v>1807</v>
      </c>
      <c r="D50" s="4128"/>
      <c r="E50" s="4128"/>
      <c r="F50" s="4128"/>
      <c r="G50" s="4128"/>
      <c r="H50" s="4128"/>
      <c r="I50" s="4128"/>
      <c r="J50" s="4128"/>
    </row>
    <row r="51" spans="1:10" ht="3" customHeight="1">
      <c r="D51" s="812"/>
      <c r="E51" s="812"/>
      <c r="F51" s="812"/>
      <c r="G51" s="813"/>
      <c r="H51" s="697"/>
      <c r="I51" s="812"/>
      <c r="J51" s="812"/>
    </row>
    <row r="52" spans="1:10" ht="12" customHeight="1">
      <c r="A52" s="809" t="s">
        <v>3155</v>
      </c>
      <c r="B52" s="809"/>
      <c r="C52" s="814" t="s">
        <v>3156</v>
      </c>
      <c r="D52" s="814" t="s">
        <v>3509</v>
      </c>
      <c r="E52" s="4129"/>
      <c r="F52" s="4129"/>
      <c r="G52" s="4129"/>
      <c r="H52" s="4129"/>
      <c r="I52" s="4129"/>
      <c r="J52" s="4129"/>
    </row>
    <row r="53" spans="1:10" ht="12" customHeight="1">
      <c r="A53" s="809"/>
      <c r="B53" s="809"/>
      <c r="C53" s="809"/>
      <c r="D53" s="814" t="s">
        <v>3510</v>
      </c>
      <c r="E53" s="4130"/>
      <c r="F53" s="4130"/>
      <c r="G53" s="4130"/>
      <c r="H53" s="4130"/>
      <c r="I53" s="4130"/>
      <c r="J53" s="4130"/>
    </row>
    <row r="54" spans="1:10" ht="12" customHeight="1">
      <c r="A54" s="801" t="s">
        <v>3157</v>
      </c>
      <c r="G54" s="697"/>
      <c r="H54" s="697"/>
      <c r="I54" s="697"/>
    </row>
    <row r="55" spans="1:10" ht="18" customHeight="1">
      <c r="A55" s="760" t="s">
        <v>3158</v>
      </c>
      <c r="C55" s="803" t="str">
        <f>Overview!C10</f>
        <v>Olympia GP Holdings, LLC</v>
      </c>
      <c r="G55" s="697"/>
      <c r="I55" s="697"/>
    </row>
    <row r="56" spans="1:10" ht="3" customHeight="1">
      <c r="C56" s="803"/>
      <c r="G56" s="697"/>
      <c r="I56" s="697"/>
    </row>
    <row r="57" spans="1:10" ht="12" customHeight="1">
      <c r="A57" s="760" t="s">
        <v>3159</v>
      </c>
      <c r="C57" s="803" t="str">
        <f>Overview!C11</f>
        <v/>
      </c>
      <c r="E57" s="803" t="str">
        <f>Overview!E11</f>
        <v/>
      </c>
      <c r="G57" s="697"/>
      <c r="I57" s="697"/>
    </row>
    <row r="58" spans="1:10" ht="3" customHeight="1">
      <c r="C58" s="803"/>
      <c r="G58" s="697"/>
      <c r="I58" s="697"/>
    </row>
    <row r="59" spans="1:10" ht="12" customHeight="1">
      <c r="A59" s="760" t="s">
        <v>3160</v>
      </c>
      <c r="C59" s="803" t="s">
        <v>2822</v>
      </c>
      <c r="G59" s="697"/>
      <c r="I59" s="697"/>
    </row>
    <row r="60" spans="1:10" ht="6" customHeight="1">
      <c r="G60" s="697"/>
      <c r="H60" s="697"/>
      <c r="I60" s="697"/>
    </row>
    <row r="61" spans="1:10" ht="12" customHeight="1">
      <c r="A61" s="801" t="s">
        <v>3161</v>
      </c>
      <c r="G61" s="697"/>
      <c r="H61" s="697"/>
      <c r="I61" s="697"/>
    </row>
    <row r="62" spans="1:10" ht="12" customHeight="1">
      <c r="A62" s="760" t="s">
        <v>3162</v>
      </c>
      <c r="C62" s="760" t="s">
        <v>3163</v>
      </c>
      <c r="D62" s="1280">
        <f>'Preview term'!F30</f>
        <v>4100000</v>
      </c>
      <c r="G62" s="697"/>
      <c r="I62" s="697"/>
    </row>
    <row r="63" spans="1:10" ht="3" customHeight="1">
      <c r="D63" s="815"/>
      <c r="G63" s="697"/>
      <c r="H63" s="816"/>
      <c r="I63" s="697"/>
    </row>
    <row r="64" spans="1:10" ht="12" customHeight="1">
      <c r="A64" s="760" t="s">
        <v>3164</v>
      </c>
      <c r="C64" s="760" t="s">
        <v>3166</v>
      </c>
      <c r="D64" s="803" t="s">
        <v>969</v>
      </c>
      <c r="G64" s="697"/>
      <c r="I64" s="697"/>
    </row>
    <row r="65" spans="1:10" ht="3" customHeight="1">
      <c r="D65" s="815"/>
      <c r="G65" s="697"/>
      <c r="H65" s="697"/>
      <c r="I65" s="697"/>
    </row>
    <row r="66" spans="1:10" ht="12" customHeight="1">
      <c r="A66" s="760" t="s">
        <v>3167</v>
      </c>
      <c r="C66" s="1281" t="s">
        <v>1770</v>
      </c>
      <c r="D66" s="829"/>
      <c r="I66" s="697"/>
    </row>
    <row r="67" spans="1:10" ht="12" customHeight="1">
      <c r="C67" s="760" t="s">
        <v>3168</v>
      </c>
      <c r="D67" s="1872" t="s">
        <v>1770</v>
      </c>
      <c r="I67" s="697"/>
    </row>
    <row r="68" spans="1:10" ht="12" customHeight="1">
      <c r="C68" s="760" t="s">
        <v>3134</v>
      </c>
      <c r="D68" s="4124"/>
      <c r="E68" s="4124"/>
      <c r="F68" s="4124"/>
      <c r="G68" s="4124"/>
      <c r="H68" s="4124"/>
      <c r="I68" s="4124"/>
      <c r="J68" s="4124"/>
    </row>
    <row r="69" spans="1:10" ht="3" customHeight="1">
      <c r="D69" s="815"/>
      <c r="E69" s="697"/>
      <c r="F69" s="697"/>
      <c r="I69" s="697"/>
    </row>
    <row r="70" spans="1:10" ht="12" customHeight="1">
      <c r="A70" s="760" t="s">
        <v>3169</v>
      </c>
      <c r="C70" s="760" t="s">
        <v>2408</v>
      </c>
      <c r="D70" s="823" t="s">
        <v>1770</v>
      </c>
      <c r="I70" s="697"/>
    </row>
    <row r="71" spans="1:10" ht="3" customHeight="1">
      <c r="D71" s="697"/>
      <c r="E71" s="697"/>
      <c r="I71" s="697"/>
    </row>
    <row r="72" spans="1:10" ht="12" customHeight="1">
      <c r="A72" s="760" t="s">
        <v>3170</v>
      </c>
      <c r="C72" s="1281" t="s">
        <v>1770</v>
      </c>
      <c r="I72" s="697"/>
    </row>
    <row r="73" spans="1:10" ht="3" customHeight="1">
      <c r="C73" s="815"/>
      <c r="G73" s="817"/>
      <c r="H73" s="697"/>
      <c r="I73" s="697"/>
    </row>
    <row r="74" spans="1:10" ht="12" customHeight="1">
      <c r="A74" s="760" t="s">
        <v>3171</v>
      </c>
      <c r="C74" s="815" t="s">
        <v>3172</v>
      </c>
      <c r="D74" s="1283">
        <v>0</v>
      </c>
      <c r="J74" s="697"/>
    </row>
    <row r="75" spans="1:10" ht="12" customHeight="1">
      <c r="C75" s="818" t="s">
        <v>3329</v>
      </c>
      <c r="D75" s="1284">
        <v>0.01</v>
      </c>
      <c r="J75" s="697"/>
    </row>
    <row r="76" spans="1:10" ht="3" customHeight="1">
      <c r="C76" s="815"/>
      <c r="D76" s="815"/>
      <c r="G76" s="697"/>
      <c r="H76" s="697"/>
      <c r="I76" s="697"/>
    </row>
    <row r="77" spans="1:10" ht="12" customHeight="1">
      <c r="A77" s="760" t="s">
        <v>3173</v>
      </c>
      <c r="C77" s="815" t="s">
        <v>3559</v>
      </c>
      <c r="D77" s="820">
        <v>24</v>
      </c>
      <c r="I77" s="697"/>
    </row>
    <row r="78" spans="1:10" ht="3" customHeight="1">
      <c r="D78" s="815"/>
      <c r="E78" s="697"/>
      <c r="F78" s="697"/>
      <c r="I78" s="697"/>
    </row>
    <row r="79" spans="1:10" ht="12" customHeight="1">
      <c r="A79" s="760" t="s">
        <v>3174</v>
      </c>
      <c r="C79" s="760" t="s">
        <v>2408</v>
      </c>
      <c r="D79" s="821">
        <f>'Preview term'!F39</f>
        <v>0</v>
      </c>
      <c r="E79" s="697" t="s">
        <v>3513</v>
      </c>
      <c r="I79" s="697"/>
    </row>
    <row r="80" spans="1:10" ht="3" customHeight="1">
      <c r="D80" s="815"/>
      <c r="G80" s="697"/>
      <c r="H80" s="697"/>
      <c r="I80" s="697"/>
    </row>
    <row r="81" spans="1:9" ht="12" customHeight="1">
      <c r="A81" s="760" t="s">
        <v>3175</v>
      </c>
      <c r="D81" s="1282">
        <v>0</v>
      </c>
      <c r="E81" s="822">
        <f>D81*12</f>
        <v>0</v>
      </c>
      <c r="F81" s="697" t="s">
        <v>3560</v>
      </c>
    </row>
    <row r="82" spans="1:9" ht="3" customHeight="1">
      <c r="D82" s="803"/>
      <c r="E82" s="697"/>
      <c r="G82" s="697"/>
    </row>
    <row r="83" spans="1:9" ht="12" customHeight="1">
      <c r="A83" s="760" t="s">
        <v>3176</v>
      </c>
      <c r="D83" s="1872" t="s">
        <v>969</v>
      </c>
      <c r="E83" s="697" t="s">
        <v>3177</v>
      </c>
      <c r="G83" s="697"/>
    </row>
    <row r="84" spans="1:9" ht="3" customHeight="1">
      <c r="G84" s="697"/>
      <c r="H84" s="697"/>
      <c r="I84" s="697"/>
    </row>
    <row r="85" spans="1:9" ht="12" customHeight="1">
      <c r="A85" s="760" t="s">
        <v>3178</v>
      </c>
      <c r="C85" s="1280" t="str">
        <f>'Part VII-Pro Forma'!K71</f>
        <v/>
      </c>
      <c r="D85" s="824" t="s">
        <v>3511</v>
      </c>
      <c r="I85" s="697"/>
    </row>
    <row r="86" spans="1:9" ht="3" customHeight="1">
      <c r="C86" s="697" t="s">
        <v>1770</v>
      </c>
      <c r="D86" s="697"/>
      <c r="E86" s="697"/>
      <c r="I86" s="697"/>
    </row>
    <row r="87" spans="1:9" ht="12" customHeight="1">
      <c r="A87" s="760" t="s">
        <v>3179</v>
      </c>
      <c r="B87" s="825"/>
      <c r="C87" s="1281" t="s">
        <v>1770</v>
      </c>
      <c r="D87" s="1286"/>
      <c r="I87" s="697"/>
    </row>
    <row r="88" spans="1:9" ht="3" customHeight="1">
      <c r="G88" s="697"/>
      <c r="H88" s="697"/>
      <c r="I88" s="697"/>
    </row>
    <row r="89" spans="1:9" ht="12" customHeight="1">
      <c r="A89" s="760" t="s">
        <v>3180</v>
      </c>
      <c r="C89" s="815" t="s">
        <v>3181</v>
      </c>
      <c r="D89" s="803" t="s">
        <v>3110</v>
      </c>
      <c r="I89" s="697"/>
    </row>
    <row r="90" spans="1:9" ht="12" customHeight="1">
      <c r="C90" s="815" t="s">
        <v>3182</v>
      </c>
      <c r="D90" s="803" t="s">
        <v>969</v>
      </c>
      <c r="I90" s="697"/>
    </row>
    <row r="91" spans="1:9" ht="3" customHeight="1">
      <c r="G91" s="697"/>
      <c r="H91" s="697"/>
      <c r="I91" s="697"/>
    </row>
    <row r="92" spans="1:9" ht="12" customHeight="1">
      <c r="A92" s="760" t="s">
        <v>3183</v>
      </c>
      <c r="C92" s="815" t="s">
        <v>3172</v>
      </c>
      <c r="D92" s="697" t="s">
        <v>3184</v>
      </c>
      <c r="E92" s="815" t="str">
        <f>'Part III-Sources of Funds'!H20</f>
        <v>Regions Bank</v>
      </c>
      <c r="I92" s="697"/>
    </row>
    <row r="93" spans="1:9" ht="12" customHeight="1">
      <c r="C93" s="829"/>
      <c r="D93" s="697"/>
      <c r="E93" s="815" t="s">
        <v>1796</v>
      </c>
      <c r="F93" s="4119"/>
      <c r="G93" s="4119"/>
      <c r="H93" s="4119"/>
      <c r="I93" s="697"/>
    </row>
    <row r="94" spans="1:9" ht="12" customHeight="1">
      <c r="C94" s="815"/>
      <c r="D94" s="697"/>
      <c r="E94" s="815" t="s">
        <v>1981</v>
      </c>
      <c r="F94" s="4120"/>
      <c r="G94" s="4120"/>
      <c r="H94" s="4120"/>
      <c r="I94" s="697"/>
    </row>
    <row r="95" spans="1:9" ht="12" customHeight="1">
      <c r="C95" s="815"/>
      <c r="D95" s="697"/>
      <c r="E95" s="815" t="s">
        <v>1799</v>
      </c>
      <c r="F95" s="4121"/>
      <c r="G95" s="4121"/>
      <c r="H95" s="4121"/>
      <c r="I95" s="697"/>
    </row>
    <row r="96" spans="1:9" ht="12" customHeight="1">
      <c r="B96" s="805"/>
      <c r="C96" s="818" t="s">
        <v>3329</v>
      </c>
      <c r="D96" s="697" t="s">
        <v>3184</v>
      </c>
      <c r="E96" s="815">
        <f>'Part III-Sources of Funds'!E38</f>
        <v>0</v>
      </c>
      <c r="I96" s="697"/>
    </row>
    <row r="97" spans="1:10" ht="12" customHeight="1">
      <c r="C97" s="815"/>
      <c r="D97" s="697"/>
      <c r="E97" s="815" t="s">
        <v>1796</v>
      </c>
      <c r="F97" s="4119"/>
      <c r="G97" s="4119"/>
      <c r="H97" s="4119"/>
      <c r="I97" s="697"/>
    </row>
    <row r="98" spans="1:10" ht="12" customHeight="1">
      <c r="C98" s="815"/>
      <c r="D98" s="697"/>
      <c r="E98" s="815" t="s">
        <v>1981</v>
      </c>
      <c r="F98" s="4120"/>
      <c r="G98" s="4120"/>
      <c r="H98" s="4120"/>
      <c r="I98" s="697"/>
    </row>
    <row r="99" spans="1:10" ht="12" customHeight="1">
      <c r="C99" s="815"/>
      <c r="D99" s="697"/>
      <c r="E99" s="815" t="s">
        <v>1799</v>
      </c>
      <c r="F99" s="4121"/>
      <c r="G99" s="4121"/>
      <c r="H99" s="4121"/>
      <c r="I99" s="697"/>
    </row>
    <row r="100" spans="1:10" ht="3" customHeight="1">
      <c r="D100" s="826"/>
      <c r="G100" s="697"/>
      <c r="H100" s="697"/>
      <c r="I100" s="697"/>
    </row>
    <row r="101" spans="1:10" ht="12" customHeight="1">
      <c r="A101" s="760" t="s">
        <v>3185</v>
      </c>
      <c r="D101" s="1872">
        <f>'Part IX Scoring Criteria'!O333</f>
        <v>0</v>
      </c>
      <c r="E101" s="697" t="s">
        <v>3165</v>
      </c>
      <c r="G101" s="760">
        <f>'Part IX Scoring Criteria'!O329</f>
        <v>0</v>
      </c>
      <c r="H101" s="760" t="s">
        <v>3512</v>
      </c>
      <c r="I101" s="697"/>
    </row>
    <row r="102" spans="1:10" ht="3" customHeight="1">
      <c r="E102" s="697"/>
      <c r="F102" s="697"/>
      <c r="I102" s="697"/>
    </row>
    <row r="103" spans="1:10" ht="12" customHeight="1">
      <c r="A103" s="697" t="s">
        <v>3330</v>
      </c>
      <c r="D103" s="760" t="s">
        <v>969</v>
      </c>
      <c r="E103" s="697"/>
      <c r="I103" s="697"/>
    </row>
    <row r="104" spans="1:10" ht="6" customHeight="1">
      <c r="G104" s="697"/>
      <c r="H104" s="697"/>
      <c r="I104" s="697"/>
    </row>
    <row r="105" spans="1:10" ht="12" customHeight="1">
      <c r="A105" s="801" t="s">
        <v>3331</v>
      </c>
      <c r="I105" s="697"/>
    </row>
    <row r="106" spans="1:10" ht="12" customHeight="1">
      <c r="A106" s="760" t="s">
        <v>3186</v>
      </c>
      <c r="C106" s="1285" t="s">
        <v>1770</v>
      </c>
      <c r="D106" s="4122"/>
      <c r="E106" s="4122"/>
      <c r="F106" s="4122"/>
      <c r="G106" s="4122"/>
      <c r="H106" s="4122"/>
      <c r="I106" s="4122"/>
      <c r="J106" s="4123"/>
    </row>
    <row r="107" spans="1:10" ht="3" customHeight="1">
      <c r="C107" s="815"/>
      <c r="D107" s="697"/>
      <c r="I107" s="697"/>
    </row>
    <row r="108" spans="1:10" ht="12" customHeight="1">
      <c r="A108" s="760" t="s">
        <v>3187</v>
      </c>
      <c r="C108" s="1872" t="s">
        <v>1770</v>
      </c>
    </row>
    <row r="109" spans="1:10" ht="3" customHeight="1">
      <c r="C109" s="815"/>
      <c r="E109" s="697"/>
      <c r="F109" s="697"/>
      <c r="I109" s="697"/>
    </row>
    <row r="110" spans="1:10" ht="12" customHeight="1">
      <c r="A110" s="760" t="s">
        <v>3188</v>
      </c>
      <c r="C110" s="1872" t="s">
        <v>1770</v>
      </c>
      <c r="I110" s="697"/>
    </row>
    <row r="111" spans="1:10" ht="3" customHeight="1">
      <c r="D111" s="808"/>
      <c r="I111" s="697"/>
    </row>
    <row r="112" spans="1:10" ht="12" customHeight="1">
      <c r="A112" s="760" t="s">
        <v>3189</v>
      </c>
      <c r="D112" s="821">
        <v>24</v>
      </c>
      <c r="E112" s="697" t="s">
        <v>3190</v>
      </c>
      <c r="I112" s="697"/>
    </row>
    <row r="113" spans="1:10" ht="12" customHeight="1">
      <c r="C113" s="803" t="s">
        <v>4260</v>
      </c>
      <c r="I113" s="697"/>
    </row>
    <row r="114" spans="1:10" ht="12" customHeight="1">
      <c r="C114" s="803" t="s">
        <v>4259</v>
      </c>
      <c r="G114" s="697"/>
      <c r="I114" s="697"/>
    </row>
    <row r="115" spans="1:10" ht="3" customHeight="1">
      <c r="G115" s="697"/>
      <c r="H115" s="697"/>
      <c r="I115" s="697"/>
    </row>
    <row r="116" spans="1:10" ht="12" customHeight="1">
      <c r="A116" s="760" t="s">
        <v>3191</v>
      </c>
      <c r="D116" s="827">
        <v>0</v>
      </c>
      <c r="E116" s="828" t="s">
        <v>3192</v>
      </c>
      <c r="I116" s="697"/>
    </row>
    <row r="117" spans="1:10" ht="3" customHeight="1">
      <c r="D117" s="815"/>
      <c r="E117" s="697"/>
      <c r="F117" s="697"/>
      <c r="I117" s="697"/>
    </row>
    <row r="118" spans="1:10" ht="12" customHeight="1">
      <c r="A118" s="760" t="s">
        <v>3193</v>
      </c>
      <c r="C118" s="1281" t="s">
        <v>1770</v>
      </c>
      <c r="D118" s="829"/>
      <c r="I118" s="697"/>
    </row>
    <row r="119" spans="1:10" ht="12" customHeight="1">
      <c r="C119" s="697" t="s">
        <v>3194</v>
      </c>
      <c r="D119" s="819"/>
      <c r="E119" s="4126" t="s">
        <v>4261</v>
      </c>
      <c r="F119" s="4126"/>
      <c r="G119" s="4126"/>
      <c r="H119" s="4126"/>
      <c r="I119" s="4126"/>
      <c r="J119" s="4126"/>
    </row>
    <row r="120" spans="1:10" ht="12" customHeight="1">
      <c r="C120" s="697" t="s">
        <v>3195</v>
      </c>
      <c r="D120" s="1287"/>
      <c r="E120" s="4126"/>
      <c r="F120" s="4126"/>
      <c r="G120" s="4126"/>
      <c r="H120" s="4126"/>
      <c r="I120" s="4126"/>
      <c r="J120" s="4126"/>
    </row>
    <row r="121" spans="1:10" ht="12" customHeight="1">
      <c r="C121" s="697" t="s">
        <v>3196</v>
      </c>
      <c r="D121" s="1287"/>
      <c r="E121" s="4126"/>
      <c r="F121" s="4126"/>
      <c r="G121" s="4126"/>
      <c r="H121" s="4126"/>
      <c r="I121" s="4126"/>
      <c r="J121" s="4126"/>
    </row>
    <row r="122" spans="1:10" ht="3" customHeight="1">
      <c r="E122" s="697"/>
      <c r="F122" s="697"/>
      <c r="I122" s="697"/>
    </row>
    <row r="123" spans="1:10" ht="12" customHeight="1">
      <c r="A123" s="760" t="s">
        <v>3197</v>
      </c>
      <c r="D123" s="830" t="s">
        <v>3165</v>
      </c>
      <c r="I123" s="697"/>
    </row>
    <row r="124" spans="1:10" ht="3" customHeight="1">
      <c r="D124" s="697"/>
      <c r="I124" s="697"/>
    </row>
    <row r="125" spans="1:10" ht="12" customHeight="1">
      <c r="A125" s="760" t="s">
        <v>3198</v>
      </c>
      <c r="D125" s="697" t="s">
        <v>3165</v>
      </c>
      <c r="I125" s="697"/>
    </row>
    <row r="126" spans="1:10" ht="3" customHeight="1">
      <c r="G126" s="697"/>
      <c r="H126" s="697"/>
      <c r="I126" s="697"/>
    </row>
    <row r="127" spans="1:10" ht="12" customHeight="1">
      <c r="A127" s="760" t="s">
        <v>3199</v>
      </c>
      <c r="D127" s="697" t="s">
        <v>3200</v>
      </c>
      <c r="G127" s="697"/>
      <c r="I127" s="697"/>
    </row>
    <row r="128" spans="1:10" ht="7.5" customHeight="1">
      <c r="G128" s="697"/>
      <c r="H128" s="697"/>
      <c r="I128" s="697"/>
    </row>
    <row r="129" spans="1:10" ht="12" customHeight="1">
      <c r="A129" s="801" t="s">
        <v>3201</v>
      </c>
      <c r="G129" s="697"/>
      <c r="H129" s="697"/>
      <c r="I129" s="697"/>
    </row>
    <row r="130" spans="1:10" ht="12" customHeight="1">
      <c r="A130" s="760" t="s">
        <v>3202</v>
      </c>
      <c r="C130" s="803" t="str">
        <f>Overview!H11</f>
        <v xml:space="preserve">Olympia Construction, Inc. </v>
      </c>
      <c r="D130" s="803">
        <f>Overview!K11</f>
        <v>0</v>
      </c>
      <c r="G130" s="803">
        <f>Overview!M11</f>
        <v>0</v>
      </c>
      <c r="I130" s="697"/>
    </row>
    <row r="131" spans="1:10" ht="12" customHeight="1">
      <c r="G131" s="697"/>
      <c r="I131" s="697"/>
    </row>
    <row r="132" spans="1:10" ht="3" customHeight="1">
      <c r="C132" s="697"/>
      <c r="G132" s="697"/>
      <c r="I132" s="697"/>
    </row>
    <row r="133" spans="1:10" ht="12" customHeight="1">
      <c r="A133" s="760" t="s">
        <v>3203</v>
      </c>
      <c r="C133" s="831">
        <f>('Part IV-A-Uses of Funds'!G118-'Part III-Sources of Funds'!I43)/2</f>
        <v>183701.5</v>
      </c>
      <c r="G133" s="697"/>
      <c r="I133" s="697"/>
    </row>
    <row r="134" spans="1:10" ht="3" customHeight="1">
      <c r="C134" s="697"/>
      <c r="G134" s="697"/>
      <c r="I134" s="697"/>
    </row>
    <row r="135" spans="1:10" ht="12" customHeight="1">
      <c r="A135" s="760" t="s">
        <v>3204</v>
      </c>
      <c r="C135" s="1872" t="s">
        <v>3205</v>
      </c>
      <c r="G135" s="697"/>
      <c r="I135" s="697"/>
    </row>
    <row r="136" spans="1:10" ht="3" customHeight="1">
      <c r="C136" s="803"/>
      <c r="G136" s="697"/>
      <c r="I136" s="697"/>
    </row>
    <row r="137" spans="1:10" ht="12" customHeight="1">
      <c r="A137" s="760" t="s">
        <v>3206</v>
      </c>
      <c r="C137" s="803" t="str">
        <f>'Preview term'!E19</f>
        <v>Olympia Management, Inc.</v>
      </c>
      <c r="G137" s="697"/>
      <c r="I137" s="697"/>
      <c r="J137" s="832"/>
    </row>
    <row r="138" spans="1:10" ht="3" customHeight="1">
      <c r="C138" s="803"/>
      <c r="G138" s="697"/>
      <c r="I138" s="697"/>
    </row>
    <row r="139" spans="1:10" ht="12" customHeight="1">
      <c r="A139" s="760" t="s">
        <v>3207</v>
      </c>
      <c r="C139" s="804" t="str">
        <f>C8</f>
        <v>Woodstone Apartments II, LP</v>
      </c>
      <c r="G139" s="697"/>
      <c r="I139" s="802"/>
      <c r="J139" s="833"/>
    </row>
    <row r="140" spans="1:10" ht="3" customHeight="1">
      <c r="C140" s="804"/>
      <c r="G140" s="697"/>
      <c r="I140" s="802"/>
      <c r="J140" s="833"/>
    </row>
    <row r="141" spans="1:10" ht="12" customHeight="1">
      <c r="A141" s="760" t="s">
        <v>3208</v>
      </c>
      <c r="C141" s="804" t="str">
        <f>C18</f>
        <v>404 E McKinney Ave</v>
      </c>
      <c r="G141" s="697"/>
      <c r="I141" s="802"/>
      <c r="J141" s="833"/>
    </row>
    <row r="142" spans="1:10">
      <c r="C142" s="804" t="str">
        <f>C19</f>
        <v>Albertville, AL 35950</v>
      </c>
      <c r="G142" s="697"/>
      <c r="I142" s="802"/>
      <c r="J142" s="833"/>
    </row>
    <row r="143" spans="1:10" ht="3" customHeight="1">
      <c r="C143" s="834"/>
      <c r="G143" s="697"/>
      <c r="I143" s="802"/>
      <c r="J143" s="833"/>
    </row>
    <row r="144" spans="1:10" ht="12" customHeight="1">
      <c r="A144" s="760" t="s">
        <v>3209</v>
      </c>
      <c r="C144" s="804" t="str">
        <f>Overview!H10</f>
        <v>Regions Bank</v>
      </c>
      <c r="G144" s="697"/>
      <c r="I144" s="802"/>
      <c r="J144" s="832"/>
    </row>
    <row r="145" spans="1:10" ht="3" customHeight="1">
      <c r="C145" s="804"/>
      <c r="G145" s="697"/>
      <c r="I145" s="802"/>
      <c r="J145" s="833"/>
    </row>
    <row r="146" spans="1:10" ht="12" customHeight="1">
      <c r="A146" s="760" t="s">
        <v>3210</v>
      </c>
      <c r="C146" s="804" t="str">
        <f>Overview!K10</f>
        <v>Sugar Creek Capital</v>
      </c>
      <c r="G146" s="697"/>
      <c r="I146" s="802"/>
      <c r="J146" s="832"/>
    </row>
    <row r="147" spans="1:10" ht="3" customHeight="1">
      <c r="C147" s="834"/>
      <c r="G147" s="697"/>
      <c r="I147" s="802"/>
      <c r="J147" s="833"/>
    </row>
    <row r="148" spans="1:10" ht="12" customHeight="1">
      <c r="A148" s="760" t="s">
        <v>3211</v>
      </c>
      <c r="C148" s="835" t="s">
        <v>3165</v>
      </c>
      <c r="G148" s="697"/>
      <c r="I148" s="697"/>
    </row>
    <row r="149" spans="1:10" ht="3" customHeight="1">
      <c r="C149" s="835"/>
      <c r="G149" s="697"/>
      <c r="I149" s="697"/>
    </row>
    <row r="150" spans="1:10" ht="12" customHeight="1">
      <c r="A150" s="760" t="s">
        <v>3212</v>
      </c>
      <c r="C150" s="835" t="s">
        <v>3165</v>
      </c>
      <c r="G150" s="697"/>
      <c r="I150" s="697"/>
    </row>
    <row r="151" spans="1:10" ht="7.5" customHeight="1">
      <c r="G151" s="697"/>
      <c r="H151" s="697"/>
      <c r="I151" s="697"/>
    </row>
    <row r="152" spans="1:10" ht="12" customHeight="1">
      <c r="A152" s="801" t="s">
        <v>3213</v>
      </c>
      <c r="G152" s="697"/>
      <c r="H152" s="697"/>
      <c r="I152" s="697"/>
    </row>
    <row r="153" spans="1:10" ht="3" customHeight="1">
      <c r="D153" s="697"/>
      <c r="E153" s="697"/>
      <c r="G153" s="697"/>
    </row>
    <row r="154" spans="1:10" ht="12" customHeight="1">
      <c r="A154" s="760" t="s">
        <v>3214</v>
      </c>
      <c r="C154" s="697" t="s">
        <v>3514</v>
      </c>
      <c r="D154" s="697"/>
      <c r="G154" s="697"/>
      <c r="H154" s="697"/>
      <c r="I154" s="697"/>
    </row>
    <row r="155" spans="1:10" ht="3" customHeight="1">
      <c r="D155" s="697"/>
      <c r="E155" s="697"/>
      <c r="G155" s="697"/>
    </row>
    <row r="156" spans="1:10" ht="12" customHeight="1">
      <c r="A156" s="760" t="s">
        <v>3215</v>
      </c>
      <c r="D156" s="1872">
        <v>20</v>
      </c>
      <c r="E156" s="697" t="s">
        <v>2408</v>
      </c>
    </row>
    <row r="157" spans="1:10" ht="3" customHeight="1">
      <c r="D157" s="697"/>
      <c r="E157" s="697"/>
      <c r="G157" s="697"/>
    </row>
    <row r="158" spans="1:10" ht="12" customHeight="1">
      <c r="A158" s="760" t="s">
        <v>3216</v>
      </c>
      <c r="C158" s="1281" t="s">
        <v>1770</v>
      </c>
      <c r="D158" s="697" t="s">
        <v>3561</v>
      </c>
      <c r="G158" s="697"/>
    </row>
    <row r="159" spans="1:10" ht="3" customHeight="1">
      <c r="G159" s="697"/>
      <c r="H159" s="697"/>
      <c r="I159" s="697"/>
    </row>
    <row r="160" spans="1:10" ht="12" customHeight="1">
      <c r="A160" s="760" t="s">
        <v>3217</v>
      </c>
      <c r="G160" s="697"/>
      <c r="H160" s="697"/>
      <c r="I160" s="697"/>
    </row>
    <row r="161" spans="1:13" ht="7.5" customHeight="1">
      <c r="G161" s="697"/>
      <c r="H161" s="697"/>
      <c r="I161" s="697"/>
    </row>
    <row r="162" spans="1:13" ht="12" customHeight="1">
      <c r="A162" s="801" t="s">
        <v>3218</v>
      </c>
      <c r="G162" s="697"/>
      <c r="H162" s="697"/>
      <c r="I162" s="697"/>
    </row>
    <row r="163" spans="1:13" ht="12" customHeight="1">
      <c r="A163" s="760" t="s">
        <v>3321</v>
      </c>
      <c r="C163" s="760" t="s">
        <v>3322</v>
      </c>
      <c r="E163" s="823">
        <f>'Preview term'!F77</f>
        <v>0</v>
      </c>
      <c r="G163" s="697"/>
      <c r="I163" s="697"/>
    </row>
    <row r="164" spans="1:13" ht="12" customHeight="1">
      <c r="C164" s="760" t="s">
        <v>3515</v>
      </c>
      <c r="E164" s="4124"/>
      <c r="F164" s="4124"/>
      <c r="G164" s="4124"/>
      <c r="I164" s="697"/>
    </row>
    <row r="165" spans="1:13" ht="3" customHeight="1">
      <c r="E165" s="697"/>
      <c r="G165" s="697"/>
      <c r="I165" s="697"/>
    </row>
    <row r="166" spans="1:13" ht="12" customHeight="1">
      <c r="A166" s="760" t="s">
        <v>3219</v>
      </c>
      <c r="C166" s="760" t="s">
        <v>3220</v>
      </c>
      <c r="E166" s="836">
        <f>'Preview term'!F71</f>
        <v>86567</v>
      </c>
      <c r="G166" s="697"/>
      <c r="I166" s="697"/>
    </row>
    <row r="167" spans="1:13" ht="12" customHeight="1">
      <c r="C167" s="760" t="s">
        <v>3515</v>
      </c>
      <c r="E167" s="4124"/>
      <c r="F167" s="4124"/>
      <c r="G167" s="4124"/>
      <c r="I167" s="697"/>
    </row>
    <row r="168" spans="1:13" ht="12" customHeight="1">
      <c r="C168" s="760" t="s">
        <v>3221</v>
      </c>
      <c r="E168" s="803" t="s">
        <v>2822</v>
      </c>
      <c r="G168" s="697"/>
      <c r="I168" s="697"/>
    </row>
    <row r="169" spans="1:13" ht="3" customHeight="1">
      <c r="E169" s="803"/>
      <c r="G169" s="697"/>
      <c r="I169" s="697"/>
    </row>
    <row r="170" spans="1:13" ht="12" customHeight="1">
      <c r="A170" s="760" t="s">
        <v>3323</v>
      </c>
      <c r="C170" s="760" t="s">
        <v>3324</v>
      </c>
      <c r="E170" s="836">
        <f>'Preview term'!F73</f>
        <v>7500</v>
      </c>
      <c r="G170" s="697"/>
      <c r="I170" s="697"/>
    </row>
    <row r="171" spans="1:13" ht="12" customHeight="1">
      <c r="C171" s="760" t="s">
        <v>3222</v>
      </c>
      <c r="E171" s="836">
        <f>'Preview term'!F73</f>
        <v>7500</v>
      </c>
      <c r="G171" s="697"/>
      <c r="I171" s="802"/>
      <c r="J171" s="833"/>
      <c r="K171" s="833"/>
      <c r="L171" s="833"/>
      <c r="M171" s="833"/>
    </row>
    <row r="172" spans="1:13" ht="12" customHeight="1">
      <c r="C172" s="760" t="s">
        <v>3223</v>
      </c>
      <c r="E172" s="831">
        <f>'Part VI-Revenues &amp; Expenses'!P230</f>
        <v>14000</v>
      </c>
      <c r="F172" s="802" t="s">
        <v>3224</v>
      </c>
      <c r="J172" s="833"/>
      <c r="K172" s="833"/>
      <c r="L172" s="833"/>
      <c r="M172" s="833"/>
    </row>
    <row r="173" spans="1:13">
      <c r="E173" s="836">
        <f>E172/12</f>
        <v>1166.6666666666667</v>
      </c>
      <c r="F173" s="697" t="s">
        <v>3076</v>
      </c>
    </row>
    <row r="174" spans="1:13" ht="12" customHeight="1">
      <c r="C174" s="760" t="s">
        <v>3516</v>
      </c>
      <c r="E174" s="4124"/>
      <c r="F174" s="4124"/>
      <c r="G174" s="4124"/>
      <c r="I174" s="697"/>
    </row>
    <row r="175" spans="1:13" ht="12" customHeight="1">
      <c r="C175" s="760" t="s">
        <v>3225</v>
      </c>
      <c r="E175" s="697" t="s">
        <v>2988</v>
      </c>
      <c r="I175" s="697"/>
    </row>
    <row r="176" spans="1:13" ht="12" customHeight="1">
      <c r="C176" s="760" t="s">
        <v>3226</v>
      </c>
      <c r="E176" s="697" t="s">
        <v>2822</v>
      </c>
      <c r="I176" s="697"/>
    </row>
    <row r="177" spans="1:10" ht="3" customHeight="1">
      <c r="E177" s="697"/>
      <c r="F177" s="697"/>
      <c r="I177" s="697"/>
    </row>
    <row r="178" spans="1:10" ht="12" customHeight="1">
      <c r="A178" s="760" t="s">
        <v>3319</v>
      </c>
      <c r="C178" s="760" t="s">
        <v>3320</v>
      </c>
      <c r="E178" s="823" t="s">
        <v>1770</v>
      </c>
      <c r="F178" s="837"/>
      <c r="I178" s="697"/>
    </row>
    <row r="179" spans="1:10" ht="12" customHeight="1">
      <c r="C179" s="760" t="s">
        <v>3227</v>
      </c>
      <c r="E179" s="823" t="s">
        <v>1770</v>
      </c>
      <c r="F179" s="4124"/>
      <c r="G179" s="4124"/>
      <c r="H179" s="4124"/>
      <c r="I179" s="4124"/>
      <c r="J179" s="4124"/>
    </row>
    <row r="180" spans="1:10" ht="12" customHeight="1">
      <c r="C180" s="760" t="s">
        <v>3517</v>
      </c>
      <c r="E180" s="697" t="s">
        <v>3165</v>
      </c>
      <c r="I180" s="697"/>
    </row>
    <row r="181" spans="1:10" ht="12" customHeight="1">
      <c r="C181" s="760" t="s">
        <v>3228</v>
      </c>
      <c r="E181" s="697" t="s">
        <v>2822</v>
      </c>
      <c r="I181" s="697"/>
    </row>
    <row r="182" spans="1:10" ht="3" customHeight="1">
      <c r="G182" s="697"/>
      <c r="H182" s="697"/>
      <c r="I182" s="697"/>
    </row>
    <row r="183" spans="1:10" ht="12" customHeight="1">
      <c r="A183" s="760" t="s">
        <v>3325</v>
      </c>
      <c r="C183" s="760" t="s">
        <v>3326</v>
      </c>
      <c r="E183" s="836">
        <f>'Preview term'!F75</f>
        <v>43283</v>
      </c>
      <c r="G183" s="697"/>
      <c r="I183" s="697"/>
    </row>
    <row r="184" spans="1:10" ht="12" customHeight="1">
      <c r="C184" s="760" t="s">
        <v>3515</v>
      </c>
      <c r="E184" s="803">
        <f>E167</f>
        <v>0</v>
      </c>
      <c r="G184" s="697"/>
      <c r="I184" s="697"/>
    </row>
    <row r="185" spans="1:10" ht="12" customHeight="1">
      <c r="C185" s="760" t="s">
        <v>3229</v>
      </c>
      <c r="E185" s="803" t="s">
        <v>3165</v>
      </c>
      <c r="G185" s="697"/>
      <c r="I185" s="697"/>
    </row>
    <row r="186" spans="1:10" ht="3" customHeight="1">
      <c r="E186" s="803"/>
      <c r="G186" s="697"/>
      <c r="I186" s="697"/>
    </row>
    <row r="187" spans="1:10" ht="12" customHeight="1">
      <c r="A187" s="760" t="s">
        <v>3327</v>
      </c>
      <c r="C187" s="760" t="s">
        <v>3328</v>
      </c>
      <c r="E187" s="803" t="s">
        <v>3165</v>
      </c>
      <c r="G187" s="697"/>
      <c r="I187" s="697"/>
    </row>
    <row r="188" spans="1:10" ht="12" customHeight="1">
      <c r="C188" s="760" t="s">
        <v>3220</v>
      </c>
      <c r="E188" s="815"/>
      <c r="G188" s="697"/>
      <c r="H188" s="822"/>
      <c r="I188" s="697"/>
    </row>
    <row r="189" spans="1:10" ht="12" customHeight="1">
      <c r="C189" s="760" t="s">
        <v>3515</v>
      </c>
      <c r="E189" s="815"/>
      <c r="I189" s="803"/>
    </row>
    <row r="190" spans="1:10" ht="12" customHeight="1">
      <c r="C190" s="760" t="s">
        <v>3221</v>
      </c>
      <c r="E190" s="815"/>
      <c r="G190" s="697"/>
      <c r="H190" s="697"/>
      <c r="I190" s="697"/>
    </row>
    <row r="191" spans="1:10" ht="9" customHeight="1">
      <c r="G191" s="697"/>
      <c r="H191" s="697"/>
      <c r="I191" s="697"/>
    </row>
    <row r="192" spans="1:10" ht="12" customHeight="1">
      <c r="A192" s="801" t="s">
        <v>3230</v>
      </c>
      <c r="C192" s="697" t="s">
        <v>3231</v>
      </c>
      <c r="E192" s="697"/>
      <c r="I192" s="697"/>
    </row>
    <row r="193" spans="1:10" ht="9" customHeight="1">
      <c r="E193" s="697"/>
      <c r="F193" s="697"/>
      <c r="I193" s="697"/>
    </row>
    <row r="194" spans="1:10" ht="12" customHeight="1">
      <c r="A194" s="801" t="s">
        <v>3232</v>
      </c>
      <c r="E194" s="697"/>
      <c r="F194" s="697"/>
      <c r="I194" s="697"/>
    </row>
    <row r="195" spans="1:10" ht="12" customHeight="1">
      <c r="A195" s="760" t="s">
        <v>3233</v>
      </c>
      <c r="C195" s="1277" t="s">
        <v>1770</v>
      </c>
      <c r="E195" s="697"/>
      <c r="F195" s="697"/>
      <c r="I195" s="697"/>
    </row>
    <row r="196" spans="1:10" ht="3" customHeight="1">
      <c r="G196" s="697"/>
      <c r="H196" s="697"/>
      <c r="I196" s="697"/>
    </row>
    <row r="197" spans="1:10">
      <c r="A197" s="809" t="s">
        <v>3519</v>
      </c>
      <c r="B197" s="809"/>
      <c r="C197" s="809"/>
      <c r="D197" s="809"/>
      <c r="E197" s="814" t="s">
        <v>3518</v>
      </c>
      <c r="F197" s="4125">
        <f>'Part VIII-Threshold Criteria'!E400</f>
        <v>0</v>
      </c>
      <c r="G197" s="4125"/>
      <c r="H197" s="4125"/>
      <c r="I197" s="4125"/>
      <c r="J197" s="4125"/>
    </row>
    <row r="198" spans="1:10" ht="9" customHeight="1">
      <c r="G198" s="697"/>
      <c r="H198" s="697"/>
      <c r="I198" s="697"/>
    </row>
    <row r="199" spans="1:10" ht="12" customHeight="1">
      <c r="A199" s="838" t="s">
        <v>3318</v>
      </c>
      <c r="G199" s="697"/>
      <c r="H199" s="697"/>
      <c r="I199" s="822"/>
    </row>
    <row r="200" spans="1:10" ht="25.5" hidden="1" customHeight="1">
      <c r="A200" s="4127" t="str">
        <f>'Subsidy Layering Memo'!A98</f>
        <v>Include any reserve requirements; explain any reserves far in excess of 6 month ODR, 3 mo lease up, 1 year RR, 6 mo T&amp;I standards.</v>
      </c>
      <c r="B200" s="4127"/>
      <c r="C200" s="4127"/>
      <c r="D200" s="4127"/>
      <c r="E200" s="4127"/>
      <c r="F200" s="4127"/>
      <c r="G200" s="4127"/>
      <c r="H200" s="4127"/>
      <c r="I200" s="4127"/>
      <c r="J200" s="4127"/>
    </row>
    <row r="201" spans="1:10">
      <c r="A201" s="697"/>
      <c r="G201" s="697"/>
      <c r="H201" s="697"/>
      <c r="I201" s="697"/>
    </row>
    <row r="202" spans="1:10">
      <c r="A202" s="801" t="s">
        <v>3234</v>
      </c>
      <c r="G202" s="697"/>
      <c r="H202" s="697"/>
      <c r="I202" s="697"/>
    </row>
    <row r="203" spans="1:10" ht="3" customHeight="1">
      <c r="G203" s="697"/>
      <c r="H203" s="697"/>
      <c r="I203" s="697"/>
    </row>
    <row r="204" spans="1:10" ht="76.5" customHeight="1">
      <c r="A204" s="4117" t="s">
        <v>2941</v>
      </c>
      <c r="B204" s="4117"/>
      <c r="C204" s="4117"/>
      <c r="D204" s="4117"/>
      <c r="E204" s="4117"/>
      <c r="F204" s="4117"/>
      <c r="G204" s="4117"/>
      <c r="H204" s="4117"/>
      <c r="I204" s="4117"/>
      <c r="J204" s="4117"/>
    </row>
    <row r="205" spans="1:10">
      <c r="A205" s="697" t="s">
        <v>2942</v>
      </c>
      <c r="G205" s="697"/>
      <c r="H205" s="697"/>
      <c r="I205" s="697"/>
    </row>
    <row r="206" spans="1:10" ht="38.25" customHeight="1">
      <c r="A206" s="4117" t="str">
        <f>'Subsidy Layering Memo'!A37&amp;".  "&amp;'Subsidy Layering Memo'!A38</f>
        <v xml:space="preserve">.  </v>
      </c>
      <c r="B206" s="4118"/>
      <c r="C206" s="4118"/>
      <c r="D206" s="4118"/>
      <c r="E206" s="4118"/>
      <c r="F206" s="4118"/>
      <c r="G206" s="4118"/>
      <c r="H206" s="4118"/>
      <c r="I206" s="4118"/>
      <c r="J206" s="4118"/>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33203125" defaultRowHeight="13.2"/>
  <cols>
    <col min="1" max="1" width="3.44140625" style="760" customWidth="1"/>
    <col min="2" max="2" width="4.33203125" style="760" customWidth="1"/>
    <col min="3" max="3" width="18.5546875" style="760" customWidth="1"/>
    <col min="4" max="4" width="2.6640625" style="760" customWidth="1"/>
    <col min="5" max="5" width="6.5546875" style="760" customWidth="1"/>
    <col min="6" max="6" width="39.33203125" style="760" customWidth="1"/>
    <col min="7" max="8" width="8.44140625" style="760" customWidth="1"/>
    <col min="9" max="9" width="9.33203125" style="760"/>
    <col min="10" max="10" width="14.33203125" style="760" customWidth="1"/>
    <col min="11" max="16384" width="9.33203125" style="760"/>
  </cols>
  <sheetData>
    <row r="1" spans="1:11">
      <c r="A1" s="697" t="s">
        <v>3235</v>
      </c>
      <c r="H1" s="805" t="str">
        <f>Overview!C8</f>
        <v>Woodstone Apartments II</v>
      </c>
    </row>
    <row r="2" spans="1:11">
      <c r="A2" s="697" t="s">
        <v>3236</v>
      </c>
      <c r="H2" s="760" t="str">
        <f>Overview!E8</f>
        <v>2019-049</v>
      </c>
    </row>
    <row r="3" spans="1:11" ht="3" customHeight="1"/>
    <row r="4" spans="1:11" ht="51.75" customHeight="1">
      <c r="A4" s="4118" t="s">
        <v>3335</v>
      </c>
      <c r="B4" s="4118"/>
      <c r="C4" s="4118"/>
      <c r="D4" s="4118"/>
      <c r="E4" s="4118"/>
      <c r="F4" s="4118"/>
      <c r="G4" s="4118"/>
      <c r="H4" s="4118"/>
      <c r="J4" s="1300">
        <f>SUM('Part VII-Pro Forma'!B14:B16)/12</f>
        <v>17274.005999999998</v>
      </c>
      <c r="K4" s="1299" t="s">
        <v>4468</v>
      </c>
    </row>
    <row r="5" spans="1:11" ht="1.5" customHeight="1">
      <c r="C5" s="839"/>
      <c r="D5" s="839"/>
      <c r="E5" s="839"/>
      <c r="F5" s="839"/>
      <c r="G5" s="839"/>
      <c r="H5" s="839"/>
    </row>
    <row r="6" spans="1:11" ht="12.75" customHeight="1">
      <c r="B6" s="840" t="s">
        <v>2434</v>
      </c>
      <c r="C6" s="4118" t="s">
        <v>3237</v>
      </c>
      <c r="D6" s="4118"/>
      <c r="E6" s="4118"/>
      <c r="F6" s="4118"/>
      <c r="G6" s="4118"/>
      <c r="H6" s="4118"/>
    </row>
    <row r="7" spans="1:11" ht="12.75" customHeight="1">
      <c r="B7" s="840" t="s">
        <v>2435</v>
      </c>
      <c r="C7" s="4118" t="s">
        <v>3238</v>
      </c>
      <c r="D7" s="4118"/>
      <c r="E7" s="4118"/>
      <c r="F7" s="4118"/>
      <c r="G7" s="4118"/>
      <c r="H7" s="4118"/>
    </row>
    <row r="8" spans="1:11" ht="3" customHeight="1"/>
    <row r="9" spans="1:11">
      <c r="A9" s="760" t="s">
        <v>3239</v>
      </c>
    </row>
    <row r="10" spans="1:11" ht="1.5" customHeight="1"/>
    <row r="11" spans="1:11" ht="26.25" customHeight="1">
      <c r="A11" s="841" t="s">
        <v>1982</v>
      </c>
      <c r="B11" s="4137" t="s">
        <v>3332</v>
      </c>
      <c r="C11" s="4137"/>
      <c r="D11" s="4137"/>
      <c r="E11" s="4137"/>
      <c r="F11" s="4137"/>
      <c r="G11" s="4138">
        <f>'Part III-Sources of Funds'!I49+'Part III-Sources of Funds'!I50</f>
        <v>5167899</v>
      </c>
      <c r="H11" s="4138"/>
    </row>
    <row r="12" spans="1:11" ht="1.5" customHeight="1">
      <c r="G12" s="809"/>
      <c r="H12" s="809"/>
    </row>
    <row r="13" spans="1:11" ht="26.25" customHeight="1">
      <c r="A13" s="841" t="s">
        <v>1984</v>
      </c>
      <c r="B13" s="4137" t="s">
        <v>3333</v>
      </c>
      <c r="C13" s="4137"/>
      <c r="D13" s="4137"/>
      <c r="E13" s="4137"/>
      <c r="F13" s="4137"/>
      <c r="G13" s="4139" t="s">
        <v>3165</v>
      </c>
      <c r="H13" s="4139"/>
    </row>
    <row r="14" spans="1:11" ht="12" hidden="1" customHeight="1">
      <c r="A14" s="841"/>
      <c r="B14" s="4132"/>
      <c r="C14" s="4132"/>
      <c r="D14" s="4132"/>
      <c r="E14" s="4132"/>
      <c r="F14" s="4132"/>
      <c r="G14" s="4132"/>
      <c r="H14" s="4132"/>
    </row>
    <row r="15" spans="1:11" ht="1.5" customHeight="1"/>
    <row r="16" spans="1:11" ht="12" customHeight="1">
      <c r="A16" s="841" t="s">
        <v>748</v>
      </c>
      <c r="B16" s="760" t="s">
        <v>3337</v>
      </c>
      <c r="F16" s="833"/>
      <c r="G16" s="4115" t="s">
        <v>2991</v>
      </c>
      <c r="H16" s="4115"/>
    </row>
    <row r="17" spans="1:8" ht="1.5" customHeight="1">
      <c r="G17" s="815"/>
    </row>
    <row r="18" spans="1:8" ht="12" customHeight="1">
      <c r="A18" s="841" t="s">
        <v>2114</v>
      </c>
      <c r="B18" s="809" t="s">
        <v>3334</v>
      </c>
      <c r="C18" s="841"/>
      <c r="D18" s="841"/>
      <c r="E18" s="841"/>
      <c r="G18" s="4132" t="s">
        <v>2822</v>
      </c>
      <c r="H18" s="4132"/>
    </row>
    <row r="19" spans="1:8" ht="12" hidden="1" customHeight="1">
      <c r="B19" s="4132"/>
      <c r="C19" s="4132"/>
      <c r="D19" s="4132"/>
      <c r="E19" s="4132"/>
      <c r="F19" s="4132"/>
      <c r="G19" s="4132"/>
      <c r="H19" s="4132"/>
    </row>
    <row r="20" spans="1:8" ht="13.5" customHeight="1"/>
    <row r="21" spans="1:8" ht="12" customHeight="1">
      <c r="A21" s="697" t="s">
        <v>3240</v>
      </c>
    </row>
    <row r="22" spans="1:8" ht="3" customHeight="1"/>
    <row r="23" spans="1:8" ht="26.25" customHeight="1">
      <c r="A23" s="4135" t="s">
        <v>3336</v>
      </c>
      <c r="B23" s="4135"/>
      <c r="C23" s="4135"/>
      <c r="D23" s="4135"/>
      <c r="E23" s="4135"/>
      <c r="F23" s="4135"/>
      <c r="G23" s="4135"/>
      <c r="H23" s="4135"/>
    </row>
    <row r="24" spans="1:8" ht="26.25" customHeight="1">
      <c r="A24" s="4136" t="s">
        <v>3241</v>
      </c>
      <c r="B24" s="4136"/>
      <c r="C24" s="4136"/>
      <c r="D24" s="4136"/>
      <c r="E24" s="4136"/>
      <c r="F24" s="4136"/>
      <c r="G24" s="4136"/>
      <c r="H24" s="4136"/>
    </row>
    <row r="25" spans="1:8" ht="9" customHeight="1">
      <c r="A25" s="782"/>
    </row>
    <row r="26" spans="1:8">
      <c r="A26" s="815" t="s">
        <v>3338</v>
      </c>
      <c r="B26" s="842"/>
      <c r="C26" s="815" t="s">
        <v>3339</v>
      </c>
      <c r="D26" s="843" t="s">
        <v>3525</v>
      </c>
    </row>
    <row r="27" spans="1:8" ht="6" customHeight="1"/>
    <row r="28" spans="1:8" ht="12.75" customHeight="1">
      <c r="C28" s="809" t="s">
        <v>3242</v>
      </c>
      <c r="D28" s="844" t="s">
        <v>1985</v>
      </c>
      <c r="E28" s="845"/>
      <c r="F28" s="4118" t="s">
        <v>3243</v>
      </c>
      <c r="G28" s="4118"/>
      <c r="H28" s="4118"/>
    </row>
    <row r="29" spans="1:8" ht="12.75" customHeight="1">
      <c r="C29" s="846" t="s">
        <v>1352</v>
      </c>
      <c r="D29" s="844" t="s">
        <v>1987</v>
      </c>
      <c r="E29" s="4118" t="s">
        <v>3343</v>
      </c>
      <c r="F29" s="4118"/>
      <c r="G29" s="4118"/>
      <c r="H29" s="4118"/>
    </row>
    <row r="30" spans="1:8" ht="12.75" customHeight="1">
      <c r="E30" s="4118" t="s">
        <v>3521</v>
      </c>
      <c r="F30" s="4118"/>
      <c r="G30" s="4118"/>
      <c r="H30" s="4118"/>
    </row>
    <row r="31" spans="1:8" ht="12.75" customHeight="1">
      <c r="D31" s="847" t="s">
        <v>3342</v>
      </c>
      <c r="E31" s="4118" t="s">
        <v>3522</v>
      </c>
      <c r="F31" s="4118"/>
      <c r="G31" s="4118"/>
      <c r="H31" s="4118"/>
    </row>
    <row r="32" spans="1:8" ht="3" customHeight="1">
      <c r="D32" s="844"/>
      <c r="E32" s="1871"/>
      <c r="F32" s="1871"/>
      <c r="G32" s="1871"/>
      <c r="H32" s="1871"/>
    </row>
    <row r="33" spans="1:11">
      <c r="A33" s="815" t="s">
        <v>3338</v>
      </c>
      <c r="B33" s="842"/>
      <c r="C33" s="815" t="s">
        <v>3340</v>
      </c>
      <c r="D33" s="843" t="s">
        <v>3526</v>
      </c>
    </row>
    <row r="34" spans="1:11" ht="4.5" customHeight="1"/>
    <row r="35" spans="1:11" ht="12.75" customHeight="1">
      <c r="C35" s="809" t="s">
        <v>3242</v>
      </c>
      <c r="D35" s="844" t="s">
        <v>1985</v>
      </c>
      <c r="E35" s="845"/>
      <c r="F35" s="4118" t="s">
        <v>3243</v>
      </c>
      <c r="G35" s="4118"/>
      <c r="H35" s="4118"/>
    </row>
    <row r="36" spans="1:11" ht="12.75" customHeight="1">
      <c r="C36" s="846" t="s">
        <v>1352</v>
      </c>
      <c r="D36" s="844" t="s">
        <v>1987</v>
      </c>
      <c r="E36" s="4118" t="s">
        <v>3344</v>
      </c>
      <c r="F36" s="4118"/>
      <c r="G36" s="4118"/>
      <c r="H36" s="4118"/>
    </row>
    <row r="37" spans="1:11" ht="12.75" customHeight="1">
      <c r="E37" s="4118" t="s">
        <v>3521</v>
      </c>
      <c r="F37" s="4118"/>
      <c r="G37" s="4118"/>
      <c r="H37" s="4118"/>
    </row>
    <row r="38" spans="1:11" ht="12.75" customHeight="1">
      <c r="D38" s="847" t="s">
        <v>3342</v>
      </c>
      <c r="E38" s="4118" t="s">
        <v>3522</v>
      </c>
      <c r="F38" s="4118"/>
      <c r="G38" s="4118"/>
      <c r="H38" s="4118"/>
    </row>
    <row r="39" spans="1:11" ht="3" customHeight="1">
      <c r="D39" s="844"/>
      <c r="E39" s="1871"/>
      <c r="F39" s="1871"/>
      <c r="G39" s="1871"/>
      <c r="H39" s="1871"/>
    </row>
    <row r="40" spans="1:11">
      <c r="A40" s="815" t="s">
        <v>3338</v>
      </c>
      <c r="B40" s="842"/>
      <c r="C40" s="815" t="s">
        <v>3341</v>
      </c>
      <c r="D40" s="843" t="s">
        <v>3527</v>
      </c>
    </row>
    <row r="41" spans="1:11" ht="4.5" customHeight="1"/>
    <row r="42" spans="1:11" ht="12.75" customHeight="1">
      <c r="C42" s="809" t="s">
        <v>3242</v>
      </c>
      <c r="D42" s="844" t="s">
        <v>1985</v>
      </c>
      <c r="E42" s="845"/>
      <c r="F42" s="4118" t="s">
        <v>3243</v>
      </c>
      <c r="G42" s="4118"/>
      <c r="H42" s="4118"/>
      <c r="K42" s="760" t="s">
        <v>243</v>
      </c>
    </row>
    <row r="43" spans="1:11" ht="12.75" customHeight="1">
      <c r="C43" s="846" t="s">
        <v>1352</v>
      </c>
      <c r="D43" s="844" t="s">
        <v>1987</v>
      </c>
      <c r="E43" s="4118" t="s">
        <v>3344</v>
      </c>
      <c r="F43" s="4118"/>
      <c r="G43" s="4118"/>
      <c r="H43" s="4118"/>
    </row>
    <row r="44" spans="1:11" ht="12.75" customHeight="1">
      <c r="E44" s="4118" t="s">
        <v>3521</v>
      </c>
      <c r="F44" s="4118"/>
      <c r="G44" s="4118"/>
      <c r="H44" s="4118"/>
    </row>
    <row r="45" spans="1:11" ht="12.75" customHeight="1">
      <c r="D45" s="847" t="s">
        <v>3342</v>
      </c>
      <c r="E45" s="4118" t="s">
        <v>3522</v>
      </c>
      <c r="F45" s="4118"/>
      <c r="G45" s="4118"/>
      <c r="H45" s="4118"/>
    </row>
    <row r="46" spans="1:11" ht="9" customHeight="1"/>
    <row r="47" spans="1:11" ht="7.5" customHeight="1">
      <c r="E47" s="4118"/>
      <c r="F47" s="4118"/>
      <c r="G47" s="4118"/>
      <c r="H47" s="4118"/>
    </row>
    <row r="48" spans="1:11" ht="24.75" customHeight="1">
      <c r="A48" s="4134" t="s">
        <v>4236</v>
      </c>
      <c r="B48" s="4134"/>
      <c r="C48" s="4134"/>
      <c r="D48" s="4134"/>
      <c r="E48" s="4134"/>
      <c r="F48" s="4134"/>
      <c r="G48" s="4134"/>
      <c r="H48" s="4134"/>
    </row>
    <row r="49" spans="1:11" ht="9" customHeight="1"/>
    <row r="50" spans="1:11" ht="26.25" customHeight="1">
      <c r="A50" s="4135" t="s">
        <v>3523</v>
      </c>
      <c r="B50" s="4135"/>
      <c r="C50" s="4135"/>
      <c r="D50" s="4135"/>
      <c r="E50" s="4135"/>
      <c r="F50" s="4135"/>
      <c r="G50" s="4135"/>
      <c r="H50" s="4135"/>
    </row>
    <row r="51" spans="1:11" ht="9" customHeight="1">
      <c r="A51" s="782"/>
    </row>
    <row r="52" spans="1:11">
      <c r="A52" s="815" t="s">
        <v>3338</v>
      </c>
      <c r="B52" s="842"/>
      <c r="C52" s="815" t="s">
        <v>3339</v>
      </c>
      <c r="D52" s="843" t="s">
        <v>3524</v>
      </c>
    </row>
    <row r="53" spans="1:11" ht="4.5" customHeight="1"/>
    <row r="54" spans="1:11" ht="12.75" customHeight="1">
      <c r="C54" s="809" t="s">
        <v>3242</v>
      </c>
      <c r="D54" s="844" t="s">
        <v>1985</v>
      </c>
      <c r="E54" s="845"/>
      <c r="F54" s="4118" t="s">
        <v>3243</v>
      </c>
      <c r="G54" s="4118"/>
      <c r="H54" s="4118"/>
    </row>
    <row r="55" spans="1:11" ht="12.75" customHeight="1">
      <c r="C55" s="846" t="s">
        <v>1352</v>
      </c>
      <c r="D55" s="844" t="s">
        <v>1987</v>
      </c>
      <c r="E55" s="4118" t="s">
        <v>3530</v>
      </c>
      <c r="F55" s="4118"/>
      <c r="G55" s="4118"/>
      <c r="H55" s="4118"/>
    </row>
    <row r="56" spans="1:11" ht="3" customHeight="1">
      <c r="D56" s="844"/>
      <c r="E56" s="1871"/>
      <c r="F56" s="1871"/>
      <c r="G56" s="1871"/>
      <c r="H56" s="1871"/>
    </row>
    <row r="57" spans="1:11">
      <c r="A57" s="815" t="s">
        <v>3338</v>
      </c>
      <c r="B57" s="842"/>
      <c r="C57" s="815" t="s">
        <v>3340</v>
      </c>
      <c r="D57" s="843" t="s">
        <v>3528</v>
      </c>
    </row>
    <row r="58" spans="1:11" ht="4.5" customHeight="1"/>
    <row r="59" spans="1:11">
      <c r="C59" s="809" t="s">
        <v>3242</v>
      </c>
      <c r="D59" s="844" t="s">
        <v>1985</v>
      </c>
      <c r="E59" s="845"/>
      <c r="F59" s="4118" t="s">
        <v>3243</v>
      </c>
      <c r="G59" s="4118"/>
      <c r="H59" s="4118"/>
    </row>
    <row r="60" spans="1:11" ht="12.75" customHeight="1">
      <c r="C60" s="846" t="s">
        <v>1352</v>
      </c>
      <c r="D60" s="844" t="s">
        <v>1987</v>
      </c>
      <c r="E60" s="4118" t="s">
        <v>3530</v>
      </c>
      <c r="F60" s="4118"/>
      <c r="G60" s="4118"/>
      <c r="H60" s="4118"/>
    </row>
    <row r="61" spans="1:11" ht="3" customHeight="1">
      <c r="D61" s="844"/>
      <c r="E61" s="1871"/>
      <c r="F61" s="1871"/>
      <c r="G61" s="1871"/>
      <c r="H61" s="1871"/>
    </row>
    <row r="62" spans="1:11">
      <c r="A62" s="815" t="s">
        <v>3338</v>
      </c>
      <c r="B62" s="842"/>
      <c r="C62" s="815" t="s">
        <v>3341</v>
      </c>
      <c r="D62" s="843" t="s">
        <v>3529</v>
      </c>
    </row>
    <row r="63" spans="1:11" ht="4.5" customHeight="1"/>
    <row r="64" spans="1:11">
      <c r="C64" s="809" t="s">
        <v>3242</v>
      </c>
      <c r="D64" s="844" t="s">
        <v>1985</v>
      </c>
      <c r="E64" s="845"/>
      <c r="F64" s="4118" t="s">
        <v>3243</v>
      </c>
      <c r="G64" s="4118"/>
      <c r="H64" s="4118"/>
      <c r="K64" s="760" t="s">
        <v>243</v>
      </c>
    </row>
    <row r="65" spans="3:8" ht="12.75" customHeight="1">
      <c r="C65" s="846" t="s">
        <v>1352</v>
      </c>
      <c r="D65" s="844" t="s">
        <v>1987</v>
      </c>
      <c r="E65" s="4118" t="s">
        <v>3530</v>
      </c>
      <c r="F65" s="4118"/>
      <c r="G65" s="4118"/>
      <c r="H65" s="4118"/>
    </row>
    <row r="66" spans="3:8" ht="7.5" customHeight="1">
      <c r="E66" s="4118"/>
      <c r="F66" s="4118"/>
      <c r="G66" s="4118"/>
      <c r="H66" s="4118"/>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1890" customWidth="1"/>
    <col min="2" max="2" width="12.44140625" style="1890" customWidth="1"/>
    <col min="3" max="3" width="12.33203125" style="1890" customWidth="1"/>
    <col min="4" max="4" width="9.6640625" style="1890" customWidth="1"/>
    <col min="5" max="5" width="10.44140625" style="1890" customWidth="1"/>
    <col min="6" max="6" width="9.33203125" style="1890"/>
    <col min="7" max="7" width="11" style="1890" customWidth="1"/>
    <col min="8" max="8" width="14.44140625" style="1890" customWidth="1"/>
    <col min="9" max="9" width="10.33203125" style="1890" customWidth="1"/>
    <col min="10" max="16384" width="9.33203125" style="1890"/>
  </cols>
  <sheetData>
    <row r="1" spans="2:13" ht="15.6">
      <c r="B1" s="4155" t="s">
        <v>4275</v>
      </c>
      <c r="C1" s="4155"/>
      <c r="D1" s="4155"/>
      <c r="E1" s="4155"/>
      <c r="F1" s="4155"/>
      <c r="G1" s="4155"/>
      <c r="H1" s="4155"/>
      <c r="I1" s="4155"/>
    </row>
    <row r="2" spans="2:13" ht="13.8">
      <c r="B2" s="1891" t="s">
        <v>4263</v>
      </c>
      <c r="C2" s="808"/>
      <c r="D2" s="808"/>
      <c r="E2" s="808"/>
      <c r="F2" s="808"/>
      <c r="G2" s="808"/>
      <c r="H2" s="808"/>
      <c r="I2" s="808"/>
    </row>
    <row r="3" spans="2:13" ht="13.8">
      <c r="B3" s="1892" t="s">
        <v>4270</v>
      </c>
      <c r="C3" s="808"/>
      <c r="D3" s="808"/>
      <c r="E3" s="808"/>
      <c r="F3" s="808"/>
      <c r="G3" s="808"/>
      <c r="H3" s="808"/>
      <c r="I3" s="808"/>
    </row>
    <row r="4" spans="2:13">
      <c r="B4" s="4156" t="s">
        <v>3244</v>
      </c>
      <c r="C4" s="4156"/>
      <c r="D4" s="4156"/>
      <c r="E4" s="4162" t="s">
        <v>3245</v>
      </c>
      <c r="F4" s="4164"/>
      <c r="G4" s="4162" t="s">
        <v>616</v>
      </c>
      <c r="H4" s="4163"/>
      <c r="I4" s="4164"/>
      <c r="J4" s="1885" t="s">
        <v>3089</v>
      </c>
      <c r="K4" s="1885"/>
      <c r="L4" s="1893"/>
      <c r="M4" s="1893"/>
    </row>
    <row r="5" spans="2:13">
      <c r="B5" s="4157" t="str">
        <f>'Closing term sheet'!C8</f>
        <v>Woodstone Apartments II, LP</v>
      </c>
      <c r="C5" s="4158"/>
      <c r="D5" s="4158"/>
      <c r="E5" s="4168"/>
      <c r="F5" s="4169"/>
      <c r="G5" s="4165" t="str">
        <f>'Closing term sheet'!C28</f>
        <v>Woodstone Apartments II</v>
      </c>
      <c r="H5" s="4166"/>
      <c r="I5" s="4167"/>
      <c r="K5" s="760"/>
    </row>
    <row r="6" spans="2:13" ht="4.5" customHeight="1">
      <c r="D6" s="1894"/>
      <c r="E6" s="1894"/>
      <c r="F6" s="1894"/>
      <c r="G6" s="1894"/>
      <c r="H6" s="1894"/>
      <c r="I6" s="1894"/>
      <c r="K6" s="760"/>
    </row>
    <row r="7" spans="2:13">
      <c r="B7" s="4159" t="s">
        <v>3246</v>
      </c>
      <c r="C7" s="4159"/>
      <c r="D7" s="1895"/>
      <c r="E7" s="1895"/>
      <c r="F7" s="1895"/>
      <c r="G7" s="1895"/>
      <c r="H7" s="4160" t="str">
        <f>'Preview term'!E9</f>
        <v>Applied For</v>
      </c>
      <c r="I7" s="4161"/>
    </row>
    <row r="8" spans="2:13" ht="4.5" customHeight="1">
      <c r="B8" s="1895"/>
      <c r="C8" s="1895"/>
      <c r="D8" s="1895"/>
      <c r="E8" s="1895"/>
      <c r="F8" s="1895"/>
      <c r="G8" s="1895"/>
      <c r="H8" s="1895"/>
      <c r="I8" s="1895"/>
      <c r="J8" s="1895"/>
    </row>
    <row r="9" spans="2:13">
      <c r="B9" s="1896" t="s">
        <v>3247</v>
      </c>
      <c r="C9" s="1896"/>
      <c r="D9" s="1895"/>
      <c r="E9" s="817" t="s">
        <v>4265</v>
      </c>
      <c r="F9" s="1895"/>
      <c r="G9" s="1895"/>
      <c r="H9" s="1895"/>
      <c r="I9" s="1897" t="str">
        <f>'Closing term sheet'!D12</f>
        <v>&lt;&lt;Select&gt;&gt;</v>
      </c>
    </row>
    <row r="10" spans="2:13" ht="7.5" customHeight="1">
      <c r="B10" s="1895"/>
      <c r="C10" s="1895"/>
      <c r="D10" s="1895"/>
      <c r="E10" s="1895"/>
      <c r="F10" s="1895"/>
      <c r="G10" s="1895"/>
      <c r="H10" s="1895"/>
      <c r="I10" s="1895"/>
    </row>
    <row r="11" spans="2:13" ht="13.8">
      <c r="B11" s="1898" t="s">
        <v>4262</v>
      </c>
      <c r="C11" s="1895"/>
      <c r="D11" s="1899"/>
      <c r="E11" s="1895"/>
      <c r="F11" s="1895"/>
      <c r="G11" s="1895"/>
      <c r="H11" s="1895"/>
      <c r="I11" s="1895"/>
    </row>
    <row r="12" spans="2:13">
      <c r="B12" s="1900" t="s">
        <v>3248</v>
      </c>
      <c r="C12" s="1901"/>
      <c r="D12" s="1901"/>
      <c r="E12" s="1901"/>
      <c r="F12" s="1901"/>
      <c r="G12" s="1901"/>
      <c r="H12" s="1901"/>
      <c r="I12" s="1902" t="s">
        <v>1770</v>
      </c>
    </row>
    <row r="13" spans="2:13">
      <c r="B13" s="1903"/>
      <c r="C13" s="1904"/>
      <c r="D13" s="1895"/>
      <c r="E13" s="817" t="s">
        <v>3249</v>
      </c>
      <c r="F13" s="1895"/>
      <c r="G13" s="1895"/>
      <c r="H13" s="1895"/>
      <c r="I13" s="1905"/>
    </row>
    <row r="14" spans="2:13" ht="7.5" customHeight="1">
      <c r="B14" s="1906"/>
      <c r="C14" s="1895"/>
      <c r="D14" s="1895"/>
      <c r="E14" s="1895"/>
      <c r="F14" s="1899"/>
      <c r="G14" s="1895"/>
      <c r="H14" s="1895"/>
      <c r="I14" s="1905"/>
    </row>
    <row r="15" spans="2:13">
      <c r="B15" s="1906" t="s">
        <v>3345</v>
      </c>
      <c r="C15" s="1895"/>
      <c r="D15" s="1895"/>
      <c r="E15" s="1895"/>
      <c r="F15" s="837"/>
      <c r="G15" s="1895"/>
      <c r="H15" s="1895"/>
      <c r="I15" s="1907"/>
    </row>
    <row r="16" spans="2:13">
      <c r="B16" s="1908" t="s">
        <v>4266</v>
      </c>
      <c r="C16" s="1895"/>
      <c r="D16" s="1895"/>
      <c r="E16" s="1909" t="s">
        <v>3440</v>
      </c>
      <c r="F16" s="1895"/>
      <c r="G16" s="1895"/>
      <c r="H16" s="1895"/>
      <c r="I16" s="1907"/>
    </row>
    <row r="17" spans="2:9" ht="7.5" customHeight="1">
      <c r="B17" s="1903"/>
      <c r="C17" s="1895"/>
      <c r="D17" s="1895"/>
      <c r="E17" s="1895"/>
      <c r="F17" s="1895"/>
      <c r="G17" s="1895"/>
      <c r="H17" s="1895"/>
      <c r="I17" s="1905"/>
    </row>
    <row r="18" spans="2:9">
      <c r="B18" s="1906" t="s">
        <v>3250</v>
      </c>
      <c r="C18" s="1895"/>
      <c r="D18" s="1895"/>
      <c r="E18" s="1895"/>
      <c r="F18" s="1895"/>
      <c r="G18" s="1895"/>
      <c r="H18" s="1895"/>
      <c r="I18" s="1910" t="s">
        <v>1770</v>
      </c>
    </row>
    <row r="19" spans="2:9">
      <c r="B19" s="1911" t="s">
        <v>4267</v>
      </c>
      <c r="C19" s="1895"/>
      <c r="D19" s="1895"/>
      <c r="E19" s="1895"/>
      <c r="F19" s="1895"/>
      <c r="G19" s="1895"/>
      <c r="H19" s="1895"/>
      <c r="I19" s="1912"/>
    </row>
    <row r="20" spans="2:9" ht="7.5" customHeight="1">
      <c r="B20" s="1906"/>
      <c r="C20" s="1895"/>
      <c r="D20" s="1895"/>
      <c r="E20" s="1895"/>
      <c r="F20" s="1895"/>
      <c r="G20" s="1895"/>
      <c r="H20" s="1895"/>
      <c r="I20" s="1912"/>
    </row>
    <row r="21" spans="2:9">
      <c r="B21" s="1906" t="s">
        <v>4264</v>
      </c>
      <c r="C21" s="1895"/>
      <c r="D21" s="1895"/>
      <c r="E21" s="1895"/>
      <c r="F21" s="1895"/>
      <c r="G21" s="1895"/>
      <c r="H21" s="1895"/>
      <c r="I21" s="1907"/>
    </row>
    <row r="22" spans="2:9">
      <c r="B22" s="1911" t="s">
        <v>4268</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4269</v>
      </c>
      <c r="C25" s="1895"/>
      <c r="D25" s="1895"/>
      <c r="E25" s="1895"/>
      <c r="F25" s="1895"/>
      <c r="G25" s="1895"/>
      <c r="H25" s="1895"/>
      <c r="I25" s="1895"/>
    </row>
    <row r="26" spans="2:9" ht="3" customHeight="1">
      <c r="B26" s="1916"/>
      <c r="C26" s="1901"/>
      <c r="D26" s="1901"/>
      <c r="E26" s="1901"/>
      <c r="F26" s="1901"/>
      <c r="G26" s="1901"/>
      <c r="H26" s="1901"/>
      <c r="I26" s="1917"/>
    </row>
    <row r="27" spans="2:9">
      <c r="B27" s="1906" t="s">
        <v>3251</v>
      </c>
      <c r="C27" s="1895"/>
      <c r="D27" s="1918">
        <v>2</v>
      </c>
      <c r="F27" s="1895"/>
      <c r="G27" s="837" t="s">
        <v>3252</v>
      </c>
      <c r="H27" s="1895"/>
      <c r="I27" s="1919">
        <v>2</v>
      </c>
    </row>
    <row r="28" spans="2:9">
      <c r="B28" s="1903"/>
      <c r="C28" s="1909" t="s">
        <v>3253</v>
      </c>
      <c r="D28" s="1920"/>
      <c r="E28" s="1920"/>
      <c r="F28" s="1920"/>
      <c r="H28" s="1920" t="s">
        <v>3254</v>
      </c>
      <c r="I28" s="1905"/>
    </row>
    <row r="29" spans="2:9">
      <c r="B29" s="1903"/>
      <c r="C29" s="1909" t="s">
        <v>3255</v>
      </c>
      <c r="D29" s="1920"/>
      <c r="E29" s="1920"/>
      <c r="F29" s="1920"/>
      <c r="H29" s="1920" t="s">
        <v>3256</v>
      </c>
      <c r="I29" s="1905"/>
    </row>
    <row r="30" spans="2:9">
      <c r="B30" s="1903"/>
      <c r="C30" s="1909" t="s">
        <v>3257</v>
      </c>
      <c r="D30" s="1920"/>
      <c r="E30" s="1920"/>
      <c r="F30" s="1920"/>
      <c r="H30" s="1920" t="s">
        <v>3258</v>
      </c>
      <c r="I30" s="1905"/>
    </row>
    <row r="31" spans="2:9" ht="3" customHeight="1">
      <c r="B31" s="1913"/>
      <c r="C31" s="1914"/>
      <c r="D31" s="1914"/>
      <c r="E31" s="1914"/>
      <c r="F31" s="1914"/>
      <c r="G31" s="1914"/>
      <c r="H31" s="1914"/>
      <c r="I31" s="1915"/>
    </row>
    <row r="32" spans="2:9" ht="7.5" customHeight="1"/>
    <row r="33" spans="2:9" ht="15" customHeight="1">
      <c r="B33" s="756" t="s">
        <v>4271</v>
      </c>
    </row>
    <row r="34" spans="2:9" ht="3" customHeight="1">
      <c r="B34" s="1916"/>
      <c r="C34" s="1901"/>
      <c r="D34" s="1901"/>
      <c r="E34" s="1901"/>
      <c r="F34" s="1901"/>
      <c r="G34" s="1901"/>
      <c r="H34" s="1901"/>
      <c r="I34" s="1917"/>
    </row>
    <row r="35" spans="2:9">
      <c r="B35" s="1906" t="s">
        <v>4274</v>
      </c>
      <c r="C35" s="1895"/>
      <c r="D35" s="1895"/>
      <c r="F35" s="1921"/>
      <c r="H35" s="4140" t="s">
        <v>4283</v>
      </c>
      <c r="I35" s="4141"/>
    </row>
    <row r="36" spans="2:9">
      <c r="B36" s="1922" t="s">
        <v>4282</v>
      </c>
      <c r="C36" s="1920"/>
      <c r="D36" s="1920"/>
      <c r="E36" s="1895"/>
      <c r="F36" s="2229"/>
      <c r="G36" s="1923"/>
      <c r="H36" s="4140"/>
      <c r="I36" s="4141"/>
    </row>
    <row r="37" spans="2:9">
      <c r="B37" s="1922" t="s">
        <v>4280</v>
      </c>
      <c r="D37" s="1920"/>
      <c r="E37" s="1895"/>
      <c r="F37" s="2230"/>
      <c r="G37" s="1923"/>
      <c r="H37" s="4140"/>
      <c r="I37" s="4141"/>
    </row>
    <row r="38" spans="2:9">
      <c r="B38" s="1922" t="s">
        <v>4281</v>
      </c>
      <c r="D38" s="1895"/>
      <c r="E38" s="1895"/>
      <c r="F38" s="2230"/>
      <c r="G38" s="1923"/>
      <c r="H38" s="1923"/>
      <c r="I38" s="1924"/>
    </row>
    <row r="39" spans="2:9" ht="12.75" customHeight="1">
      <c r="B39" s="1922" t="s">
        <v>4279</v>
      </c>
      <c r="C39" s="1895"/>
      <c r="D39" s="1895"/>
      <c r="E39" s="1895"/>
      <c r="F39" s="2230"/>
      <c r="G39" s="1923"/>
      <c r="H39" s="1923"/>
      <c r="I39" s="1924"/>
    </row>
    <row r="40" spans="2:9">
      <c r="B40" s="1925" t="s">
        <v>4278</v>
      </c>
      <c r="C40" s="1926"/>
      <c r="D40" s="1927"/>
      <c r="E40" s="1928"/>
      <c r="F40" s="2230"/>
      <c r="G40" s="1928"/>
      <c r="H40" s="2228"/>
      <c r="I40" s="1905"/>
    </row>
    <row r="41" spans="2:9">
      <c r="B41" s="1925" t="s">
        <v>4277</v>
      </c>
      <c r="C41" s="1926"/>
      <c r="D41" s="1927"/>
      <c r="E41" s="1895"/>
      <c r="F41" s="2230"/>
      <c r="G41" s="1895"/>
      <c r="H41" s="1895"/>
      <c r="I41" s="1905"/>
    </row>
    <row r="42" spans="2:9">
      <c r="B42" s="1929" t="s">
        <v>4276</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4273</v>
      </c>
    </row>
    <row r="46" spans="2:9" ht="3" customHeight="1">
      <c r="B46" s="1916"/>
      <c r="C46" s="1901"/>
      <c r="D46" s="1901"/>
      <c r="E46" s="1901"/>
      <c r="F46" s="1901"/>
      <c r="G46" s="1901"/>
      <c r="H46" s="1901"/>
      <c r="I46" s="1917"/>
    </row>
    <row r="47" spans="2:9" ht="19.2">
      <c r="B47" s="1906" t="s">
        <v>4272</v>
      </c>
      <c r="C47" s="1895"/>
      <c r="D47" s="1931"/>
      <c r="E47" s="1932" t="str">
        <f>Overview!H7</f>
        <v>Acquisition/Rehabilitation</v>
      </c>
      <c r="F47" s="784" t="s">
        <v>4284</v>
      </c>
      <c r="H47" s="1895"/>
      <c r="I47" s="1905"/>
    </row>
    <row r="48" spans="2:9">
      <c r="B48" s="1911" t="s">
        <v>3259</v>
      </c>
      <c r="C48" s="1920"/>
      <c r="D48" s="1920" t="s">
        <v>3260</v>
      </c>
      <c r="E48" s="1895"/>
      <c r="F48" s="4149" t="str">
        <f>'Closing term sheet'!$C$30</f>
        <v>320 Main Street East</v>
      </c>
      <c r="G48" s="4150"/>
      <c r="H48" s="4150"/>
      <c r="I48" s="4151"/>
    </row>
    <row r="49" spans="2:9">
      <c r="B49" s="1911" t="s">
        <v>3261</v>
      </c>
      <c r="D49" s="1920" t="s">
        <v>3262</v>
      </c>
      <c r="E49" s="1895"/>
      <c r="F49" s="4152"/>
      <c r="G49" s="4153"/>
      <c r="H49" s="4153"/>
      <c r="I49" s="4154"/>
    </row>
    <row r="50" spans="2:9">
      <c r="B50" s="1911" t="s">
        <v>3263</v>
      </c>
      <c r="D50" s="1895"/>
      <c r="E50" s="1895"/>
      <c r="F50" s="1933"/>
      <c r="G50" s="1934"/>
      <c r="H50" s="1934"/>
      <c r="I50" s="1935"/>
    </row>
    <row r="51" spans="2:9" ht="7.5" customHeight="1">
      <c r="B51" s="1903"/>
      <c r="C51" s="1895"/>
      <c r="D51" s="1895"/>
      <c r="E51" s="1895"/>
      <c r="F51" s="1895"/>
      <c r="G51" s="1895"/>
      <c r="H51" s="1895"/>
      <c r="I51" s="1905"/>
    </row>
    <row r="52" spans="2:9">
      <c r="B52" s="1936" t="s">
        <v>4285</v>
      </c>
      <c r="C52" s="4172" t="str">
        <f>'Part I-Project Information'!F38</f>
        <v>Leesburg</v>
      </c>
      <c r="D52" s="4173"/>
      <c r="E52" s="1937" t="s">
        <v>4286</v>
      </c>
      <c r="F52" s="1897" t="s">
        <v>847</v>
      </c>
      <c r="G52" s="1937" t="s">
        <v>4287</v>
      </c>
      <c r="H52" s="1938">
        <f>'Part I-Project Information'!J38</f>
        <v>317633787</v>
      </c>
      <c r="I52" s="1905"/>
    </row>
    <row r="53" spans="2:9">
      <c r="B53" s="1936" t="s">
        <v>4449</v>
      </c>
      <c r="D53" s="1939" t="e">
        <f>VLOOKUP("='Part I-Project Information'!$J$39",'DCA Underwriting Assumptions'!$G$158:$O$317,9)</f>
        <v>#N/A</v>
      </c>
      <c r="I53" s="1905"/>
    </row>
    <row r="54" spans="2:9">
      <c r="B54" s="1936" t="s">
        <v>4450</v>
      </c>
      <c r="D54" s="1895"/>
      <c r="E54" s="1895"/>
      <c r="F54" s="1895"/>
      <c r="G54" s="1895"/>
      <c r="I54" s="1905"/>
    </row>
    <row r="55" spans="2:9">
      <c r="B55" s="1929" t="s">
        <v>4451</v>
      </c>
      <c r="D55" s="1940">
        <f>'Closing term sheet'!$D$33</f>
        <v>39</v>
      </c>
      <c r="E55" s="1941"/>
      <c r="F55" s="817" t="s">
        <v>3264</v>
      </c>
      <c r="G55" s="1895"/>
      <c r="H55" s="1895"/>
      <c r="I55" s="1905"/>
    </row>
    <row r="56" spans="2:9">
      <c r="B56" s="1929" t="s">
        <v>4453</v>
      </c>
      <c r="D56" s="1942">
        <f>'Closing term sheet'!$D$62</f>
        <v>4100000</v>
      </c>
      <c r="E56" s="1943"/>
      <c r="F56" s="817" t="s">
        <v>3265</v>
      </c>
      <c r="G56" s="1895"/>
      <c r="H56" s="1895"/>
      <c r="I56" s="1905"/>
    </row>
    <row r="57" spans="2:9">
      <c r="B57" s="1922" t="s">
        <v>4452</v>
      </c>
      <c r="D57" s="1944"/>
      <c r="F57" s="817" t="s">
        <v>3266</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4177" t="s">
        <v>3267</v>
      </c>
      <c r="C61" s="4178"/>
      <c r="D61" s="4178"/>
      <c r="E61" s="4178"/>
      <c r="F61" s="4178"/>
      <c r="G61" s="4178"/>
      <c r="H61" s="4178"/>
      <c r="I61" s="4179"/>
    </row>
    <row r="62" spans="2:9" ht="7.5" customHeight="1">
      <c r="B62" s="4174"/>
      <c r="C62" s="4175"/>
      <c r="D62" s="4175"/>
      <c r="E62" s="1895"/>
      <c r="F62" s="1895"/>
      <c r="G62" s="1945"/>
      <c r="H62" s="1895"/>
      <c r="I62" s="1905"/>
    </row>
    <row r="63" spans="2:9">
      <c r="B63" s="1946" t="s">
        <v>3269</v>
      </c>
      <c r="C63" s="1895"/>
      <c r="D63" s="1940">
        <v>4</v>
      </c>
      <c r="F63" s="1895"/>
      <c r="G63" s="4159" t="s">
        <v>3268</v>
      </c>
      <c r="H63" s="4159"/>
      <c r="I63" s="4176"/>
    </row>
    <row r="64" spans="2:9">
      <c r="B64" s="1903"/>
      <c r="C64" s="1920" t="s">
        <v>3272</v>
      </c>
      <c r="D64" s="1920" t="s">
        <v>3273</v>
      </c>
      <c r="F64" s="1895"/>
      <c r="G64" s="829" t="s">
        <v>3270</v>
      </c>
      <c r="H64" s="1895"/>
      <c r="I64" s="1947">
        <f>'Closing term sheet'!$D$35</f>
        <v>40</v>
      </c>
    </row>
    <row r="65" spans="2:9">
      <c r="B65" s="1903"/>
      <c r="C65" s="1920" t="s">
        <v>3274</v>
      </c>
      <c r="D65" s="1920" t="s">
        <v>3275</v>
      </c>
      <c r="F65" s="1895"/>
      <c r="G65" s="1948" t="s">
        <v>3271</v>
      </c>
      <c r="H65" s="1895"/>
      <c r="I65" s="1947">
        <f>C42</f>
        <v>0</v>
      </c>
    </row>
    <row r="66" spans="2:9">
      <c r="B66" s="1911"/>
      <c r="C66" s="1920" t="s">
        <v>3276</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3277</v>
      </c>
      <c r="C70" s="1895"/>
      <c r="D70" s="1895"/>
      <c r="E70" s="1895"/>
      <c r="F70" s="1895"/>
      <c r="G70" s="1895"/>
      <c r="H70" s="1895"/>
      <c r="I70" s="1905"/>
    </row>
    <row r="71" spans="2:9" ht="7.5" customHeight="1">
      <c r="B71" s="1903"/>
      <c r="C71" s="1895"/>
      <c r="D71" s="1895"/>
      <c r="E71" s="1895"/>
      <c r="F71" s="1895"/>
      <c r="G71" s="1895"/>
      <c r="H71" s="1895"/>
      <c r="I71" s="1905"/>
    </row>
    <row r="72" spans="2:9">
      <c r="B72" s="1906" t="s">
        <v>3278</v>
      </c>
      <c r="D72" s="1895"/>
      <c r="E72" s="1895"/>
      <c r="F72" s="1895"/>
      <c r="G72" s="1895"/>
      <c r="H72" s="1895"/>
      <c r="I72" s="1931"/>
    </row>
    <row r="73" spans="2:9" ht="7.5" customHeight="1">
      <c r="B73" s="1903"/>
      <c r="C73" s="1895"/>
      <c r="D73" s="1895"/>
      <c r="E73" s="1895"/>
      <c r="F73" s="1895"/>
      <c r="G73" s="1895"/>
      <c r="H73" s="1895"/>
      <c r="I73" s="1905"/>
    </row>
    <row r="74" spans="2:9">
      <c r="B74" s="1903" t="s">
        <v>3279</v>
      </c>
      <c r="D74" s="1895"/>
      <c r="E74" s="1895"/>
      <c r="F74" s="1895" t="s">
        <v>3346</v>
      </c>
      <c r="G74" s="1895"/>
      <c r="H74" s="1895"/>
      <c r="I74" s="1950"/>
    </row>
    <row r="75" spans="2:9">
      <c r="B75" s="1903"/>
      <c r="E75" s="1895"/>
      <c r="F75" s="1895" t="s">
        <v>3347</v>
      </c>
      <c r="G75" s="1895"/>
      <c r="H75" s="1895"/>
      <c r="I75" s="1950"/>
    </row>
    <row r="76" spans="2:9">
      <c r="B76" s="1903"/>
      <c r="E76" s="1895"/>
      <c r="F76" s="1895" t="s">
        <v>3348</v>
      </c>
      <c r="G76" s="1895"/>
      <c r="H76" s="1895"/>
      <c r="I76" s="1950"/>
    </row>
    <row r="77" spans="2:9">
      <c r="B77" s="1903"/>
      <c r="E77" s="1895"/>
      <c r="F77" s="837" t="s">
        <v>3349</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4177" t="s">
        <v>3280</v>
      </c>
      <c r="C81" s="4178"/>
      <c r="D81" s="4178"/>
      <c r="E81" s="4178"/>
      <c r="F81" s="4178"/>
      <c r="G81" s="4178"/>
      <c r="H81" s="4178"/>
      <c r="I81" s="4179"/>
    </row>
    <row r="82" spans="2:9">
      <c r="B82" s="1903"/>
      <c r="C82" s="1895"/>
      <c r="D82" s="1895"/>
      <c r="E82" s="1895"/>
      <c r="F82" s="1895"/>
      <c r="G82" s="1895"/>
      <c r="H82" s="1895"/>
      <c r="I82" s="1905"/>
    </row>
    <row r="83" spans="2:9">
      <c r="B83" s="1906" t="s">
        <v>3281</v>
      </c>
      <c r="C83" s="1895"/>
      <c r="D83" s="1895"/>
      <c r="E83" s="1895"/>
      <c r="F83" s="1895"/>
      <c r="G83" s="1895"/>
      <c r="H83" s="1895"/>
      <c r="I83" s="1905"/>
    </row>
    <row r="84" spans="2:9">
      <c r="B84" s="1903"/>
      <c r="C84" s="837" t="s">
        <v>3282</v>
      </c>
      <c r="D84" s="1895"/>
      <c r="E84" s="1895"/>
      <c r="F84" s="4145">
        <f>'Closing term sheet'!D62</f>
        <v>4100000</v>
      </c>
      <c r="G84" s="4145"/>
      <c r="H84" s="1895"/>
      <c r="I84" s="1905"/>
    </row>
    <row r="85" spans="2:9">
      <c r="B85" s="1903"/>
      <c r="C85" s="837" t="s">
        <v>3283</v>
      </c>
      <c r="D85" s="1895"/>
      <c r="E85" s="1895"/>
      <c r="F85" s="4171" t="e">
        <f>'Part III-Sources of Funds'!I45+'Part III-Sources of Funds'!L45</f>
        <v>#N/A</v>
      </c>
      <c r="G85" s="4171"/>
      <c r="H85" s="1895"/>
      <c r="I85" s="1905"/>
    </row>
    <row r="86" spans="2:9">
      <c r="B86" s="1903"/>
      <c r="C86" s="837" t="s">
        <v>3284</v>
      </c>
      <c r="D86" s="1895"/>
      <c r="E86" s="1895"/>
      <c r="F86" s="4170"/>
      <c r="G86" s="4170"/>
      <c r="H86" s="1895"/>
      <c r="I86" s="1905"/>
    </row>
    <row r="87" spans="2:9">
      <c r="B87" s="1903"/>
      <c r="C87" s="1920" t="s">
        <v>3285</v>
      </c>
      <c r="D87" s="1895"/>
      <c r="E87" s="1895"/>
      <c r="F87" s="4171">
        <v>11000</v>
      </c>
      <c r="G87" s="4171"/>
      <c r="H87" s="1895"/>
      <c r="I87" s="1905"/>
    </row>
    <row r="88" spans="2:9">
      <c r="B88" s="1903"/>
      <c r="C88" s="837" t="s">
        <v>3286</v>
      </c>
      <c r="D88" s="1895"/>
      <c r="E88" s="1895"/>
      <c r="F88" s="4148"/>
      <c r="G88" s="4148"/>
      <c r="H88" s="1895"/>
      <c r="I88" s="1905"/>
    </row>
    <row r="89" spans="2:9">
      <c r="B89" s="1903"/>
      <c r="C89" s="817" t="s">
        <v>3287</v>
      </c>
      <c r="D89" s="1895"/>
      <c r="E89" s="1895"/>
      <c r="F89" s="4143" t="e">
        <f>SUM(F84:G88)</f>
        <v>#N/A</v>
      </c>
      <c r="G89" s="4143"/>
      <c r="H89" s="1895"/>
      <c r="I89" s="1905"/>
    </row>
    <row r="90" spans="2:9">
      <c r="B90" s="1903"/>
      <c r="C90" s="1895"/>
      <c r="D90" s="1895"/>
      <c r="E90" s="1895"/>
      <c r="F90" s="4144"/>
      <c r="G90" s="4144"/>
      <c r="H90" s="1895"/>
      <c r="I90" s="1905"/>
    </row>
    <row r="91" spans="2:9">
      <c r="B91" s="1906" t="s">
        <v>3288</v>
      </c>
      <c r="C91" s="1895"/>
      <c r="D91" s="1895"/>
      <c r="E91" s="1895"/>
      <c r="F91" s="1895"/>
      <c r="G91" s="1895"/>
      <c r="H91" s="1895"/>
      <c r="I91" s="1905"/>
    </row>
    <row r="92" spans="2:9">
      <c r="B92" s="1903"/>
      <c r="C92" s="837" t="s">
        <v>3289</v>
      </c>
      <c r="D92" s="1895"/>
      <c r="E92" s="1895"/>
      <c r="F92" s="4145"/>
      <c r="G92" s="4145"/>
      <c r="H92" s="1895"/>
      <c r="I92" s="1905"/>
    </row>
    <row r="93" spans="2:9">
      <c r="B93" s="1903"/>
      <c r="C93" s="837" t="s">
        <v>3290</v>
      </c>
      <c r="D93" s="1895"/>
      <c r="E93" s="1895"/>
      <c r="F93" s="4146"/>
      <c r="G93" s="4146"/>
      <c r="H93" s="1895"/>
      <c r="I93" s="1905"/>
    </row>
    <row r="94" spans="2:9">
      <c r="B94" s="1903"/>
      <c r="C94" s="837" t="s">
        <v>3291</v>
      </c>
      <c r="D94" s="1895"/>
      <c r="E94" s="1895"/>
      <c r="F94" s="4147" t="s">
        <v>3165</v>
      </c>
      <c r="G94" s="4142"/>
      <c r="H94" s="1895"/>
      <c r="I94" s="1905"/>
    </row>
    <row r="95" spans="2:9">
      <c r="B95" s="1903"/>
      <c r="C95" s="817" t="s">
        <v>3292</v>
      </c>
      <c r="D95" s="1895"/>
      <c r="E95" s="1895"/>
      <c r="F95" s="4143">
        <f>+SUM(F92:G94)</f>
        <v>0</v>
      </c>
      <c r="G95" s="4143"/>
      <c r="H95" s="1895"/>
      <c r="I95" s="1905"/>
    </row>
    <row r="96" spans="2:9">
      <c r="B96" s="1903"/>
      <c r="C96" s="1895"/>
      <c r="D96" s="1895"/>
      <c r="E96" s="1895"/>
      <c r="F96" s="1895"/>
      <c r="G96" s="1895"/>
      <c r="H96" s="1895"/>
      <c r="I96" s="1905"/>
    </row>
    <row r="97" spans="2:9">
      <c r="B97" s="1906" t="s">
        <v>3293</v>
      </c>
      <c r="C97" s="1895"/>
      <c r="D97" s="1895"/>
      <c r="E97" s="1895"/>
      <c r="F97" s="1895"/>
      <c r="G97" s="1895"/>
      <c r="H97" s="1895"/>
      <c r="I97" s="1905"/>
    </row>
    <row r="98" spans="2:9">
      <c r="B98" s="1903"/>
      <c r="C98" s="837" t="s">
        <v>3294</v>
      </c>
      <c r="D98" s="1895"/>
      <c r="E98" s="1895"/>
      <c r="F98" s="4145"/>
      <c r="G98" s="4145"/>
      <c r="H98" s="1895"/>
      <c r="I98" s="1905"/>
    </row>
    <row r="99" spans="2:9">
      <c r="B99" s="1903"/>
      <c r="C99" s="837" t="s">
        <v>3295</v>
      </c>
      <c r="D99" s="1895"/>
      <c r="E99" s="1895"/>
      <c r="F99" s="4146"/>
      <c r="G99" s="4146"/>
      <c r="H99" s="1895"/>
      <c r="I99" s="1905"/>
    </row>
    <row r="100" spans="2:9">
      <c r="B100" s="1903"/>
      <c r="C100" s="837" t="s">
        <v>3296</v>
      </c>
      <c r="D100" s="1895"/>
      <c r="E100" s="1895"/>
      <c r="F100" s="4148"/>
      <c r="G100" s="4148"/>
      <c r="H100" s="1895"/>
      <c r="I100" s="1905"/>
    </row>
    <row r="101" spans="2:9">
      <c r="B101" s="1903"/>
      <c r="C101" s="817" t="s">
        <v>3297</v>
      </c>
      <c r="D101" s="1895"/>
      <c r="E101" s="1895"/>
      <c r="F101" s="4143">
        <f>+SUM(F98:G100)</f>
        <v>0</v>
      </c>
      <c r="G101" s="4143"/>
      <c r="H101" s="1895"/>
      <c r="I101" s="1905"/>
    </row>
    <row r="102" spans="2:9">
      <c r="B102" s="1903"/>
      <c r="C102" s="1895"/>
      <c r="D102" s="1895"/>
      <c r="E102" s="1895"/>
      <c r="F102" s="1895"/>
      <c r="G102" s="1895"/>
      <c r="H102" s="1895"/>
      <c r="I102" s="1905"/>
    </row>
    <row r="103" spans="2:9">
      <c r="B103" s="1946" t="s">
        <v>3298</v>
      </c>
      <c r="C103" s="837"/>
      <c r="D103" s="1895"/>
      <c r="E103" s="1895"/>
      <c r="F103" s="4142">
        <f>'Part III-Sources of Funds'!I46+'Part III-Sources of Funds'!I47</f>
        <v>0</v>
      </c>
      <c r="G103" s="4142"/>
      <c r="H103" s="1895"/>
      <c r="I103" s="1905"/>
    </row>
    <row r="104" spans="2:9">
      <c r="B104" s="1903"/>
      <c r="C104" s="1895"/>
      <c r="D104" s="1895"/>
      <c r="E104" s="1895"/>
      <c r="F104" s="1895"/>
      <c r="G104" s="1895"/>
      <c r="H104" s="1895"/>
      <c r="I104" s="1951" t="s">
        <v>3299</v>
      </c>
    </row>
    <row r="105" spans="2:9">
      <c r="B105" s="1906" t="s">
        <v>3300</v>
      </c>
      <c r="C105" s="1895"/>
      <c r="D105" s="1895"/>
      <c r="E105" s="1895"/>
      <c r="F105" s="4142" t="e">
        <f>+F103+F101+F95+F89</f>
        <v>#N/A</v>
      </c>
      <c r="G105" s="4142"/>
      <c r="H105" s="1895"/>
      <c r="I105" s="1905"/>
    </row>
    <row r="106" spans="2:9">
      <c r="B106" s="1913"/>
      <c r="C106" s="1914"/>
      <c r="D106" s="1914"/>
      <c r="E106" s="1914"/>
      <c r="F106" s="1914"/>
      <c r="G106" s="1914"/>
      <c r="H106" s="1914"/>
      <c r="I106" s="1915"/>
    </row>
    <row r="108" spans="2:9">
      <c r="C108" s="1952" t="s">
        <v>2988</v>
      </c>
    </row>
    <row r="109" spans="2:9">
      <c r="C109" s="1952" t="s">
        <v>2991</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tabSelected="1" topLeftCell="A25" workbookViewId="0">
      <selection activeCell="A25" sqref="A1:XFD1048576"/>
    </sheetView>
  </sheetViews>
  <sheetFormatPr defaultColWidth="8.6640625" defaultRowHeight="15.6"/>
  <cols>
    <col min="1" max="1" width="2.33203125" style="2754" customWidth="1"/>
    <col min="2" max="13" width="7.6640625" style="2754" customWidth="1"/>
    <col min="14" max="15" width="5.6640625" style="2754" customWidth="1"/>
    <col min="16" max="16384" width="8.6640625" style="2754"/>
  </cols>
  <sheetData>
    <row r="1" spans="1:26" ht="18">
      <c r="N1" s="2755" t="s">
        <v>1497</v>
      </c>
      <c r="O1" s="2755"/>
      <c r="P1" s="2755"/>
      <c r="Q1" s="2755"/>
      <c r="R1" s="2755"/>
      <c r="S1" s="2755"/>
      <c r="T1" s="2755"/>
      <c r="U1" s="2755"/>
      <c r="V1" s="2755"/>
      <c r="W1" s="2755"/>
      <c r="X1" s="2755"/>
      <c r="Y1" s="2755"/>
      <c r="Z1" s="2755"/>
    </row>
    <row r="2" spans="1:26">
      <c r="N2" s="2756" t="s">
        <v>1498</v>
      </c>
      <c r="O2" s="2756"/>
      <c r="P2" s="2756"/>
      <c r="Q2" s="2756"/>
      <c r="R2" s="2756"/>
      <c r="S2" s="2756"/>
      <c r="T2" s="2756"/>
      <c r="U2" s="2756"/>
      <c r="V2" s="2756"/>
      <c r="W2" s="2756"/>
      <c r="X2" s="2756"/>
      <c r="Y2" s="2756"/>
      <c r="Z2" s="2756"/>
    </row>
    <row r="3" spans="1:26">
      <c r="N3" s="2757" t="s">
        <v>1499</v>
      </c>
      <c r="O3" s="2757"/>
      <c r="P3" s="2757"/>
      <c r="Q3" s="2757"/>
      <c r="R3" s="2757"/>
      <c r="S3" s="2757"/>
      <c r="T3" s="2757"/>
      <c r="U3" s="2757"/>
      <c r="V3" s="2757"/>
      <c r="W3" s="2757"/>
      <c r="X3" s="2757"/>
      <c r="Y3" s="2757"/>
      <c r="Z3" s="2757"/>
    </row>
    <row r="4" spans="1:26">
      <c r="B4" s="2758"/>
      <c r="C4" s="2758"/>
      <c r="D4" s="2758"/>
      <c r="E4" s="2758"/>
      <c r="F4" s="2758"/>
      <c r="G4" s="2758"/>
      <c r="H4" s="2758"/>
      <c r="I4" s="2758"/>
      <c r="J4" s="2758"/>
      <c r="K4" s="2758"/>
      <c r="L4" s="2758"/>
      <c r="M4" s="2758"/>
      <c r="N4" s="2759" t="s">
        <v>701</v>
      </c>
    </row>
    <row r="5" spans="1:26" ht="59.25" customHeight="1">
      <c r="A5" s="4187" t="s">
        <v>2748</v>
      </c>
      <c r="B5" s="4187"/>
      <c r="C5" s="4187"/>
      <c r="D5" s="4187"/>
      <c r="E5" s="4187"/>
      <c r="F5" s="4187"/>
      <c r="G5" s="4187"/>
      <c r="H5" s="4187"/>
      <c r="I5" s="4187"/>
      <c r="J5" s="4187"/>
      <c r="K5" s="4187"/>
      <c r="L5" s="4187"/>
      <c r="M5" s="4187"/>
    </row>
    <row r="6" spans="1:26" ht="11.7" customHeight="1">
      <c r="A6" s="2758"/>
      <c r="B6" s="2758"/>
      <c r="C6" s="2758"/>
      <c r="D6" s="2758"/>
      <c r="E6" s="2758"/>
      <c r="F6" s="2758"/>
      <c r="G6" s="2758"/>
      <c r="H6" s="2758"/>
      <c r="I6" s="2758"/>
      <c r="J6" s="2758"/>
      <c r="K6" s="2758"/>
      <c r="L6" s="2758"/>
      <c r="M6" s="2758"/>
    </row>
    <row r="7" spans="1:26">
      <c r="A7" s="2758" t="s">
        <v>706</v>
      </c>
      <c r="B7" s="2758"/>
      <c r="C7" s="2758"/>
      <c r="D7" s="2758"/>
      <c r="E7" s="2758"/>
      <c r="F7" s="2758"/>
      <c r="G7" s="2758"/>
      <c r="H7" s="2758"/>
      <c r="I7" s="2758"/>
      <c r="J7" s="2758"/>
      <c r="K7" s="2758"/>
      <c r="L7" s="2758"/>
      <c r="M7" s="2758"/>
    </row>
    <row r="8" spans="1:26" ht="11.7" customHeight="1">
      <c r="A8" s="2758"/>
      <c r="B8" s="2758"/>
      <c r="C8" s="2758"/>
      <c r="D8" s="2758"/>
      <c r="E8" s="2758"/>
      <c r="F8" s="2758"/>
      <c r="G8" s="2758"/>
      <c r="H8" s="2758"/>
      <c r="I8" s="2758"/>
      <c r="J8" s="2758"/>
      <c r="K8" s="2758"/>
      <c r="L8" s="2758"/>
      <c r="M8" s="2758"/>
    </row>
    <row r="9" spans="1:26">
      <c r="A9" s="4184" t="s">
        <v>1905</v>
      </c>
      <c r="B9" s="4184"/>
      <c r="C9" s="4184"/>
      <c r="D9" s="4184"/>
      <c r="E9" s="4184"/>
      <c r="F9" s="4184"/>
      <c r="G9" s="4184"/>
      <c r="H9" s="4184"/>
      <c r="I9" s="4184"/>
      <c r="J9" s="4184"/>
      <c r="K9" s="4184"/>
      <c r="L9" s="4184"/>
      <c r="M9" s="4184"/>
    </row>
    <row r="10" spans="1:26" ht="6.75" customHeight="1">
      <c r="A10" s="4184"/>
      <c r="B10" s="4184"/>
      <c r="C10" s="4184"/>
      <c r="D10" s="4184"/>
      <c r="E10" s="4184"/>
      <c r="F10" s="4184"/>
      <c r="G10" s="4184"/>
      <c r="H10" s="4184"/>
      <c r="I10" s="4184"/>
      <c r="J10" s="4184"/>
      <c r="K10" s="4184"/>
      <c r="L10" s="4184"/>
      <c r="M10" s="4184"/>
    </row>
    <row r="11" spans="1:26" ht="44.25" customHeight="1">
      <c r="A11" s="4188" t="s">
        <v>4935</v>
      </c>
      <c r="B11" s="4188"/>
      <c r="C11" s="4188"/>
      <c r="D11" s="4188"/>
      <c r="E11" s="4188"/>
      <c r="F11" s="4188"/>
      <c r="G11" s="4188"/>
      <c r="H11" s="4188"/>
      <c r="I11" s="4188"/>
      <c r="J11" s="4188"/>
      <c r="K11" s="4188"/>
      <c r="L11" s="4188"/>
      <c r="M11" s="4188"/>
    </row>
    <row r="12" spans="1:26" ht="3" customHeight="1">
      <c r="A12" s="4184"/>
      <c r="B12" s="4184"/>
      <c r="C12" s="4184"/>
      <c r="D12" s="4184"/>
      <c r="E12" s="4184"/>
      <c r="F12" s="4184"/>
      <c r="G12" s="4184"/>
      <c r="H12" s="4184"/>
      <c r="I12" s="4184"/>
      <c r="J12" s="4184"/>
      <c r="K12" s="4184"/>
      <c r="L12" s="4184"/>
      <c r="M12" s="4184"/>
    </row>
    <row r="13" spans="1:26" ht="96" customHeight="1">
      <c r="A13" s="2760" t="s">
        <v>1736</v>
      </c>
      <c r="B13" s="4185" t="s">
        <v>3674</v>
      </c>
      <c r="C13" s="4185"/>
      <c r="D13" s="4185"/>
      <c r="E13" s="4185"/>
      <c r="F13" s="4185"/>
      <c r="G13" s="4185"/>
      <c r="H13" s="4185"/>
      <c r="I13" s="4185"/>
      <c r="J13" s="4185"/>
      <c r="K13" s="4185"/>
      <c r="L13" s="4185"/>
      <c r="M13" s="4185"/>
    </row>
    <row r="14" spans="1:26" ht="47.25" customHeight="1">
      <c r="A14" s="2760" t="s">
        <v>1737</v>
      </c>
      <c r="B14" s="4185" t="s">
        <v>3675</v>
      </c>
      <c r="C14" s="4185"/>
      <c r="D14" s="4185"/>
      <c r="E14" s="4185"/>
      <c r="F14" s="4185"/>
      <c r="G14" s="4185"/>
      <c r="H14" s="4185"/>
      <c r="I14" s="4185"/>
      <c r="J14" s="4185"/>
      <c r="K14" s="4185"/>
      <c r="L14" s="4185"/>
      <c r="M14" s="4185"/>
    </row>
    <row r="15" spans="1:26" ht="117" customHeight="1">
      <c r="A15" s="2760" t="s">
        <v>1738</v>
      </c>
      <c r="B15" s="4185" t="s">
        <v>3676</v>
      </c>
      <c r="C15" s="4185"/>
      <c r="D15" s="4185"/>
      <c r="E15" s="4185"/>
      <c r="F15" s="4185"/>
      <c r="G15" s="4185"/>
      <c r="H15" s="4185"/>
      <c r="I15" s="4185"/>
      <c r="J15" s="4185"/>
      <c r="K15" s="4185"/>
      <c r="L15" s="4185"/>
      <c r="M15" s="4185"/>
    </row>
    <row r="16" spans="1:26" ht="147" customHeight="1">
      <c r="A16" s="2760" t="s">
        <v>2364</v>
      </c>
      <c r="B16" s="4185" t="s">
        <v>3455</v>
      </c>
      <c r="C16" s="4185"/>
      <c r="D16" s="4185"/>
      <c r="E16" s="4185"/>
      <c r="F16" s="4185"/>
      <c r="G16" s="4185"/>
      <c r="H16" s="4185"/>
      <c r="I16" s="4185"/>
      <c r="J16" s="4185"/>
      <c r="K16" s="4185"/>
      <c r="L16" s="4185"/>
      <c r="M16" s="4185"/>
    </row>
    <row r="17" spans="1:13" ht="48.75" customHeight="1">
      <c r="A17" s="2760" t="s">
        <v>1548</v>
      </c>
      <c r="B17" s="4185" t="s">
        <v>682</v>
      </c>
      <c r="C17" s="4185"/>
      <c r="D17" s="4185"/>
      <c r="E17" s="4185"/>
      <c r="F17" s="4185"/>
      <c r="G17" s="4185"/>
      <c r="H17" s="4185"/>
      <c r="I17" s="4185"/>
      <c r="J17" s="4185"/>
      <c r="K17" s="4185"/>
      <c r="L17" s="4185"/>
      <c r="M17" s="4185"/>
    </row>
    <row r="18" spans="1:13" ht="165" customHeight="1">
      <c r="A18" s="2760" t="s">
        <v>1549</v>
      </c>
      <c r="B18" s="4185" t="s">
        <v>3454</v>
      </c>
      <c r="C18" s="4185"/>
      <c r="D18" s="4185"/>
      <c r="E18" s="4185"/>
      <c r="F18" s="4185"/>
      <c r="G18" s="4185"/>
      <c r="H18" s="4185"/>
      <c r="I18" s="4185"/>
      <c r="J18" s="4185"/>
      <c r="K18" s="4185"/>
      <c r="L18" s="4185"/>
      <c r="M18" s="4185"/>
    </row>
    <row r="19" spans="1:13" ht="48.75" customHeight="1">
      <c r="A19" s="2760" t="s">
        <v>98</v>
      </c>
      <c r="B19" s="4186" t="s">
        <v>3677</v>
      </c>
      <c r="C19" s="4186"/>
      <c r="D19" s="4186"/>
      <c r="E19" s="4186"/>
      <c r="F19" s="4186"/>
      <c r="G19" s="4186"/>
      <c r="H19" s="4186"/>
      <c r="I19" s="4186"/>
      <c r="J19" s="4186"/>
      <c r="K19" s="4186"/>
      <c r="L19" s="4186"/>
      <c r="M19" s="4186"/>
    </row>
    <row r="20" spans="1:13" ht="50.25" customHeight="1">
      <c r="A20" s="2760" t="s">
        <v>510</v>
      </c>
      <c r="B20" s="4185" t="s">
        <v>3457</v>
      </c>
      <c r="C20" s="4185"/>
      <c r="D20" s="4185"/>
      <c r="E20" s="4185"/>
      <c r="F20" s="4185"/>
      <c r="G20" s="4185"/>
      <c r="H20" s="4185"/>
      <c r="I20" s="4185"/>
      <c r="J20" s="4185"/>
      <c r="K20" s="4185"/>
      <c r="L20" s="4185"/>
      <c r="M20" s="4185"/>
    </row>
    <row r="21" spans="1:13" ht="31.5" customHeight="1">
      <c r="A21" s="2760" t="s">
        <v>511</v>
      </c>
      <c r="B21" s="4185" t="s">
        <v>3484</v>
      </c>
      <c r="C21" s="4185"/>
      <c r="D21" s="4185"/>
      <c r="E21" s="4185"/>
      <c r="F21" s="4185"/>
      <c r="G21" s="4185"/>
      <c r="H21" s="4185"/>
      <c r="I21" s="4185"/>
      <c r="J21" s="4185"/>
      <c r="K21" s="4185"/>
      <c r="L21" s="4185"/>
      <c r="M21" s="4185"/>
    </row>
    <row r="22" spans="1:13" ht="1.5" customHeight="1">
      <c r="A22" s="4184"/>
      <c r="B22" s="4184"/>
      <c r="C22" s="4184"/>
      <c r="D22" s="4184"/>
      <c r="E22" s="4184"/>
      <c r="F22" s="4184"/>
      <c r="G22" s="4184"/>
      <c r="H22" s="4184"/>
      <c r="I22" s="4184"/>
      <c r="J22" s="4184"/>
      <c r="K22" s="4184"/>
      <c r="L22" s="4184"/>
      <c r="M22" s="4184"/>
    </row>
    <row r="23" spans="1:13" ht="3" customHeight="1">
      <c r="A23" s="4184"/>
      <c r="B23" s="4184"/>
      <c r="C23" s="4184"/>
      <c r="D23" s="4184"/>
      <c r="E23" s="4184"/>
      <c r="F23" s="4184"/>
      <c r="G23" s="4184"/>
      <c r="H23" s="4184"/>
      <c r="I23" s="4184"/>
      <c r="J23" s="4184"/>
      <c r="K23" s="4184"/>
      <c r="L23" s="4184"/>
      <c r="M23" s="4184"/>
    </row>
    <row r="24" spans="1:13" ht="13.5" customHeight="1">
      <c r="A24" s="4184" t="s">
        <v>1464</v>
      </c>
      <c r="B24" s="4184"/>
      <c r="C24" s="4184"/>
      <c r="D24" s="4184"/>
      <c r="E24" s="4184"/>
      <c r="F24" s="4184"/>
      <c r="G24" s="4184"/>
      <c r="H24" s="4184"/>
      <c r="I24" s="4184"/>
      <c r="J24" s="4184"/>
      <c r="K24" s="4184"/>
      <c r="L24" s="4184"/>
      <c r="M24" s="4184"/>
    </row>
    <row r="25" spans="1:13" ht="32.25" customHeight="1">
      <c r="A25" s="2760" t="s">
        <v>1465</v>
      </c>
      <c r="B25" s="4185" t="s">
        <v>3485</v>
      </c>
      <c r="C25" s="4185"/>
      <c r="D25" s="4185"/>
      <c r="E25" s="4185"/>
      <c r="F25" s="4185"/>
      <c r="G25" s="4185"/>
      <c r="H25" s="4185"/>
      <c r="I25" s="4185"/>
      <c r="J25" s="4185"/>
      <c r="K25" s="4185"/>
      <c r="L25" s="4185"/>
      <c r="M25" s="4185"/>
    </row>
    <row r="26" spans="1:13" ht="31.5" customHeight="1">
      <c r="A26" s="2760" t="s">
        <v>1465</v>
      </c>
      <c r="B26" s="4185" t="s">
        <v>3486</v>
      </c>
      <c r="C26" s="4185"/>
      <c r="D26" s="4185"/>
      <c r="E26" s="4185"/>
      <c r="F26" s="4185"/>
      <c r="G26" s="4185"/>
      <c r="H26" s="4185"/>
      <c r="I26" s="4185"/>
      <c r="J26" s="4185"/>
      <c r="K26" s="4185"/>
      <c r="L26" s="4185"/>
      <c r="M26" s="4185"/>
    </row>
    <row r="27" spans="1:13" ht="78.75" customHeight="1">
      <c r="A27" s="2760" t="s">
        <v>1465</v>
      </c>
      <c r="B27" s="4185" t="s">
        <v>2749</v>
      </c>
      <c r="C27" s="4185"/>
      <c r="D27" s="4185"/>
      <c r="E27" s="4185"/>
      <c r="F27" s="4185"/>
      <c r="G27" s="4185"/>
      <c r="H27" s="4185"/>
      <c r="I27" s="4185"/>
      <c r="J27" s="4185"/>
      <c r="K27" s="4185"/>
      <c r="L27" s="4185"/>
      <c r="M27" s="4185"/>
    </row>
    <row r="28" spans="1:13" ht="7.5" customHeight="1">
      <c r="A28" s="4184"/>
      <c r="B28" s="4184"/>
      <c r="C28" s="4184"/>
      <c r="D28" s="4184"/>
      <c r="E28" s="4184"/>
      <c r="F28" s="4184"/>
      <c r="G28" s="4184"/>
      <c r="H28" s="4184"/>
      <c r="I28" s="4184"/>
      <c r="J28" s="4184"/>
      <c r="K28" s="4184"/>
      <c r="L28" s="4184"/>
      <c r="M28" s="4184"/>
    </row>
    <row r="29" spans="1:13" ht="43.5" customHeight="1">
      <c r="A29" s="4185" t="s">
        <v>945</v>
      </c>
      <c r="B29" s="4185"/>
      <c r="C29" s="4185"/>
      <c r="D29" s="4185"/>
      <c r="E29" s="4185"/>
      <c r="F29" s="4185"/>
      <c r="G29" s="4185"/>
      <c r="H29" s="4185"/>
      <c r="I29" s="4185"/>
      <c r="J29" s="4185"/>
      <c r="K29" s="4185"/>
      <c r="L29" s="4185"/>
      <c r="M29" s="4185"/>
    </row>
    <row r="30" spans="1:13" ht="3" customHeight="1">
      <c r="A30" s="4184"/>
      <c r="B30" s="4184"/>
      <c r="C30" s="4184"/>
      <c r="D30" s="4184"/>
      <c r="E30" s="4184"/>
      <c r="F30" s="4184"/>
      <c r="G30" s="4184"/>
      <c r="H30" s="4184"/>
      <c r="I30" s="4184"/>
      <c r="J30" s="4184"/>
      <c r="K30" s="4184"/>
      <c r="L30" s="4184"/>
      <c r="M30" s="4184"/>
    </row>
    <row r="31" spans="1:13" ht="32.25" customHeight="1">
      <c r="A31" s="4185" t="s">
        <v>2750</v>
      </c>
      <c r="B31" s="4185"/>
      <c r="C31" s="4185"/>
      <c r="D31" s="4185"/>
      <c r="E31" s="4185"/>
      <c r="F31" s="4185"/>
      <c r="G31" s="4185"/>
      <c r="H31" s="4185"/>
      <c r="I31" s="4185"/>
      <c r="J31" s="4185"/>
      <c r="K31" s="4185"/>
      <c r="L31" s="4185"/>
      <c r="M31" s="4185"/>
    </row>
    <row r="32" spans="1:13" ht="4.5" customHeight="1">
      <c r="A32" s="4184"/>
      <c r="B32" s="4184"/>
      <c r="C32" s="4184"/>
      <c r="D32" s="4184"/>
      <c r="E32" s="4184"/>
      <c r="F32" s="4184"/>
      <c r="G32" s="4184"/>
      <c r="H32" s="4184"/>
      <c r="I32" s="4184"/>
      <c r="J32" s="4184"/>
      <c r="K32" s="4184"/>
      <c r="L32" s="4184"/>
      <c r="M32" s="4184"/>
    </row>
    <row r="33" spans="1:13">
      <c r="A33" s="4184" t="s">
        <v>921</v>
      </c>
      <c r="B33" s="4184"/>
      <c r="C33" s="4184"/>
      <c r="D33" s="4184"/>
      <c r="E33" s="4184"/>
      <c r="F33" s="4184"/>
      <c r="G33" s="4184"/>
      <c r="H33" s="4184"/>
      <c r="I33" s="4184"/>
      <c r="J33" s="4184"/>
      <c r="K33" s="4184"/>
      <c r="L33" s="4184"/>
      <c r="M33" s="4184"/>
    </row>
    <row r="34" spans="1:13" ht="6" customHeight="1">
      <c r="A34" s="2761"/>
      <c r="B34" s="2761"/>
      <c r="C34" s="2761"/>
      <c r="D34" s="2761"/>
      <c r="E34" s="2761"/>
      <c r="F34" s="2761"/>
      <c r="G34" s="2761"/>
      <c r="H34" s="2761"/>
      <c r="I34" s="2761"/>
      <c r="J34" s="2761"/>
      <c r="K34" s="2761"/>
      <c r="L34" s="2761"/>
      <c r="M34" s="2761"/>
    </row>
    <row r="35" spans="1:13">
      <c r="A35" s="4180" t="s">
        <v>5154</v>
      </c>
      <c r="B35" s="4180"/>
      <c r="C35" s="4180"/>
      <c r="D35" s="4180"/>
      <c r="E35" s="4180"/>
      <c r="F35" s="4180"/>
      <c r="G35" s="2762"/>
      <c r="H35" s="4180" t="s">
        <v>5209</v>
      </c>
      <c r="I35" s="4180"/>
      <c r="J35" s="4180"/>
      <c r="K35" s="4180"/>
      <c r="L35" s="4180"/>
      <c r="M35" s="4180"/>
    </row>
    <row r="36" spans="1:13" ht="12" customHeight="1">
      <c r="A36" s="4182" t="s">
        <v>922</v>
      </c>
      <c r="B36" s="4182"/>
      <c r="C36" s="4182"/>
      <c r="D36" s="4182"/>
      <c r="E36" s="4182"/>
      <c r="F36" s="4182"/>
      <c r="G36" s="2762"/>
      <c r="H36" s="4182" t="s">
        <v>1979</v>
      </c>
      <c r="I36" s="4182"/>
      <c r="J36" s="4182"/>
      <c r="K36" s="4182"/>
      <c r="L36" s="4182"/>
      <c r="M36" s="4182"/>
    </row>
    <row r="37" spans="1:13" ht="6" customHeight="1">
      <c r="A37" s="2762"/>
      <c r="B37" s="2762"/>
      <c r="C37" s="2762"/>
      <c r="D37" s="2762"/>
      <c r="E37" s="2762"/>
      <c r="F37" s="2762"/>
      <c r="G37" s="2762"/>
      <c r="H37" s="2762"/>
      <c r="I37" s="2762"/>
      <c r="J37" s="2762"/>
      <c r="K37" s="2762"/>
      <c r="L37" s="2762"/>
      <c r="M37" s="2762"/>
    </row>
    <row r="38" spans="1:13">
      <c r="A38" s="4180"/>
      <c r="B38" s="4180"/>
      <c r="C38" s="4180"/>
      <c r="D38" s="4180"/>
      <c r="E38" s="4180"/>
      <c r="F38" s="4180"/>
      <c r="G38" s="2762"/>
      <c r="H38" s="4181">
        <v>43607</v>
      </c>
      <c r="I38" s="4181"/>
      <c r="J38" s="4181"/>
      <c r="K38" s="4181"/>
      <c r="L38" s="4181"/>
      <c r="M38" s="4181"/>
    </row>
    <row r="39" spans="1:13" ht="12" customHeight="1">
      <c r="A39" s="4182" t="s">
        <v>923</v>
      </c>
      <c r="B39" s="4182"/>
      <c r="C39" s="4182"/>
      <c r="D39" s="4182"/>
      <c r="E39" s="4182"/>
      <c r="F39" s="4182"/>
      <c r="G39" s="2762"/>
      <c r="H39" s="4182" t="s">
        <v>924</v>
      </c>
      <c r="I39" s="4182"/>
      <c r="J39" s="4182"/>
      <c r="K39" s="4182"/>
      <c r="L39" s="4182"/>
      <c r="M39" s="4182"/>
    </row>
    <row r="40" spans="1:13" ht="3" customHeight="1">
      <c r="A40" s="2763"/>
      <c r="B40" s="2763"/>
      <c r="C40" s="2763"/>
      <c r="D40" s="2763"/>
      <c r="E40" s="2763"/>
      <c r="F40" s="2763"/>
      <c r="G40" s="2762"/>
      <c r="H40" s="2763"/>
      <c r="I40" s="2763"/>
      <c r="J40" s="2763"/>
      <c r="K40" s="2763"/>
      <c r="L40" s="2763"/>
      <c r="M40" s="2763"/>
    </row>
    <row r="41" spans="1:13" ht="11.7" customHeight="1">
      <c r="A41" s="2758"/>
      <c r="B41" s="2758"/>
      <c r="C41" s="2758"/>
      <c r="D41" s="2758"/>
      <c r="E41" s="2758"/>
      <c r="F41" s="2758"/>
      <c r="G41" s="2758"/>
      <c r="H41" s="4183" t="s">
        <v>925</v>
      </c>
      <c r="I41" s="4183"/>
      <c r="J41" s="4183"/>
      <c r="K41" s="4183"/>
      <c r="L41" s="4183"/>
      <c r="M41" s="4183"/>
    </row>
    <row r="42" spans="1:13" ht="11.7" customHeight="1">
      <c r="A42" s="2758"/>
      <c r="B42" s="2758"/>
      <c r="C42" s="2758"/>
      <c r="D42" s="2758"/>
      <c r="E42" s="2758"/>
      <c r="F42" s="2758"/>
      <c r="G42" s="2758"/>
    </row>
    <row r="43" spans="1:13" ht="11.7" customHeight="1">
      <c r="A43" s="2758"/>
      <c r="B43" s="2758"/>
      <c r="C43" s="2758"/>
      <c r="D43" s="2758"/>
      <c r="E43" s="2758"/>
      <c r="F43" s="2758"/>
      <c r="G43" s="2758"/>
      <c r="H43" s="2758"/>
      <c r="I43" s="2758"/>
      <c r="J43" s="2758"/>
      <c r="K43" s="2758"/>
      <c r="L43" s="2758"/>
      <c r="M43" s="2758"/>
    </row>
    <row r="44" spans="1:13" ht="11.7" customHeight="1">
      <c r="A44" s="2758"/>
      <c r="B44" s="2758"/>
      <c r="C44" s="2758"/>
      <c r="D44" s="2758"/>
      <c r="E44" s="2758"/>
      <c r="F44" s="2758"/>
      <c r="G44" s="2758"/>
      <c r="H44" s="2758"/>
      <c r="I44" s="2758"/>
      <c r="J44" s="2758"/>
      <c r="K44" s="2758"/>
      <c r="L44" s="2758"/>
      <c r="M44" s="2758"/>
    </row>
    <row r="45" spans="1:13" ht="11.7" customHeight="1"/>
    <row r="46" spans="1:13" ht="11.7" customHeight="1"/>
    <row r="47" spans="1:13" ht="11.7" customHeight="1"/>
    <row r="48" spans="1:13" ht="11.7" customHeight="1"/>
    <row r="49" ht="11.7" customHeight="1"/>
  </sheetData>
  <sheetProtection algorithmName="SHA-512" hashValue="ZJjvXxpME3pH4UjGrzRLLLZPma8bRZNi+NfYeZ30yuVGFvf89vbM0krZYCltrf767z5+H4oDabdKi9udDu5Qdg==" saltValue="XDLCO7qjElaIiJqo4Gc0SQ==" spinCount="100000" sheet="1" object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horizontalDpi="1200" verticalDpi="1200"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workbookViewId="0">
      <selection activeCell="H158" sqref="H158:H317"/>
    </sheetView>
  </sheetViews>
  <sheetFormatPr defaultColWidth="8.6640625" defaultRowHeight="13.2"/>
  <cols>
    <col min="1" max="1" width="1.6640625" style="26" customWidth="1"/>
    <col min="2" max="2" width="5.33203125" style="26" customWidth="1"/>
    <col min="3" max="3" width="9.6640625" style="26" customWidth="1"/>
    <col min="4" max="6" width="7.6640625" style="26" customWidth="1"/>
    <col min="7" max="7" width="10.664062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33203125" style="26" customWidth="1"/>
    <col min="18" max="18" width="8.44140625" style="26" customWidth="1"/>
    <col min="19" max="26" width="8.6640625" style="26"/>
    <col min="27" max="28" width="8.6640625" style="512"/>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2" customHeight="1">
      <c r="A2" s="4198" t="s">
        <v>720</v>
      </c>
      <c r="B2" s="4199"/>
      <c r="C2" s="4199"/>
      <c r="D2" s="4199"/>
      <c r="E2" s="4199"/>
      <c r="F2" s="4199"/>
      <c r="G2" s="4199"/>
      <c r="H2" s="4199"/>
      <c r="I2" s="4199"/>
      <c r="J2" s="4199"/>
      <c r="K2" s="4199"/>
      <c r="L2" s="4199"/>
      <c r="M2" s="4199"/>
      <c r="N2" s="4199"/>
      <c r="O2" s="4199"/>
      <c r="P2" s="4199"/>
      <c r="Q2" s="4199"/>
      <c r="R2" s="4200"/>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1726</v>
      </c>
      <c r="B4" s="272"/>
      <c r="C4" s="272"/>
      <c r="D4" s="168"/>
      <c r="E4" s="168"/>
      <c r="F4" s="272" t="s">
        <v>1727</v>
      </c>
      <c r="G4" s="272"/>
      <c r="H4" s="168"/>
      <c r="I4" s="168"/>
      <c r="J4" s="272" t="s">
        <v>1728</v>
      </c>
      <c r="K4" s="272"/>
      <c r="L4" s="272"/>
      <c r="M4" s="272"/>
      <c r="N4" s="272"/>
      <c r="O4" s="272"/>
      <c r="P4" s="168"/>
      <c r="Q4" s="171" t="s">
        <v>3042</v>
      </c>
      <c r="R4" s="171" t="s">
        <v>1729</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7" customHeight="1">
      <c r="A6" s="276" t="s">
        <v>1730</v>
      </c>
      <c r="B6" s="170"/>
      <c r="C6" s="170"/>
      <c r="D6" s="168"/>
      <c r="E6" s="168"/>
      <c r="F6" s="170" t="s">
        <v>507</v>
      </c>
      <c r="G6" s="170"/>
      <c r="H6" s="168"/>
      <c r="I6" s="168"/>
      <c r="J6" s="170" t="s">
        <v>1731</v>
      </c>
      <c r="K6" s="170"/>
      <c r="L6" s="170" t="s">
        <v>2783</v>
      </c>
      <c r="M6" s="170"/>
      <c r="N6" s="170"/>
      <c r="O6" s="170"/>
      <c r="P6" s="168"/>
      <c r="Q6" s="1059" t="s">
        <v>1732</v>
      </c>
      <c r="R6" s="1059">
        <v>1000000</v>
      </c>
      <c r="S6" s="168"/>
      <c r="U6" s="168"/>
      <c r="V6" s="936"/>
      <c r="W6" s="936"/>
      <c r="X6" s="171"/>
      <c r="AA6" s="512"/>
      <c r="AB6" s="512"/>
    </row>
    <row r="7" spans="1:28" s="271" customFormat="1" ht="11.7" customHeight="1">
      <c r="A7" s="276"/>
      <c r="B7" s="170"/>
      <c r="C7" s="170"/>
      <c r="D7" s="168"/>
      <c r="E7" s="168"/>
      <c r="F7" s="170"/>
      <c r="G7" s="170"/>
      <c r="H7" s="168"/>
      <c r="I7" s="168"/>
      <c r="J7" s="170"/>
      <c r="K7" s="170"/>
      <c r="L7" s="170" t="s">
        <v>2785</v>
      </c>
      <c r="M7" s="170"/>
      <c r="N7" s="170"/>
      <c r="O7" s="170"/>
      <c r="P7" s="168"/>
      <c r="Q7" s="1065" t="s">
        <v>1732</v>
      </c>
      <c r="R7" s="637">
        <v>900000</v>
      </c>
      <c r="S7" s="168"/>
      <c r="U7" s="168"/>
      <c r="V7" s="936"/>
      <c r="W7" s="936"/>
      <c r="X7" s="171"/>
      <c r="AA7" s="512"/>
      <c r="AB7" s="512"/>
    </row>
    <row r="8" spans="1:28" s="271" customFormat="1" ht="11.7" customHeight="1">
      <c r="F8" s="170"/>
      <c r="G8" s="170"/>
      <c r="H8" s="168"/>
      <c r="I8" s="168"/>
      <c r="J8" s="170" t="s">
        <v>1255</v>
      </c>
      <c r="K8" s="170"/>
      <c r="L8" s="170"/>
      <c r="M8" s="170"/>
      <c r="N8" s="170"/>
      <c r="O8" s="170"/>
      <c r="P8" s="168"/>
      <c r="Q8" s="1059" t="s">
        <v>1732</v>
      </c>
      <c r="R8" s="1059">
        <v>1800000</v>
      </c>
      <c r="S8" s="168"/>
      <c r="T8" s="168"/>
      <c r="U8" s="168"/>
      <c r="V8" s="936"/>
      <c r="W8" s="936"/>
      <c r="X8" s="171"/>
      <c r="AA8" s="512"/>
      <c r="AB8" s="512"/>
    </row>
    <row r="9" spans="1:28" s="271" customFormat="1" ht="11.7" customHeight="1">
      <c r="F9" s="170" t="s">
        <v>2408</v>
      </c>
      <c r="G9" s="170"/>
      <c r="H9" s="168"/>
      <c r="I9" s="168"/>
      <c r="J9" s="170" t="s">
        <v>1762</v>
      </c>
      <c r="K9" s="170"/>
      <c r="L9" s="170"/>
      <c r="M9" s="170"/>
      <c r="N9" s="170"/>
      <c r="O9" s="170"/>
      <c r="P9" s="168"/>
      <c r="Q9" s="1059">
        <v>1000000</v>
      </c>
      <c r="R9" s="1059">
        <v>2000000</v>
      </c>
      <c r="S9" s="277"/>
      <c r="T9" s="277"/>
      <c r="U9" s="168"/>
      <c r="V9" s="987"/>
      <c r="W9" s="987"/>
      <c r="X9" s="987"/>
      <c r="AA9" s="512"/>
      <c r="AB9" s="512"/>
    </row>
    <row r="10" spans="1:28" s="271" customFormat="1" ht="11.7" customHeight="1">
      <c r="F10" s="170"/>
      <c r="G10" s="170"/>
      <c r="H10" s="168"/>
      <c r="I10" s="168"/>
      <c r="J10" s="170" t="s">
        <v>2383</v>
      </c>
      <c r="K10" s="170"/>
      <c r="L10" s="170"/>
      <c r="M10" s="170"/>
      <c r="N10" s="170"/>
      <c r="O10" s="170"/>
      <c r="P10" s="168"/>
      <c r="Q10" s="1059" t="s">
        <v>1732</v>
      </c>
      <c r="R10" s="1058">
        <v>0.25</v>
      </c>
      <c r="S10" s="168"/>
      <c r="T10" s="168"/>
      <c r="U10" s="168"/>
      <c r="V10" s="936"/>
      <c r="W10" s="936"/>
      <c r="X10" s="171"/>
      <c r="AA10" s="512"/>
      <c r="AB10" s="512"/>
    </row>
    <row r="11" spans="1:28" s="271" customFormat="1" ht="11.7" customHeight="1">
      <c r="A11" s="170"/>
      <c r="B11" s="170"/>
      <c r="C11" s="170"/>
      <c r="D11" s="168"/>
      <c r="E11" s="168"/>
      <c r="F11" s="170" t="s">
        <v>3625</v>
      </c>
      <c r="G11" s="170"/>
      <c r="H11" s="168"/>
      <c r="I11" s="168"/>
      <c r="J11" s="565" t="s">
        <v>3626</v>
      </c>
      <c r="K11" s="281"/>
      <c r="M11" s="281"/>
      <c r="N11" s="281"/>
      <c r="O11" s="170"/>
      <c r="Q11" s="279"/>
      <c r="R11" s="279"/>
      <c r="S11" s="292"/>
      <c r="T11" s="168"/>
      <c r="U11" s="168"/>
      <c r="V11" s="987"/>
      <c r="W11" s="987"/>
      <c r="X11" s="987"/>
      <c r="AA11" s="512"/>
      <c r="AB11" s="512"/>
    </row>
    <row r="12" spans="1:28" s="271" customFormat="1" ht="11.7"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7" customHeight="1">
      <c r="A13" s="170"/>
      <c r="B13" s="170"/>
      <c r="C13" s="170"/>
      <c r="D13" s="2049">
        <v>2018</v>
      </c>
      <c r="E13" s="168"/>
      <c r="F13" s="4201" t="s">
        <v>3357</v>
      </c>
      <c r="G13" s="4202"/>
      <c r="H13" s="4202"/>
      <c r="I13" s="4202"/>
      <c r="J13" s="4203"/>
      <c r="K13" s="281"/>
      <c r="L13" s="566" t="s">
        <v>3577</v>
      </c>
      <c r="M13" s="281"/>
      <c r="N13" s="4201" t="s">
        <v>3357</v>
      </c>
      <c r="O13" s="4202"/>
      <c r="P13" s="4202"/>
      <c r="Q13" s="4202"/>
      <c r="R13" s="4203"/>
      <c r="S13" s="292"/>
      <c r="T13" s="168"/>
      <c r="U13" s="168"/>
      <c r="V13" s="987"/>
      <c r="W13" s="987"/>
      <c r="X13" s="987"/>
      <c r="AA13" s="512"/>
      <c r="AB13" s="512"/>
    </row>
    <row r="14" spans="1:28" s="271" customFormat="1" ht="11.7" customHeight="1">
      <c r="A14" s="170"/>
      <c r="D14" s="567" t="s">
        <v>2612</v>
      </c>
      <c r="E14" s="567" t="s">
        <v>1295</v>
      </c>
      <c r="F14" s="568">
        <v>0</v>
      </c>
      <c r="G14" s="569">
        <v>1</v>
      </c>
      <c r="H14" s="1057">
        <v>2</v>
      </c>
      <c r="I14" s="1057">
        <v>3</v>
      </c>
      <c r="J14" s="570" t="s">
        <v>3354</v>
      </c>
      <c r="L14" s="567" t="s">
        <v>2612</v>
      </c>
      <c r="M14" s="567" t="s">
        <v>1295</v>
      </c>
      <c r="N14" s="568">
        <v>0</v>
      </c>
      <c r="O14" s="569">
        <v>1</v>
      </c>
      <c r="P14" s="1057">
        <v>2</v>
      </c>
      <c r="Q14" s="1057">
        <v>3</v>
      </c>
      <c r="R14" s="570" t="s">
        <v>3354</v>
      </c>
      <c r="S14" s="292"/>
      <c r="T14" s="168"/>
      <c r="U14" s="168"/>
      <c r="V14" s="987"/>
      <c r="W14" s="987"/>
      <c r="X14" s="987"/>
      <c r="AA14" s="512"/>
      <c r="AB14" s="512"/>
    </row>
    <row r="15" spans="1:28" s="271" customFormat="1" ht="11.7" customHeight="1">
      <c r="A15" s="170"/>
      <c r="C15" s="312"/>
      <c r="D15" s="1007" t="s">
        <v>1781</v>
      </c>
      <c r="E15" s="1007" t="s">
        <v>3356</v>
      </c>
      <c r="F15" s="1008">
        <v>137262</v>
      </c>
      <c r="G15" s="1008">
        <v>177349</v>
      </c>
      <c r="H15" s="1008">
        <v>212078</v>
      </c>
      <c r="I15" s="1008">
        <v>252716</v>
      </c>
      <c r="J15" s="1008">
        <v>297120</v>
      </c>
      <c r="L15" s="292" t="s">
        <v>1781</v>
      </c>
      <c r="M15" s="292" t="s">
        <v>3356</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7" customHeight="1">
      <c r="A16" s="170"/>
      <c r="C16" s="312"/>
      <c r="D16" s="1007" t="s">
        <v>1781</v>
      </c>
      <c r="E16" s="1007" t="s">
        <v>3353</v>
      </c>
      <c r="F16" s="1008">
        <v>107293</v>
      </c>
      <c r="G16" s="1008">
        <v>150210</v>
      </c>
      <c r="H16" s="1008">
        <v>193128</v>
      </c>
      <c r="I16" s="1008">
        <v>257504</v>
      </c>
      <c r="J16" s="1008">
        <v>321879</v>
      </c>
      <c r="L16" s="292" t="s">
        <v>1781</v>
      </c>
      <c r="M16" s="292" t="s">
        <v>3353</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7" customHeight="1">
      <c r="A17" s="170"/>
      <c r="C17" s="312"/>
      <c r="D17" s="1007" t="s">
        <v>1781</v>
      </c>
      <c r="E17" s="1007" t="s">
        <v>3351</v>
      </c>
      <c r="F17" s="1008">
        <v>121714</v>
      </c>
      <c r="G17" s="1008">
        <v>158836</v>
      </c>
      <c r="H17" s="1008">
        <v>192451</v>
      </c>
      <c r="I17" s="1008">
        <v>234909</v>
      </c>
      <c r="J17" s="1008">
        <v>278528</v>
      </c>
      <c r="L17" s="292" t="s">
        <v>1781</v>
      </c>
      <c r="M17" s="292" t="s">
        <v>3351</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7" customHeight="1">
      <c r="A18" s="170"/>
      <c r="C18" s="312"/>
      <c r="D18" s="1007" t="s">
        <v>1781</v>
      </c>
      <c r="E18" s="1007" t="s">
        <v>3352</v>
      </c>
      <c r="F18" s="1008">
        <v>107065</v>
      </c>
      <c r="G18" s="1008">
        <v>146199</v>
      </c>
      <c r="H18" s="1008">
        <v>185055</v>
      </c>
      <c r="I18" s="1008">
        <v>243836</v>
      </c>
      <c r="J18" s="1008">
        <v>302233</v>
      </c>
      <c r="L18" s="292" t="s">
        <v>1781</v>
      </c>
      <c r="M18" s="292" t="s">
        <v>3352</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7" customHeight="1">
      <c r="A19" s="170"/>
      <c r="C19" s="312"/>
      <c r="D19" s="999" t="s">
        <v>166</v>
      </c>
      <c r="E19" s="999" t="s">
        <v>3356</v>
      </c>
      <c r="F19" s="1000">
        <v>135505</v>
      </c>
      <c r="G19" s="1000">
        <v>175180</v>
      </c>
      <c r="H19" s="1000">
        <v>209551</v>
      </c>
      <c r="I19" s="1000">
        <v>249808</v>
      </c>
      <c r="J19" s="1000">
        <v>293789</v>
      </c>
      <c r="L19" s="292" t="s">
        <v>166</v>
      </c>
      <c r="M19" s="292" t="s">
        <v>3356</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7" customHeight="1">
      <c r="A20" s="170"/>
      <c r="C20" s="312"/>
      <c r="D20" s="999" t="s">
        <v>166</v>
      </c>
      <c r="E20" s="999" t="s">
        <v>3353</v>
      </c>
      <c r="F20" s="1000">
        <v>105897</v>
      </c>
      <c r="G20" s="1000">
        <v>148256</v>
      </c>
      <c r="H20" s="1000">
        <v>190615</v>
      </c>
      <c r="I20" s="1000">
        <v>254153</v>
      </c>
      <c r="J20" s="1000">
        <v>317691</v>
      </c>
      <c r="L20" s="292" t="s">
        <v>166</v>
      </c>
      <c r="M20" s="292" t="s">
        <v>3353</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7" customHeight="1">
      <c r="A21" s="170"/>
      <c r="C21" s="312"/>
      <c r="D21" s="999" t="s">
        <v>166</v>
      </c>
      <c r="E21" s="999" t="s">
        <v>3351</v>
      </c>
      <c r="F21" s="1000">
        <v>119770</v>
      </c>
      <c r="G21" s="1000">
        <v>156444</v>
      </c>
      <c r="H21" s="1000">
        <v>189688</v>
      </c>
      <c r="I21" s="1000">
        <v>231786</v>
      </c>
      <c r="J21" s="1000">
        <v>274973</v>
      </c>
      <c r="L21" s="292" t="s">
        <v>166</v>
      </c>
      <c r="M21" s="292" t="s">
        <v>3351</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7" customHeight="1">
      <c r="A22" s="170"/>
      <c r="C22" s="312"/>
      <c r="D22" s="999" t="s">
        <v>166</v>
      </c>
      <c r="E22" s="999" t="s">
        <v>3352</v>
      </c>
      <c r="F22" s="1000">
        <v>104962</v>
      </c>
      <c r="G22" s="1000">
        <v>143211</v>
      </c>
      <c r="H22" s="1000">
        <v>181178</v>
      </c>
      <c r="I22" s="1000">
        <v>238632</v>
      </c>
      <c r="J22" s="1000">
        <v>295697</v>
      </c>
      <c r="L22" s="292" t="s">
        <v>166</v>
      </c>
      <c r="M22" s="292" t="s">
        <v>3352</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7" customHeight="1">
      <c r="A23" s="170"/>
      <c r="C23" s="312"/>
      <c r="D23" s="997" t="s">
        <v>1204</v>
      </c>
      <c r="E23" s="997" t="s">
        <v>3356</v>
      </c>
      <c r="F23" s="998">
        <v>147803</v>
      </c>
      <c r="G23" s="998">
        <v>191097</v>
      </c>
      <c r="H23" s="998">
        <v>228604</v>
      </c>
      <c r="I23" s="998">
        <v>272539</v>
      </c>
      <c r="J23" s="998">
        <v>320539</v>
      </c>
      <c r="L23" s="565" t="s">
        <v>1204</v>
      </c>
      <c r="M23" s="565" t="s">
        <v>3356</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7" customHeight="1">
      <c r="A24" s="170"/>
      <c r="C24" s="312"/>
      <c r="D24" s="997" t="s">
        <v>1204</v>
      </c>
      <c r="E24" s="997" t="s">
        <v>3353</v>
      </c>
      <c r="F24" s="998">
        <v>115504</v>
      </c>
      <c r="G24" s="998">
        <v>161705</v>
      </c>
      <c r="H24" s="998">
        <v>207907</v>
      </c>
      <c r="I24" s="998">
        <v>277209</v>
      </c>
      <c r="J24" s="998">
        <v>346512</v>
      </c>
      <c r="L24" s="565" t="s">
        <v>1204</v>
      </c>
      <c r="M24" s="565" t="s">
        <v>3353</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7" customHeight="1">
      <c r="A25" s="170"/>
      <c r="C25" s="312"/>
      <c r="D25" s="997" t="s">
        <v>1204</v>
      </c>
      <c r="E25" s="997" t="s">
        <v>3351</v>
      </c>
      <c r="F25" s="998">
        <v>130569</v>
      </c>
      <c r="G25" s="998">
        <v>170576</v>
      </c>
      <c r="H25" s="998">
        <v>206849</v>
      </c>
      <c r="I25" s="998">
        <v>252801</v>
      </c>
      <c r="J25" s="998">
        <v>299931</v>
      </c>
      <c r="L25" s="565" t="s">
        <v>1204</v>
      </c>
      <c r="M25" s="565" t="s">
        <v>3351</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7" customHeight="1">
      <c r="A26" s="170"/>
      <c r="C26" s="312"/>
      <c r="D26" s="997" t="s">
        <v>1204</v>
      </c>
      <c r="E26" s="997" t="s">
        <v>3352</v>
      </c>
      <c r="F26" s="998">
        <v>114354</v>
      </c>
      <c r="G26" s="998">
        <v>156004</v>
      </c>
      <c r="H26" s="998">
        <v>197346</v>
      </c>
      <c r="I26" s="998">
        <v>259909</v>
      </c>
      <c r="J26" s="998">
        <v>322047</v>
      </c>
      <c r="L26" s="565" t="s">
        <v>1204</v>
      </c>
      <c r="M26" s="565" t="s">
        <v>3352</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7" customHeight="1">
      <c r="A27" s="170"/>
      <c r="C27" s="312"/>
      <c r="D27" s="1001" t="s">
        <v>1329</v>
      </c>
      <c r="E27" s="1001" t="s">
        <v>3356</v>
      </c>
      <c r="F27" s="1002">
        <v>137432</v>
      </c>
      <c r="G27" s="1002">
        <v>177418</v>
      </c>
      <c r="H27" s="1002">
        <v>212058</v>
      </c>
      <c r="I27" s="1002">
        <v>252539</v>
      </c>
      <c r="J27" s="1002">
        <v>296777</v>
      </c>
      <c r="L27" s="565" t="s">
        <v>1329</v>
      </c>
      <c r="M27" s="565" t="s">
        <v>3356</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7" customHeight="1">
      <c r="A28" s="170"/>
      <c r="C28" s="312"/>
      <c r="D28" s="1001" t="s">
        <v>1329</v>
      </c>
      <c r="E28" s="1001" t="s">
        <v>3353</v>
      </c>
      <c r="F28" s="1002">
        <v>107460</v>
      </c>
      <c r="G28" s="1002">
        <v>150444</v>
      </c>
      <c r="H28" s="1002">
        <v>193428</v>
      </c>
      <c r="I28" s="1002">
        <v>257905</v>
      </c>
      <c r="J28" s="1002">
        <v>322381</v>
      </c>
      <c r="L28" s="565" t="s">
        <v>1329</v>
      </c>
      <c r="M28" s="565" t="s">
        <v>3353</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7" customHeight="1">
      <c r="A29" s="170"/>
      <c r="C29" s="312"/>
      <c r="D29" s="1001" t="s">
        <v>1329</v>
      </c>
      <c r="E29" s="1001" t="s">
        <v>3351</v>
      </c>
      <c r="F29" s="1002">
        <v>122447</v>
      </c>
      <c r="G29" s="1002">
        <v>159574</v>
      </c>
      <c r="H29" s="1002">
        <v>193140</v>
      </c>
      <c r="I29" s="1002">
        <v>235376</v>
      </c>
      <c r="J29" s="1002">
        <v>278857</v>
      </c>
      <c r="L29" s="565" t="s">
        <v>1329</v>
      </c>
      <c r="M29" s="565" t="s">
        <v>3351</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7" customHeight="1">
      <c r="A30" s="170"/>
      <c r="C30" s="312"/>
      <c r="D30" s="1001" t="s">
        <v>1329</v>
      </c>
      <c r="E30" s="1001" t="s">
        <v>3352</v>
      </c>
      <c r="F30" s="1002">
        <v>108299</v>
      </c>
      <c r="G30" s="1002">
        <v>148060</v>
      </c>
      <c r="H30" s="1002">
        <v>187554</v>
      </c>
      <c r="I30" s="1002">
        <v>247273</v>
      </c>
      <c r="J30" s="1002">
        <v>306622</v>
      </c>
      <c r="L30" s="565" t="s">
        <v>1329</v>
      </c>
      <c r="M30" s="565" t="s">
        <v>3352</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7" customHeight="1">
      <c r="A31" s="170"/>
      <c r="C31" s="312"/>
      <c r="D31" s="1026" t="s">
        <v>1520</v>
      </c>
      <c r="E31" s="1026" t="s">
        <v>3356</v>
      </c>
      <c r="F31" s="855">
        <v>144345</v>
      </c>
      <c r="G31" s="855">
        <v>186781</v>
      </c>
      <c r="H31" s="855">
        <v>223544</v>
      </c>
      <c r="I31" s="855">
        <v>266662</v>
      </c>
      <c r="J31" s="855">
        <v>313764</v>
      </c>
      <c r="L31" s="1026" t="s">
        <v>1520</v>
      </c>
      <c r="M31" s="565" t="s">
        <v>3356</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7" customHeight="1">
      <c r="A32" s="170"/>
      <c r="C32" s="312"/>
      <c r="D32" s="1026" t="s">
        <v>1520</v>
      </c>
      <c r="E32" s="1026" t="s">
        <v>3353</v>
      </c>
      <c r="F32" s="855">
        <v>112768</v>
      </c>
      <c r="G32" s="855">
        <v>157875</v>
      </c>
      <c r="H32" s="855">
        <v>202982</v>
      </c>
      <c r="I32" s="855">
        <v>270642</v>
      </c>
      <c r="J32" s="855">
        <v>338303</v>
      </c>
      <c r="L32" s="1026" t="s">
        <v>1520</v>
      </c>
      <c r="M32" s="565" t="s">
        <v>3353</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7" customHeight="1">
      <c r="A33" s="170"/>
      <c r="C33" s="312"/>
      <c r="D33" s="1026" t="s">
        <v>1520</v>
      </c>
      <c r="E33" s="1026" t="s">
        <v>3351</v>
      </c>
      <c r="F33" s="855">
        <v>126924</v>
      </c>
      <c r="G33" s="855">
        <v>166037</v>
      </c>
      <c r="H33" s="855">
        <v>201553</v>
      </c>
      <c r="I33" s="855">
        <v>246710</v>
      </c>
      <c r="J33" s="855">
        <v>292932</v>
      </c>
      <c r="L33" s="1026" t="s">
        <v>1520</v>
      </c>
      <c r="M33" s="565" t="s">
        <v>3351</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7" customHeight="1">
      <c r="A34" s="170"/>
      <c r="C34" s="312"/>
      <c r="D34" s="1026" t="s">
        <v>1520</v>
      </c>
      <c r="E34" s="1026" t="s">
        <v>3352</v>
      </c>
      <c r="F34" s="855">
        <v>110561</v>
      </c>
      <c r="G34" s="855">
        <v>150648</v>
      </c>
      <c r="H34" s="855">
        <v>190425</v>
      </c>
      <c r="I34" s="855">
        <v>250646</v>
      </c>
      <c r="J34" s="855">
        <v>310437</v>
      </c>
      <c r="L34" s="1026" t="s">
        <v>1520</v>
      </c>
      <c r="M34" s="565" t="s">
        <v>3352</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7" customHeight="1">
      <c r="A35" s="170"/>
      <c r="C35" s="312"/>
      <c r="D35" s="1003" t="s">
        <v>161</v>
      </c>
      <c r="E35" s="1003" t="s">
        <v>3356</v>
      </c>
      <c r="F35" s="1004">
        <v>136468</v>
      </c>
      <c r="G35" s="1004">
        <v>176299</v>
      </c>
      <c r="H35" s="1004">
        <v>210804</v>
      </c>
      <c r="I35" s="1004">
        <v>251173</v>
      </c>
      <c r="J35" s="1004">
        <v>295283</v>
      </c>
      <c r="L35" s="292" t="s">
        <v>161</v>
      </c>
      <c r="M35" s="292" t="s">
        <v>3356</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7" customHeight="1">
      <c r="A36" s="170"/>
      <c r="C36" s="312"/>
      <c r="D36" s="1003" t="s">
        <v>161</v>
      </c>
      <c r="E36" s="1003" t="s">
        <v>3353</v>
      </c>
      <c r="F36" s="1004">
        <v>106679</v>
      </c>
      <c r="G36" s="1004">
        <v>149350</v>
      </c>
      <c r="H36" s="1004">
        <v>192022</v>
      </c>
      <c r="I36" s="1004">
        <v>256029</v>
      </c>
      <c r="J36" s="1004">
        <v>320036</v>
      </c>
      <c r="L36" s="292" t="s">
        <v>161</v>
      </c>
      <c r="M36" s="292" t="s">
        <v>3353</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7" customHeight="1">
      <c r="A37" s="170"/>
      <c r="C37" s="312"/>
      <c r="D37" s="1003" t="s">
        <v>161</v>
      </c>
      <c r="E37" s="1003" t="s">
        <v>3351</v>
      </c>
      <c r="F37" s="1004">
        <v>121108</v>
      </c>
      <c r="G37" s="1004">
        <v>158009</v>
      </c>
      <c r="H37" s="1004">
        <v>191414</v>
      </c>
      <c r="I37" s="1004">
        <v>233581</v>
      </c>
      <c r="J37" s="1004">
        <v>276915</v>
      </c>
      <c r="L37" s="292" t="s">
        <v>161</v>
      </c>
      <c r="M37" s="292" t="s">
        <v>3351</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7" customHeight="1">
      <c r="A38" s="170"/>
      <c r="C38" s="312"/>
      <c r="D38" s="1003" t="s">
        <v>161</v>
      </c>
      <c r="E38" s="1003" t="s">
        <v>3352</v>
      </c>
      <c r="F38" s="1004">
        <v>106630</v>
      </c>
      <c r="G38" s="1004">
        <v>145635</v>
      </c>
      <c r="H38" s="1004">
        <v>184366</v>
      </c>
      <c r="I38" s="1004">
        <v>242953</v>
      </c>
      <c r="J38" s="1004">
        <v>301159</v>
      </c>
      <c r="L38" s="292" t="s">
        <v>161</v>
      </c>
      <c r="M38" s="292" t="s">
        <v>3352</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7" customHeight="1">
      <c r="A39" s="170"/>
      <c r="C39" s="312"/>
      <c r="D39" s="1005" t="s">
        <v>1319</v>
      </c>
      <c r="E39" s="1005" t="s">
        <v>3356</v>
      </c>
      <c r="F39" s="1006">
        <v>138055</v>
      </c>
      <c r="G39" s="1006">
        <v>178400</v>
      </c>
      <c r="H39" s="1006">
        <v>213351</v>
      </c>
      <c r="I39" s="1006">
        <v>254259</v>
      </c>
      <c r="J39" s="1006">
        <v>298956</v>
      </c>
      <c r="L39" s="565" t="s">
        <v>1319</v>
      </c>
      <c r="M39" s="565" t="s">
        <v>3356</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7" customHeight="1">
      <c r="A40" s="170"/>
      <c r="C40" s="312"/>
      <c r="D40" s="1005" t="s">
        <v>1319</v>
      </c>
      <c r="E40" s="1005" t="s">
        <v>3353</v>
      </c>
      <c r="F40" s="1006">
        <v>107908</v>
      </c>
      <c r="G40" s="1006">
        <v>151071</v>
      </c>
      <c r="H40" s="1006">
        <v>194234</v>
      </c>
      <c r="I40" s="1006">
        <v>258978</v>
      </c>
      <c r="J40" s="1006">
        <v>323723</v>
      </c>
      <c r="L40" s="565" t="s">
        <v>1319</v>
      </c>
      <c r="M40" s="565" t="s">
        <v>3353</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7" customHeight="1">
      <c r="A41" s="170"/>
      <c r="C41" s="312"/>
      <c r="D41" s="1005" t="s">
        <v>1319</v>
      </c>
      <c r="E41" s="1005" t="s">
        <v>3351</v>
      </c>
      <c r="F41" s="1006">
        <v>122320</v>
      </c>
      <c r="G41" s="1006">
        <v>159663</v>
      </c>
      <c r="H41" s="1006">
        <v>193488</v>
      </c>
      <c r="I41" s="1006">
        <v>236238</v>
      </c>
      <c r="J41" s="1006">
        <v>280140</v>
      </c>
      <c r="L41" s="565" t="s">
        <v>1319</v>
      </c>
      <c r="M41" s="565" t="s">
        <v>3351</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7" customHeight="1">
      <c r="A42" s="170"/>
      <c r="C42" s="312"/>
      <c r="D42" s="1005" t="s">
        <v>1319</v>
      </c>
      <c r="E42" s="1005" t="s">
        <v>3352</v>
      </c>
      <c r="F42" s="1006">
        <v>107499</v>
      </c>
      <c r="G42" s="1006">
        <v>146762</v>
      </c>
      <c r="H42" s="1006">
        <v>185744</v>
      </c>
      <c r="I42" s="1006">
        <v>244720</v>
      </c>
      <c r="J42" s="1006">
        <v>303307</v>
      </c>
      <c r="L42" s="565" t="s">
        <v>1319</v>
      </c>
      <c r="M42" s="565" t="s">
        <v>3352</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7" customHeight="1">
      <c r="A43" s="170"/>
      <c r="C43" s="312"/>
      <c r="D43" s="997" t="s">
        <v>1325</v>
      </c>
      <c r="E43" s="997" t="s">
        <v>3356</v>
      </c>
      <c r="F43" s="998">
        <v>141285</v>
      </c>
      <c r="G43" s="998">
        <v>182625</v>
      </c>
      <c r="H43" s="998">
        <v>218438</v>
      </c>
      <c r="I43" s="998">
        <v>260372</v>
      </c>
      <c r="J43" s="998">
        <v>306189</v>
      </c>
      <c r="L43" s="565" t="s">
        <v>1325</v>
      </c>
      <c r="M43" s="565" t="s">
        <v>3356</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7" customHeight="1">
      <c r="A44" s="170"/>
      <c r="C44" s="312"/>
      <c r="D44" s="997" t="s">
        <v>1325</v>
      </c>
      <c r="E44" s="997" t="s">
        <v>3353</v>
      </c>
      <c r="F44" s="998">
        <v>110421</v>
      </c>
      <c r="G44" s="998">
        <v>154590</v>
      </c>
      <c r="H44" s="998">
        <v>198758</v>
      </c>
      <c r="I44" s="998">
        <v>265011</v>
      </c>
      <c r="J44" s="998">
        <v>331263</v>
      </c>
      <c r="L44" s="565" t="s">
        <v>1325</v>
      </c>
      <c r="M44" s="565" t="s">
        <v>3353</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7" customHeight="1">
      <c r="A45" s="170"/>
      <c r="C45" s="312"/>
      <c r="D45" s="997" t="s">
        <v>1325</v>
      </c>
      <c r="E45" s="997" t="s">
        <v>3351</v>
      </c>
      <c r="F45" s="998">
        <v>124989</v>
      </c>
      <c r="G45" s="998">
        <v>163219</v>
      </c>
      <c r="H45" s="998">
        <v>197865</v>
      </c>
      <c r="I45" s="998">
        <v>241707</v>
      </c>
      <c r="J45" s="998">
        <v>286701</v>
      </c>
      <c r="L45" s="565" t="s">
        <v>1325</v>
      </c>
      <c r="M45" s="565" t="s">
        <v>3351</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7" customHeight="1">
      <c r="A46" s="170"/>
      <c r="C46" s="312"/>
      <c r="D46" s="997" t="s">
        <v>1325</v>
      </c>
      <c r="E46" s="997" t="s">
        <v>3352</v>
      </c>
      <c r="F46" s="998">
        <v>109647</v>
      </c>
      <c r="G46" s="998">
        <v>149636</v>
      </c>
      <c r="H46" s="998">
        <v>189334</v>
      </c>
      <c r="I46" s="998">
        <v>249402</v>
      </c>
      <c r="J46" s="998">
        <v>309066</v>
      </c>
      <c r="L46" s="565" t="s">
        <v>1325</v>
      </c>
      <c r="M46" s="565" t="s">
        <v>3352</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7" customHeight="1">
      <c r="A47" s="170"/>
      <c r="C47" s="312"/>
      <c r="D47" s="1001" t="s">
        <v>1695</v>
      </c>
      <c r="E47" s="1001" t="s">
        <v>3356</v>
      </c>
      <c r="F47" s="1002">
        <v>129610</v>
      </c>
      <c r="G47" s="1002">
        <v>167690</v>
      </c>
      <c r="H47" s="1002">
        <v>200679</v>
      </c>
      <c r="I47" s="1002">
        <v>239361</v>
      </c>
      <c r="J47" s="1002">
        <v>281618</v>
      </c>
      <c r="L47" s="565" t="s">
        <v>1695</v>
      </c>
      <c r="M47" s="565" t="s">
        <v>3356</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7" customHeight="1">
      <c r="A48" s="170"/>
      <c r="C48" s="312"/>
      <c r="D48" s="1001" t="s">
        <v>1695</v>
      </c>
      <c r="E48" s="1001" t="s">
        <v>3353</v>
      </c>
      <c r="F48" s="1002">
        <v>101262</v>
      </c>
      <c r="G48" s="1002">
        <v>141766</v>
      </c>
      <c r="H48" s="1002">
        <v>182271</v>
      </c>
      <c r="I48" s="1002">
        <v>243028</v>
      </c>
      <c r="J48" s="1002">
        <v>303785</v>
      </c>
      <c r="L48" s="565" t="s">
        <v>1695</v>
      </c>
      <c r="M48" s="565" t="s">
        <v>3353</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7" customHeight="1">
      <c r="A49" s="170"/>
      <c r="C49" s="312"/>
      <c r="D49" s="1001" t="s">
        <v>1695</v>
      </c>
      <c r="E49" s="1001" t="s">
        <v>3351</v>
      </c>
      <c r="F49" s="1002">
        <v>114063</v>
      </c>
      <c r="G49" s="1002">
        <v>149176</v>
      </c>
      <c r="H49" s="1002">
        <v>181052</v>
      </c>
      <c r="I49" s="1002">
        <v>221554</v>
      </c>
      <c r="J49" s="1002">
        <v>263026</v>
      </c>
      <c r="L49" s="565" t="s">
        <v>1695</v>
      </c>
      <c r="M49" s="565" t="s">
        <v>3351</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7" customHeight="1">
      <c r="A50" s="170"/>
      <c r="C50" s="312"/>
      <c r="D50" s="1001" t="s">
        <v>1695</v>
      </c>
      <c r="E50" s="1001" t="s">
        <v>3352</v>
      </c>
      <c r="F50" s="1002">
        <v>99454</v>
      </c>
      <c r="G50" s="1002">
        <v>135544</v>
      </c>
      <c r="H50" s="1002">
        <v>171357</v>
      </c>
      <c r="I50" s="1002">
        <v>225572</v>
      </c>
      <c r="J50" s="1002">
        <v>279402</v>
      </c>
      <c r="L50" s="565" t="s">
        <v>1695</v>
      </c>
      <c r="M50" s="565" t="s">
        <v>3352</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3555</v>
      </c>
      <c r="G52" s="170"/>
      <c r="H52" s="280"/>
      <c r="I52" s="168"/>
      <c r="J52" s="170"/>
      <c r="K52" s="281"/>
      <c r="L52" s="281"/>
      <c r="M52" s="281"/>
      <c r="N52" s="281"/>
      <c r="O52" s="170"/>
      <c r="P52" s="168"/>
      <c r="Q52" s="279"/>
      <c r="R52" s="279"/>
      <c r="S52" s="168"/>
      <c r="T52" s="168"/>
      <c r="U52" s="168"/>
      <c r="AA52" s="512"/>
      <c r="AB52" s="512"/>
    </row>
    <row r="53" spans="1:28" s="271" customFormat="1" ht="11.7" customHeight="1">
      <c r="A53" s="170"/>
      <c r="B53" s="170"/>
      <c r="C53" s="170"/>
      <c r="D53" s="168"/>
      <c r="E53" s="168"/>
      <c r="F53" s="170"/>
      <c r="G53" s="170"/>
      <c r="H53" s="168"/>
      <c r="I53" s="168"/>
      <c r="J53" s="278" t="s">
        <v>484</v>
      </c>
      <c r="K53" s="278" t="s">
        <v>2439</v>
      </c>
      <c r="L53" s="278" t="s">
        <v>2440</v>
      </c>
      <c r="M53" s="278" t="s">
        <v>2441</v>
      </c>
      <c r="N53" s="278" t="s">
        <v>2442</v>
      </c>
      <c r="O53" s="170"/>
      <c r="P53" s="168"/>
      <c r="Q53" s="171" t="s">
        <v>3042</v>
      </c>
      <c r="R53" s="171" t="s">
        <v>1729</v>
      </c>
      <c r="S53" s="277"/>
      <c r="T53" s="277"/>
      <c r="U53" s="168"/>
      <c r="V53" s="987"/>
      <c r="W53" s="987"/>
      <c r="X53" s="987"/>
      <c r="AA53" s="512"/>
      <c r="AB53" s="512"/>
    </row>
    <row r="54" spans="1:28" s="271" customFormat="1" ht="11.7" customHeight="1">
      <c r="A54" s="170"/>
      <c r="B54" s="170"/>
      <c r="C54" s="170"/>
      <c r="D54" s="168"/>
      <c r="E54" s="168"/>
      <c r="F54" s="170" t="s">
        <v>3542</v>
      </c>
      <c r="G54" s="170"/>
      <c r="H54" s="168"/>
      <c r="I54" s="168"/>
      <c r="J54" s="636">
        <v>110481</v>
      </c>
      <c r="K54" s="636">
        <v>126647</v>
      </c>
      <c r="L54" s="636">
        <v>154003</v>
      </c>
      <c r="M54" s="636">
        <v>199229</v>
      </c>
      <c r="N54" s="636">
        <v>199229</v>
      </c>
      <c r="O54" s="170"/>
      <c r="P54" s="168"/>
      <c r="Q54" s="637">
        <v>1000</v>
      </c>
      <c r="R54" s="637">
        <v>0</v>
      </c>
      <c r="S54" s="292" t="s">
        <v>3541</v>
      </c>
      <c r="T54" s="277"/>
      <c r="U54" s="168"/>
      <c r="V54" s="987"/>
      <c r="W54" s="987"/>
      <c r="X54" s="987"/>
      <c r="AA54" s="512"/>
      <c r="AB54" s="512"/>
    </row>
    <row r="55" spans="1:28" s="271" customFormat="1" ht="11.7" customHeight="1">
      <c r="A55" s="170"/>
      <c r="B55" s="170"/>
      <c r="C55" s="170"/>
      <c r="D55" s="168"/>
      <c r="E55" s="168"/>
      <c r="O55" s="170"/>
      <c r="T55" s="277"/>
      <c r="U55" s="168"/>
      <c r="V55" s="987"/>
      <c r="W55" s="987"/>
      <c r="X55" s="987"/>
      <c r="AA55" s="512"/>
      <c r="AB55" s="512"/>
    </row>
    <row r="56" spans="1:28" s="271" customFormat="1" ht="11.7" customHeight="1">
      <c r="A56" s="272" t="s">
        <v>1726</v>
      </c>
      <c r="B56" s="272"/>
      <c r="C56" s="272"/>
      <c r="D56" s="168"/>
      <c r="E56" s="168"/>
      <c r="F56" s="272" t="s">
        <v>1727</v>
      </c>
      <c r="G56" s="272"/>
      <c r="H56" s="168"/>
      <c r="I56" s="168"/>
      <c r="J56" s="272" t="s">
        <v>1728</v>
      </c>
      <c r="K56" s="272"/>
      <c r="L56" s="272"/>
      <c r="M56" s="272"/>
      <c r="N56" s="272"/>
      <c r="O56" s="272"/>
      <c r="P56" s="168"/>
      <c r="Q56" s="171" t="s">
        <v>3042</v>
      </c>
      <c r="R56" s="171" t="s">
        <v>1729</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1194</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7" customHeight="1">
      <c r="A59" s="168"/>
      <c r="B59" s="170" t="s">
        <v>1194</v>
      </c>
      <c r="C59" s="170"/>
      <c r="D59" s="168"/>
      <c r="E59" s="168"/>
      <c r="F59" s="170" t="s">
        <v>1195</v>
      </c>
      <c r="G59" s="170" t="s">
        <v>3659</v>
      </c>
      <c r="H59" s="168"/>
      <c r="I59" s="168"/>
      <c r="J59" s="170" t="s">
        <v>1529</v>
      </c>
      <c r="K59" s="170"/>
      <c r="L59" s="170"/>
      <c r="M59" s="170"/>
      <c r="N59" s="170"/>
      <c r="O59" s="170"/>
      <c r="P59" s="168"/>
      <c r="Q59" s="1107">
        <v>5000</v>
      </c>
      <c r="R59" s="282" t="s">
        <v>1732</v>
      </c>
      <c r="S59" s="283"/>
      <c r="AA59" s="512"/>
      <c r="AB59" s="512"/>
    </row>
    <row r="60" spans="1:28" s="271" customFormat="1" ht="11.7" customHeight="1">
      <c r="A60" s="168"/>
      <c r="B60" s="170"/>
      <c r="C60" s="170"/>
      <c r="D60" s="168"/>
      <c r="E60" s="168"/>
      <c r="F60" s="170"/>
      <c r="G60" s="170" t="s">
        <v>3658</v>
      </c>
      <c r="H60" s="168"/>
      <c r="I60" s="168"/>
      <c r="J60" s="170" t="s">
        <v>1529</v>
      </c>
      <c r="K60" s="170"/>
      <c r="L60" s="170"/>
      <c r="M60" s="170"/>
      <c r="N60" s="170"/>
      <c r="O60" s="170"/>
      <c r="P60" s="168"/>
      <c r="Q60" s="1107">
        <v>4500</v>
      </c>
      <c r="R60" s="282" t="s">
        <v>1732</v>
      </c>
      <c r="S60" s="283"/>
      <c r="AA60" s="512"/>
      <c r="AB60" s="512"/>
    </row>
    <row r="61" spans="1:28" s="271" customFormat="1" ht="11.7" customHeight="1">
      <c r="A61" s="168"/>
      <c r="B61" s="170"/>
      <c r="C61" s="170"/>
      <c r="D61" s="168"/>
      <c r="E61" s="168"/>
      <c r="F61" s="170" t="s">
        <v>2598</v>
      </c>
      <c r="G61" s="170" t="s">
        <v>2612</v>
      </c>
      <c r="H61" s="168"/>
      <c r="I61" s="168"/>
      <c r="J61" s="170" t="s">
        <v>1529</v>
      </c>
      <c r="K61" s="170"/>
      <c r="L61" s="170"/>
      <c r="M61" s="170"/>
      <c r="N61" s="170"/>
      <c r="O61" s="170"/>
      <c r="P61" s="168"/>
      <c r="Q61" s="1107">
        <v>3750</v>
      </c>
      <c r="R61" s="282" t="s">
        <v>1732</v>
      </c>
      <c r="S61" s="283"/>
      <c r="AA61" s="512"/>
      <c r="AB61" s="512"/>
    </row>
    <row r="62" spans="1:28" s="271" customFormat="1" ht="11.7" customHeight="1">
      <c r="A62" s="170"/>
      <c r="B62" s="170"/>
      <c r="C62" s="170"/>
      <c r="D62" s="168"/>
      <c r="E62" s="168"/>
      <c r="G62" s="170" t="s">
        <v>2611</v>
      </c>
      <c r="H62" s="168"/>
      <c r="I62" s="168"/>
      <c r="J62" s="170" t="s">
        <v>1529</v>
      </c>
      <c r="K62" s="170"/>
      <c r="L62" s="170"/>
      <c r="M62" s="170"/>
      <c r="N62" s="170"/>
      <c r="O62" s="170"/>
      <c r="P62" s="168"/>
      <c r="Q62" s="1107">
        <v>3250</v>
      </c>
      <c r="R62" s="282" t="s">
        <v>1732</v>
      </c>
      <c r="S62" s="283"/>
      <c r="AA62" s="512"/>
      <c r="AB62" s="512"/>
    </row>
    <row r="63" spans="1:28" s="271" customFormat="1" ht="11.7" customHeight="1">
      <c r="A63" s="170"/>
      <c r="B63" s="170"/>
      <c r="C63" s="170"/>
      <c r="D63" s="168"/>
      <c r="E63" s="168"/>
      <c r="G63" s="170" t="s">
        <v>3942</v>
      </c>
      <c r="H63" s="168"/>
      <c r="I63" s="168"/>
      <c r="J63" s="170" t="s">
        <v>1529</v>
      </c>
      <c r="K63" s="170"/>
      <c r="L63" s="170"/>
      <c r="M63" s="170"/>
      <c r="N63" s="170"/>
      <c r="O63" s="170"/>
      <c r="P63" s="168"/>
      <c r="Q63" s="1107">
        <v>3000</v>
      </c>
      <c r="R63" s="282" t="s">
        <v>1732</v>
      </c>
      <c r="S63" s="283"/>
      <c r="T63" s="283"/>
      <c r="U63" s="283"/>
      <c r="AA63" s="512"/>
      <c r="AB63" s="512"/>
    </row>
    <row r="64" spans="1:28" s="271" customFormat="1" ht="11.7" customHeight="1">
      <c r="A64" s="170"/>
      <c r="B64" s="170" t="s">
        <v>1196</v>
      </c>
      <c r="C64" s="170"/>
      <c r="D64" s="168"/>
      <c r="E64" s="168"/>
      <c r="F64" s="170" t="s">
        <v>276</v>
      </c>
      <c r="G64" s="170"/>
      <c r="H64" s="168"/>
      <c r="I64" s="168"/>
      <c r="J64" s="170" t="s">
        <v>1529</v>
      </c>
      <c r="K64" s="170"/>
      <c r="L64" s="170"/>
      <c r="M64" s="170"/>
      <c r="N64" s="170"/>
      <c r="O64" s="170"/>
      <c r="P64" s="168"/>
      <c r="Q64" s="1108">
        <v>350</v>
      </c>
      <c r="R64" s="282" t="s">
        <v>1732</v>
      </c>
      <c r="S64" s="283"/>
      <c r="T64" s="283"/>
      <c r="U64" s="283"/>
      <c r="AA64" s="512"/>
      <c r="AB64" s="512"/>
    </row>
    <row r="65" spans="1:28" s="271" customFormat="1" ht="11.7" customHeight="1">
      <c r="A65" s="170"/>
      <c r="B65" s="170"/>
      <c r="C65" s="170"/>
      <c r="D65" s="168"/>
      <c r="E65" s="168"/>
      <c r="F65" s="170" t="s">
        <v>1197</v>
      </c>
      <c r="G65" s="170"/>
      <c r="H65" s="168"/>
      <c r="I65" s="168"/>
      <c r="J65" s="170" t="s">
        <v>1529</v>
      </c>
      <c r="K65" s="170"/>
      <c r="L65" s="170"/>
      <c r="M65" s="170"/>
      <c r="N65" s="170"/>
      <c r="O65" s="170"/>
      <c r="P65" s="168"/>
      <c r="Q65" s="1108">
        <v>250</v>
      </c>
      <c r="R65" s="282" t="s">
        <v>1732</v>
      </c>
      <c r="S65" s="283"/>
      <c r="T65" s="283"/>
      <c r="U65" s="283"/>
      <c r="AA65" s="512"/>
      <c r="AB65" s="512"/>
    </row>
    <row r="66" spans="1:28" s="271" customFormat="1" ht="11.7" customHeight="1">
      <c r="A66" s="170"/>
      <c r="B66" s="170"/>
      <c r="C66" s="170"/>
      <c r="D66" s="170"/>
      <c r="E66" s="168"/>
      <c r="F66" s="170" t="s">
        <v>3429</v>
      </c>
      <c r="G66" s="170"/>
      <c r="H66" s="168"/>
      <c r="I66" s="168"/>
      <c r="J66" s="170" t="s">
        <v>1529</v>
      </c>
      <c r="K66" s="170"/>
      <c r="L66" s="170"/>
      <c r="M66" s="170"/>
      <c r="N66" s="170"/>
      <c r="O66" s="170"/>
      <c r="P66" s="168"/>
      <c r="Q66" s="1108">
        <v>420</v>
      </c>
      <c r="R66" s="282" t="s">
        <v>1732</v>
      </c>
      <c r="S66" s="283"/>
      <c r="T66" s="283"/>
      <c r="U66" s="283"/>
      <c r="AA66" s="512"/>
      <c r="AB66" s="512"/>
    </row>
    <row r="67" spans="1:28" s="271" customFormat="1" ht="11.7" customHeight="1">
      <c r="A67" s="170"/>
      <c r="B67" s="170"/>
      <c r="C67" s="170"/>
      <c r="D67" s="170"/>
      <c r="E67" s="168"/>
      <c r="F67" s="170" t="s">
        <v>366</v>
      </c>
      <c r="G67" s="170"/>
      <c r="H67" s="168"/>
      <c r="I67" s="168"/>
      <c r="J67" s="170" t="s">
        <v>1529</v>
      </c>
      <c r="K67" s="170"/>
      <c r="L67" s="170"/>
      <c r="M67" s="170"/>
      <c r="N67" s="170"/>
      <c r="O67" s="170"/>
      <c r="P67" s="168"/>
      <c r="Q67" s="1108">
        <v>420</v>
      </c>
      <c r="R67" s="282" t="s">
        <v>1732</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1198</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7" customHeight="1">
      <c r="A70" s="170"/>
      <c r="B70" s="170" t="s">
        <v>759</v>
      </c>
      <c r="C70" s="170"/>
      <c r="D70" s="168"/>
      <c r="E70" s="168"/>
      <c r="F70" s="170" t="s">
        <v>276</v>
      </c>
      <c r="G70" s="170"/>
      <c r="H70" s="168"/>
      <c r="I70" s="168"/>
      <c r="J70" s="170" t="s">
        <v>3863</v>
      </c>
      <c r="K70" s="170"/>
      <c r="L70" s="170"/>
      <c r="M70" s="170"/>
      <c r="N70" s="170"/>
      <c r="O70" s="170"/>
      <c r="P70" s="168"/>
      <c r="Q70" s="1059">
        <v>25000</v>
      </c>
      <c r="R70" s="282" t="s">
        <v>506</v>
      </c>
      <c r="S70" s="283"/>
      <c r="T70" s="283"/>
      <c r="U70" s="283"/>
      <c r="AA70" s="512"/>
      <c r="AB70" s="512"/>
    </row>
    <row r="71" spans="1:28" s="271" customFormat="1" ht="11.7" customHeight="1">
      <c r="A71" s="170"/>
      <c r="B71" s="170" t="s">
        <v>1960</v>
      </c>
      <c r="C71" s="170"/>
      <c r="D71" s="168"/>
      <c r="E71" s="168"/>
      <c r="F71" s="170" t="s">
        <v>1197</v>
      </c>
      <c r="G71" s="170"/>
      <c r="H71" s="168"/>
      <c r="I71" s="168"/>
      <c r="J71" s="170" t="s">
        <v>3943</v>
      </c>
      <c r="K71" s="170"/>
      <c r="L71" s="170"/>
      <c r="M71" s="170"/>
      <c r="N71" s="170"/>
      <c r="O71" s="170"/>
      <c r="P71" s="168"/>
      <c r="Q71" s="1058" t="s">
        <v>969</v>
      </c>
      <c r="R71" s="1058">
        <v>0.05</v>
      </c>
      <c r="S71" s="283"/>
      <c r="T71" s="283"/>
      <c r="U71" s="283"/>
      <c r="AA71" s="512"/>
      <c r="AB71" s="512"/>
    </row>
    <row r="72" spans="1:28" s="271" customFormat="1" ht="11.7" customHeight="1">
      <c r="A72" s="170"/>
      <c r="B72" s="170"/>
      <c r="C72" s="170"/>
      <c r="D72" s="168"/>
      <c r="E72" s="168"/>
      <c r="F72" s="170" t="s">
        <v>276</v>
      </c>
      <c r="G72" s="170"/>
      <c r="H72" s="168"/>
      <c r="I72" s="168"/>
      <c r="J72" s="170" t="s">
        <v>3943</v>
      </c>
      <c r="K72" s="170"/>
      <c r="L72" s="170"/>
      <c r="M72" s="170"/>
      <c r="N72" s="170"/>
      <c r="O72" s="170"/>
      <c r="P72" s="168"/>
      <c r="Q72" s="1058" t="s">
        <v>969</v>
      </c>
      <c r="R72" s="1058">
        <v>0.1</v>
      </c>
      <c r="S72" s="283"/>
      <c r="T72" s="283"/>
      <c r="U72" s="283"/>
      <c r="AA72" s="512"/>
      <c r="AB72" s="512"/>
    </row>
    <row r="73" spans="1:28" s="271" customFormat="1" ht="11.7" customHeight="1">
      <c r="A73" s="170"/>
      <c r="B73" s="170" t="s">
        <v>2037</v>
      </c>
      <c r="C73" s="170"/>
      <c r="D73" s="168"/>
      <c r="E73" s="168"/>
      <c r="F73" s="170" t="s">
        <v>1732</v>
      </c>
      <c r="G73" s="170"/>
      <c r="H73" s="168"/>
      <c r="I73" s="168"/>
      <c r="J73" s="170" t="s">
        <v>3944</v>
      </c>
      <c r="K73" s="170"/>
      <c r="L73" s="170"/>
      <c r="M73" s="170"/>
      <c r="N73" s="170"/>
      <c r="O73" s="170"/>
      <c r="P73" s="168"/>
      <c r="Q73" s="282" t="s">
        <v>1732</v>
      </c>
      <c r="R73" s="1058">
        <v>0.06</v>
      </c>
      <c r="S73" s="283"/>
      <c r="T73" s="283"/>
      <c r="U73" s="283"/>
      <c r="AA73" s="512"/>
      <c r="AB73" s="512"/>
    </row>
    <row r="74" spans="1:28" s="271" customFormat="1" ht="11.7" customHeight="1">
      <c r="A74" s="170"/>
      <c r="B74" s="170" t="s">
        <v>2038</v>
      </c>
      <c r="C74" s="170"/>
      <c r="D74" s="168"/>
      <c r="E74" s="168"/>
      <c r="F74" s="170" t="s">
        <v>1732</v>
      </c>
      <c r="G74" s="170"/>
      <c r="H74" s="168"/>
      <c r="I74" s="168"/>
      <c r="J74" s="170" t="s">
        <v>3944</v>
      </c>
      <c r="K74" s="170"/>
      <c r="L74" s="170"/>
      <c r="M74" s="170"/>
      <c r="N74" s="170"/>
      <c r="O74" s="170"/>
      <c r="P74" s="168"/>
      <c r="Q74" s="282" t="s">
        <v>1732</v>
      </c>
      <c r="R74" s="1058">
        <v>0.02</v>
      </c>
      <c r="S74" s="283"/>
      <c r="T74" s="283"/>
      <c r="U74" s="283"/>
      <c r="AA74" s="512"/>
      <c r="AB74" s="512"/>
    </row>
    <row r="75" spans="1:28" s="271" customFormat="1" ht="11.7" customHeight="1">
      <c r="A75" s="170"/>
      <c r="B75" s="170" t="s">
        <v>2815</v>
      </c>
      <c r="C75" s="170"/>
      <c r="D75" s="168"/>
      <c r="E75" s="168"/>
      <c r="F75" s="170" t="s">
        <v>1732</v>
      </c>
      <c r="G75" s="170"/>
      <c r="H75" s="168"/>
      <c r="I75" s="168"/>
      <c r="J75" s="170" t="s">
        <v>3944</v>
      </c>
      <c r="K75" s="170"/>
      <c r="L75" s="170"/>
      <c r="M75" s="170"/>
      <c r="N75" s="170"/>
      <c r="O75" s="170"/>
      <c r="P75" s="168"/>
      <c r="Q75" s="282" t="s">
        <v>1732</v>
      </c>
      <c r="R75" s="1058">
        <v>0.06</v>
      </c>
      <c r="S75" s="283"/>
      <c r="T75" s="283"/>
      <c r="U75" s="283"/>
      <c r="AA75" s="512"/>
      <c r="AB75" s="512"/>
    </row>
    <row r="76" spans="1:28" s="271" customFormat="1" ht="11.7" customHeight="1">
      <c r="A76" s="170"/>
      <c r="B76" s="170" t="s">
        <v>1291</v>
      </c>
      <c r="C76" s="170"/>
      <c r="D76" s="168"/>
      <c r="E76" s="168"/>
      <c r="F76" s="170" t="s">
        <v>1126</v>
      </c>
      <c r="G76" s="170"/>
      <c r="H76" s="168"/>
      <c r="I76" s="168"/>
      <c r="J76" s="170"/>
      <c r="K76" s="170"/>
      <c r="L76" s="170"/>
      <c r="M76" s="170"/>
      <c r="N76" s="170"/>
      <c r="O76" s="170"/>
      <c r="P76" s="168"/>
      <c r="Q76" s="282" t="s">
        <v>1732</v>
      </c>
      <c r="R76" s="1066">
        <v>20000</v>
      </c>
      <c r="S76" s="283"/>
      <c r="T76" s="283"/>
      <c r="U76" s="283"/>
      <c r="AA76" s="512"/>
      <c r="AB76" s="512"/>
    </row>
    <row r="77" spans="1:28" s="271" customFormat="1" ht="11.7" customHeight="1">
      <c r="A77" s="168"/>
      <c r="B77" s="283" t="s">
        <v>3844</v>
      </c>
      <c r="C77" s="170"/>
      <c r="D77" s="170"/>
      <c r="E77" s="168"/>
      <c r="F77" s="172" t="s">
        <v>3477</v>
      </c>
      <c r="G77" s="170"/>
      <c r="H77" s="168"/>
      <c r="I77" s="168"/>
      <c r="J77" s="170" t="s">
        <v>1199</v>
      </c>
      <c r="K77" s="170"/>
      <c r="L77" s="170"/>
      <c r="M77" s="170"/>
      <c r="N77" s="170"/>
      <c r="O77" s="170"/>
      <c r="P77" s="168"/>
      <c r="Q77" s="4190">
        <v>1000</v>
      </c>
      <c r="R77" s="4191"/>
      <c r="S77" s="283"/>
      <c r="T77" s="283"/>
      <c r="U77" s="283"/>
      <c r="AA77" s="512"/>
      <c r="AB77" s="512"/>
    </row>
    <row r="78" spans="1:28" s="271" customFormat="1" ht="11.7" customHeight="1">
      <c r="A78" s="170"/>
      <c r="B78" s="170"/>
      <c r="C78" s="170"/>
      <c r="D78" s="170"/>
      <c r="E78" s="168"/>
      <c r="G78" s="170"/>
      <c r="H78" s="168"/>
      <c r="I78" s="168"/>
      <c r="J78" s="170" t="s">
        <v>1200</v>
      </c>
      <c r="K78" s="170"/>
      <c r="L78" s="170"/>
      <c r="M78" s="170"/>
      <c r="N78" s="170"/>
      <c r="O78" s="170"/>
      <c r="P78" s="168"/>
      <c r="Q78" s="4190">
        <v>500</v>
      </c>
      <c r="R78" s="4191"/>
      <c r="S78" s="283"/>
      <c r="T78" s="283"/>
      <c r="U78" s="283"/>
      <c r="AA78" s="512"/>
      <c r="AB78" s="512"/>
    </row>
    <row r="79" spans="1:28" s="271" customFormat="1" ht="11.7" customHeight="1">
      <c r="A79" s="170"/>
      <c r="B79" s="170"/>
      <c r="C79" s="170"/>
      <c r="D79" s="170"/>
      <c r="E79" s="168"/>
      <c r="F79" s="172" t="s">
        <v>3952</v>
      </c>
      <c r="G79" s="170"/>
      <c r="H79" s="168"/>
      <c r="I79" s="168"/>
      <c r="J79" s="172" t="s">
        <v>3948</v>
      </c>
      <c r="K79" s="170"/>
      <c r="L79" s="170"/>
      <c r="M79" s="170"/>
      <c r="N79" s="170"/>
      <c r="O79" s="170"/>
      <c r="P79" s="168"/>
      <c r="Q79" s="4190">
        <v>1500</v>
      </c>
      <c r="R79" s="4191"/>
      <c r="S79" s="283"/>
      <c r="T79" s="283"/>
      <c r="U79" s="283"/>
      <c r="AA79" s="512"/>
      <c r="AB79" s="512"/>
    </row>
    <row r="80" spans="1:28" s="271" customFormat="1" ht="11.7" customHeight="1">
      <c r="A80" s="170"/>
      <c r="B80" s="170"/>
      <c r="C80" s="170"/>
      <c r="D80" s="170"/>
      <c r="E80" s="168"/>
      <c r="G80" s="170"/>
      <c r="H80" s="168"/>
      <c r="I80" s="168"/>
      <c r="J80" s="172" t="s">
        <v>3949</v>
      </c>
      <c r="K80" s="170"/>
      <c r="L80" s="170"/>
      <c r="M80" s="170"/>
      <c r="N80" s="170"/>
      <c r="O80" s="170"/>
      <c r="P80" s="168"/>
      <c r="Q80" s="4190">
        <v>1500</v>
      </c>
      <c r="R80" s="4191"/>
      <c r="S80" s="283"/>
      <c r="T80" s="283"/>
      <c r="U80" s="283"/>
      <c r="AA80" s="512"/>
      <c r="AB80" s="512"/>
    </row>
    <row r="81" spans="1:28" s="271" customFormat="1" ht="11.7" customHeight="1">
      <c r="A81" s="170"/>
      <c r="B81" s="170"/>
      <c r="C81" s="170"/>
      <c r="D81" s="170"/>
      <c r="E81" s="168"/>
      <c r="G81" s="170"/>
      <c r="H81" s="168"/>
      <c r="I81" s="168"/>
      <c r="J81" s="172" t="s">
        <v>3950</v>
      </c>
      <c r="K81" s="170"/>
      <c r="L81" s="170"/>
      <c r="M81" s="170"/>
      <c r="N81" s="170"/>
      <c r="O81" s="170"/>
      <c r="P81" s="168"/>
      <c r="Q81" s="4190">
        <v>1500</v>
      </c>
      <c r="R81" s="4191"/>
      <c r="S81" s="283"/>
      <c r="T81" s="283"/>
      <c r="U81" s="283"/>
      <c r="AA81" s="512"/>
      <c r="AB81" s="512"/>
    </row>
    <row r="82" spans="1:28" s="271" customFormat="1" ht="11.7" customHeight="1">
      <c r="A82" s="170"/>
      <c r="B82" s="170"/>
      <c r="C82" s="170"/>
      <c r="D82" s="170"/>
      <c r="E82" s="168"/>
      <c r="G82" s="170"/>
      <c r="H82" s="168"/>
      <c r="I82" s="168"/>
      <c r="J82" s="172" t="s">
        <v>3951</v>
      </c>
      <c r="K82" s="170"/>
      <c r="L82" s="170"/>
      <c r="M82" s="170"/>
      <c r="N82" s="170"/>
      <c r="O82" s="170"/>
      <c r="P82" s="168"/>
      <c r="Q82" s="4190">
        <v>1500</v>
      </c>
      <c r="R82" s="4191"/>
      <c r="S82" s="283"/>
      <c r="T82" s="283"/>
      <c r="U82" s="283"/>
      <c r="AA82" s="512"/>
      <c r="AB82" s="512"/>
    </row>
    <row r="83" spans="1:28" s="271" customFormat="1" ht="11.7" customHeight="1">
      <c r="A83" s="170"/>
      <c r="B83" s="170"/>
      <c r="C83" s="170"/>
      <c r="D83" s="170"/>
      <c r="E83" s="168"/>
      <c r="F83" s="172" t="s">
        <v>4733</v>
      </c>
      <c r="G83" s="170"/>
      <c r="H83" s="168"/>
      <c r="I83" s="168"/>
      <c r="J83" s="170" t="s">
        <v>1199</v>
      </c>
      <c r="K83" s="170"/>
      <c r="L83" s="170"/>
      <c r="M83" s="170"/>
      <c r="N83" s="170"/>
      <c r="O83" s="170"/>
      <c r="P83" s="168"/>
      <c r="Q83" s="4190">
        <v>6500</v>
      </c>
      <c r="R83" s="4191"/>
      <c r="S83" s="283"/>
      <c r="T83" s="283"/>
      <c r="U83" s="283"/>
      <c r="AA83" s="512"/>
      <c r="AB83" s="512"/>
    </row>
    <row r="84" spans="1:28" s="271" customFormat="1" ht="11.7" customHeight="1">
      <c r="A84" s="170"/>
      <c r="B84" s="170"/>
      <c r="C84" s="170"/>
      <c r="D84" s="170"/>
      <c r="E84" s="168"/>
      <c r="F84" s="172" t="s">
        <v>4733</v>
      </c>
      <c r="G84" s="170"/>
      <c r="H84" s="168"/>
      <c r="I84" s="168"/>
      <c r="J84" s="170" t="s">
        <v>1200</v>
      </c>
      <c r="K84" s="170"/>
      <c r="L84" s="170"/>
      <c r="M84" s="170"/>
      <c r="N84" s="170"/>
      <c r="O84" s="170"/>
      <c r="P84" s="168"/>
      <c r="Q84" s="4190">
        <v>5500</v>
      </c>
      <c r="R84" s="4191"/>
      <c r="S84" s="283"/>
      <c r="T84" s="283"/>
      <c r="U84" s="283"/>
      <c r="AA84" s="512"/>
      <c r="AB84" s="512"/>
    </row>
    <row r="85" spans="1:28" s="271" customFormat="1" ht="11.7" customHeight="1">
      <c r="A85" s="170"/>
      <c r="B85" s="170"/>
      <c r="C85" s="170"/>
      <c r="D85" s="170"/>
      <c r="E85" s="168"/>
      <c r="F85" s="172" t="s">
        <v>3437</v>
      </c>
      <c r="G85" s="170"/>
      <c r="H85" s="168"/>
      <c r="I85" s="168"/>
      <c r="J85" s="170"/>
      <c r="K85" s="170"/>
      <c r="L85" s="170"/>
      <c r="M85" s="170"/>
      <c r="N85" s="170"/>
      <c r="O85" s="170"/>
      <c r="P85" s="168"/>
      <c r="Q85" s="4190">
        <v>5000</v>
      </c>
      <c r="R85" s="4191"/>
      <c r="S85" s="283"/>
      <c r="T85" s="283"/>
      <c r="U85" s="283"/>
      <c r="AA85" s="512"/>
      <c r="AB85" s="512"/>
    </row>
    <row r="86" spans="1:28" s="271" customFormat="1" ht="11.7" customHeight="1">
      <c r="A86" s="170"/>
      <c r="B86" s="170"/>
      <c r="C86" s="170"/>
      <c r="D86" s="170"/>
      <c r="E86" s="168"/>
      <c r="F86" s="172"/>
      <c r="G86" s="170" t="s">
        <v>4731</v>
      </c>
      <c r="H86" s="168"/>
      <c r="I86" s="168"/>
      <c r="J86" s="170" t="s">
        <v>4732</v>
      </c>
      <c r="K86" s="170"/>
      <c r="L86" s="170"/>
      <c r="M86" s="170"/>
      <c r="N86" s="170"/>
      <c r="O86" s="170"/>
      <c r="P86" s="168"/>
      <c r="Q86" s="4190">
        <v>500</v>
      </c>
      <c r="R86" s="4191"/>
      <c r="S86" s="283"/>
      <c r="T86" s="283"/>
      <c r="U86" s="283"/>
      <c r="AA86" s="512"/>
      <c r="AB86" s="512"/>
    </row>
    <row r="87" spans="1:28" s="271" customFormat="1" ht="11.7" customHeight="1">
      <c r="A87" s="170"/>
      <c r="B87" s="170"/>
      <c r="C87" s="170"/>
      <c r="D87" s="170"/>
      <c r="E87" s="168"/>
      <c r="F87" s="172" t="s">
        <v>3946</v>
      </c>
      <c r="G87" s="170"/>
      <c r="H87" s="168"/>
      <c r="I87" s="168"/>
      <c r="J87" s="170"/>
      <c r="K87" s="170"/>
      <c r="L87" s="170"/>
      <c r="M87" s="170"/>
      <c r="N87" s="170"/>
      <c r="O87" s="170"/>
      <c r="P87" s="168"/>
      <c r="Q87" s="4190">
        <v>1500</v>
      </c>
      <c r="R87" s="4191"/>
      <c r="S87" s="283"/>
      <c r="T87" s="283"/>
      <c r="U87" s="283"/>
      <c r="AA87" s="512"/>
      <c r="AB87" s="512"/>
    </row>
    <row r="88" spans="1:28" s="271" customFormat="1" ht="11.7" customHeight="1">
      <c r="A88" s="170"/>
      <c r="C88" s="170"/>
      <c r="D88" s="168"/>
      <c r="E88" s="168"/>
      <c r="F88" s="172" t="s">
        <v>947</v>
      </c>
      <c r="H88" s="170"/>
      <c r="I88" s="168"/>
      <c r="J88" s="170" t="s">
        <v>948</v>
      </c>
      <c r="K88" s="170"/>
      <c r="L88" s="170"/>
      <c r="M88" s="170"/>
      <c r="N88" s="170"/>
      <c r="O88" s="170"/>
      <c r="P88" s="168"/>
      <c r="Q88" s="4192">
        <v>0.08</v>
      </c>
      <c r="R88" s="4192"/>
      <c r="S88" s="283"/>
      <c r="T88" s="283"/>
      <c r="U88" s="283"/>
      <c r="AA88" s="512"/>
      <c r="AB88" s="512"/>
    </row>
    <row r="89" spans="1:28" s="271" customFormat="1" ht="11.7" customHeight="1">
      <c r="A89" s="170"/>
      <c r="C89" s="170"/>
      <c r="D89" s="168"/>
      <c r="E89" s="168"/>
      <c r="F89" s="172" t="s">
        <v>949</v>
      </c>
      <c r="H89" s="170"/>
      <c r="I89" s="168"/>
      <c r="J89" s="170" t="s">
        <v>948</v>
      </c>
      <c r="K89" s="170"/>
      <c r="L89" s="170"/>
      <c r="M89" s="170"/>
      <c r="N89" s="170"/>
      <c r="O89" s="170"/>
      <c r="P89" s="168"/>
      <c r="Q89" s="4192">
        <v>0.08</v>
      </c>
      <c r="R89" s="4192"/>
      <c r="S89" s="283"/>
      <c r="T89" s="283"/>
      <c r="U89" s="283"/>
      <c r="AA89" s="512"/>
      <c r="AB89" s="512"/>
    </row>
    <row r="90" spans="1:28" s="271" customFormat="1" ht="11.7" customHeight="1">
      <c r="A90" s="170"/>
      <c r="C90" s="170"/>
      <c r="D90" s="168"/>
      <c r="E90" s="168"/>
      <c r="F90" s="172" t="s">
        <v>4734</v>
      </c>
      <c r="H90" s="170"/>
      <c r="I90" s="168"/>
      <c r="J90" s="170"/>
      <c r="K90" s="170"/>
      <c r="L90" s="170"/>
      <c r="M90" s="170"/>
      <c r="N90" s="170"/>
      <c r="O90" s="170"/>
      <c r="P90" s="168"/>
      <c r="Q90" s="4190">
        <v>3000</v>
      </c>
      <c r="R90" s="4191"/>
      <c r="S90" s="283"/>
      <c r="T90" s="283"/>
      <c r="U90" s="283"/>
      <c r="AA90" s="512"/>
      <c r="AB90" s="512"/>
    </row>
    <row r="91" spans="1:28" s="271" customFormat="1" ht="11.7" customHeight="1">
      <c r="A91" s="170"/>
      <c r="C91" s="170"/>
      <c r="D91" s="168"/>
      <c r="E91" s="168"/>
      <c r="F91" s="172" t="s">
        <v>3862</v>
      </c>
      <c r="H91" s="170"/>
      <c r="I91" s="168"/>
      <c r="J91" s="170"/>
      <c r="K91" s="170"/>
      <c r="L91" s="170"/>
      <c r="M91" s="170"/>
      <c r="N91" s="170"/>
      <c r="O91" s="170"/>
      <c r="P91" s="168"/>
      <c r="Q91" s="4190">
        <v>1500</v>
      </c>
      <c r="R91" s="4191"/>
      <c r="S91" s="283"/>
      <c r="T91" s="283"/>
      <c r="U91" s="283"/>
      <c r="AA91" s="512"/>
      <c r="AB91" s="512"/>
    </row>
    <row r="92" spans="1:28" s="271" customFormat="1" ht="11.7" customHeight="1">
      <c r="A92" s="170"/>
      <c r="C92" s="170"/>
      <c r="D92" s="168"/>
      <c r="E92" s="168"/>
      <c r="F92" s="170" t="s">
        <v>950</v>
      </c>
      <c r="H92" s="170" t="s">
        <v>1610</v>
      </c>
      <c r="I92" s="168"/>
      <c r="J92" s="170" t="s">
        <v>1529</v>
      </c>
      <c r="K92" s="170"/>
      <c r="L92" s="170"/>
      <c r="M92" s="170"/>
      <c r="N92" s="170"/>
      <c r="O92" s="170"/>
      <c r="P92" s="168"/>
      <c r="Q92" s="4190">
        <v>800</v>
      </c>
      <c r="R92" s="4191"/>
      <c r="S92" s="283"/>
      <c r="T92" s="283"/>
      <c r="U92" s="283"/>
      <c r="AA92" s="512"/>
      <c r="AB92" s="512"/>
    </row>
    <row r="93" spans="1:28" s="271" customFormat="1" ht="11.7" customHeight="1">
      <c r="A93" s="170"/>
      <c r="C93" s="170"/>
      <c r="D93" s="168"/>
      <c r="E93" s="168"/>
      <c r="F93" s="170"/>
      <c r="H93" s="170"/>
      <c r="I93" s="170" t="s">
        <v>4735</v>
      </c>
      <c r="J93" s="170" t="s">
        <v>1529</v>
      </c>
      <c r="K93" s="170"/>
      <c r="L93" s="170"/>
      <c r="M93" s="170"/>
      <c r="N93" s="170"/>
      <c r="O93" s="170"/>
      <c r="P93" s="168"/>
      <c r="Q93" s="4190">
        <v>1000</v>
      </c>
      <c r="R93" s="4191"/>
      <c r="S93" s="283"/>
      <c r="T93" s="283"/>
      <c r="U93" s="283"/>
      <c r="AA93" s="512"/>
      <c r="AB93" s="512"/>
    </row>
    <row r="94" spans="1:28" s="271" customFormat="1" ht="11.7" customHeight="1">
      <c r="A94" s="170"/>
      <c r="B94" s="170"/>
      <c r="C94" s="170"/>
      <c r="D94" s="168"/>
      <c r="E94" s="168"/>
      <c r="H94" s="172" t="s">
        <v>2681</v>
      </c>
      <c r="I94" s="294"/>
      <c r="J94" s="172" t="s">
        <v>1529</v>
      </c>
      <c r="K94" s="172" t="s">
        <v>3879</v>
      </c>
      <c r="L94" s="172"/>
      <c r="M94" s="172"/>
      <c r="N94" s="172"/>
      <c r="O94" s="172"/>
      <c r="P94" s="294"/>
      <c r="Q94" s="4190">
        <v>800</v>
      </c>
      <c r="R94" s="4191"/>
      <c r="S94" s="283"/>
      <c r="T94" s="283"/>
      <c r="U94" s="283"/>
      <c r="AA94" s="512"/>
      <c r="AB94" s="512"/>
    </row>
    <row r="95" spans="1:28" s="271" customFormat="1" ht="11.7" customHeight="1">
      <c r="A95" s="170"/>
      <c r="B95" s="170"/>
      <c r="C95" s="170"/>
      <c r="D95" s="168"/>
      <c r="E95" s="168"/>
      <c r="H95" s="170" t="s">
        <v>2820</v>
      </c>
      <c r="I95" s="168"/>
      <c r="J95" s="170" t="s">
        <v>2680</v>
      </c>
      <c r="K95" s="170"/>
      <c r="L95" s="170"/>
      <c r="M95" s="170"/>
      <c r="N95" s="170"/>
      <c r="O95" s="170"/>
      <c r="P95" s="168"/>
      <c r="Q95" s="4190">
        <v>1500</v>
      </c>
      <c r="R95" s="4191"/>
      <c r="S95" s="283"/>
      <c r="T95" s="283"/>
      <c r="U95" s="283"/>
      <c r="AA95" s="512"/>
      <c r="AB95" s="512"/>
    </row>
    <row r="96" spans="1:28" s="271" customFormat="1" ht="11.7" customHeight="1">
      <c r="A96" s="170"/>
      <c r="B96" s="170"/>
      <c r="C96" s="170"/>
      <c r="D96" s="168"/>
      <c r="E96" s="168"/>
      <c r="F96" s="170" t="s">
        <v>4196</v>
      </c>
      <c r="I96" s="168"/>
      <c r="J96" s="170" t="s">
        <v>4737</v>
      </c>
      <c r="K96" s="170"/>
      <c r="L96" s="170"/>
      <c r="M96" s="170"/>
      <c r="N96" s="170"/>
      <c r="O96" s="170"/>
      <c r="P96" s="168"/>
      <c r="Q96" s="282">
        <v>750</v>
      </c>
      <c r="R96" s="282" t="s">
        <v>1732</v>
      </c>
      <c r="S96" s="283"/>
      <c r="T96" s="283"/>
      <c r="U96" s="283"/>
      <c r="AA96" s="512"/>
      <c r="AB96" s="512"/>
    </row>
    <row r="97" spans="1:28" s="271" customFormat="1" ht="11.7" customHeight="1">
      <c r="A97" s="170"/>
      <c r="B97" s="170"/>
      <c r="C97" s="170"/>
      <c r="D97" s="168"/>
      <c r="E97" s="168"/>
      <c r="F97" s="170" t="s">
        <v>4736</v>
      </c>
      <c r="I97" s="168"/>
      <c r="J97" s="170" t="s">
        <v>1762</v>
      </c>
      <c r="K97" s="170"/>
      <c r="L97" s="170"/>
      <c r="M97" s="170"/>
      <c r="N97" s="170"/>
      <c r="O97" s="170"/>
      <c r="P97" s="168"/>
      <c r="Q97" s="4190">
        <v>3000</v>
      </c>
      <c r="R97" s="4191"/>
      <c r="S97" s="283"/>
      <c r="T97" s="283"/>
      <c r="U97" s="283"/>
      <c r="AA97" s="512"/>
      <c r="AB97" s="512"/>
    </row>
    <row r="98" spans="1:28" s="271" customFormat="1" ht="11.7" customHeight="1">
      <c r="A98" s="170"/>
      <c r="B98" s="172"/>
      <c r="C98" s="170"/>
      <c r="D98" s="168"/>
      <c r="E98" s="168"/>
      <c r="F98" s="170" t="s">
        <v>3438</v>
      </c>
      <c r="I98" s="168"/>
      <c r="J98" s="170" t="s">
        <v>3439</v>
      </c>
      <c r="K98" s="170"/>
      <c r="L98" s="170" t="s">
        <v>2819</v>
      </c>
      <c r="M98" s="170"/>
      <c r="N98" s="170"/>
      <c r="O98" s="170"/>
      <c r="P98" s="168"/>
      <c r="Q98" s="4190">
        <v>75</v>
      </c>
      <c r="R98" s="4191"/>
      <c r="S98" s="283"/>
      <c r="T98" s="283"/>
      <c r="U98" s="283"/>
      <c r="AA98" s="512"/>
      <c r="AB98" s="512"/>
    </row>
    <row r="99" spans="1:28" s="271" customFormat="1" ht="13.8">
      <c r="A99" s="170"/>
      <c r="B99" s="170" t="s">
        <v>1861</v>
      </c>
      <c r="C99" s="170"/>
      <c r="D99" s="1109" t="s">
        <v>3945</v>
      </c>
      <c r="E99" s="168"/>
      <c r="F99" s="170"/>
      <c r="G99" s="170"/>
      <c r="H99" s="170"/>
      <c r="I99" s="168"/>
      <c r="J99" s="170" t="s">
        <v>1729</v>
      </c>
      <c r="K99" s="170"/>
      <c r="L99" s="170"/>
      <c r="M99" s="170"/>
      <c r="N99" s="170"/>
      <c r="O99" s="170"/>
      <c r="P99" s="168"/>
      <c r="Q99" s="4195">
        <v>1800000</v>
      </c>
      <c r="R99" s="4196"/>
      <c r="S99" s="283"/>
      <c r="T99" s="283"/>
      <c r="U99" s="283"/>
      <c r="AA99" s="512"/>
      <c r="AB99" s="512"/>
    </row>
    <row r="100" spans="1:28" s="271" customFormat="1" ht="13.8">
      <c r="A100" s="170"/>
      <c r="B100" s="170"/>
      <c r="C100" s="170"/>
      <c r="D100" s="168"/>
      <c r="E100" s="168"/>
      <c r="F100" s="170"/>
      <c r="G100" s="170"/>
      <c r="H100" s="170"/>
      <c r="I100" s="168"/>
      <c r="J100" s="170" t="s">
        <v>3415</v>
      </c>
      <c r="K100" s="170"/>
      <c r="L100" s="170"/>
      <c r="M100" s="170"/>
      <c r="N100" s="170"/>
      <c r="O100" s="170"/>
      <c r="P100" s="168"/>
      <c r="Q100" s="4195">
        <v>3500000</v>
      </c>
      <c r="R100" s="4196"/>
      <c r="S100" s="283"/>
      <c r="T100" s="283"/>
      <c r="U100" s="283"/>
      <c r="AA100" s="512"/>
      <c r="AB100" s="512"/>
    </row>
    <row r="101" spans="1:28" s="271" customFormat="1" ht="13.8" hidden="1">
      <c r="A101" s="170"/>
      <c r="B101" s="170"/>
      <c r="C101" s="170"/>
      <c r="D101" s="168"/>
      <c r="E101" s="168"/>
      <c r="F101" s="170" t="s">
        <v>1714</v>
      </c>
      <c r="G101" s="170"/>
      <c r="H101" s="170" t="s">
        <v>2294</v>
      </c>
      <c r="I101" s="168"/>
      <c r="J101" s="170" t="s">
        <v>974</v>
      </c>
      <c r="K101" s="170"/>
      <c r="L101" s="170"/>
      <c r="M101" s="170"/>
      <c r="N101" s="170"/>
      <c r="O101" s="170"/>
      <c r="P101" s="168"/>
      <c r="Q101" s="4193">
        <v>0.15</v>
      </c>
      <c r="R101" s="4194"/>
      <c r="S101" s="283"/>
      <c r="T101" s="283"/>
      <c r="U101" s="283"/>
      <c r="AA101" s="512"/>
      <c r="AB101" s="512"/>
    </row>
    <row r="102" spans="1:28" s="271" customFormat="1" ht="13.8" hidden="1">
      <c r="A102" s="170"/>
      <c r="B102" s="384"/>
      <c r="C102" s="170"/>
      <c r="D102" s="168"/>
      <c r="E102" s="168"/>
      <c r="F102" s="170"/>
      <c r="G102" s="170"/>
      <c r="H102" s="170" t="s">
        <v>3630</v>
      </c>
      <c r="I102" s="170" t="s">
        <v>971</v>
      </c>
      <c r="J102" s="170" t="s">
        <v>973</v>
      </c>
      <c r="K102" s="170"/>
      <c r="L102" s="170"/>
      <c r="M102" s="170"/>
      <c r="N102" s="170"/>
      <c r="O102" s="170"/>
      <c r="P102" s="168"/>
      <c r="Q102" s="4193">
        <v>0.15</v>
      </c>
      <c r="R102" s="4194"/>
      <c r="S102" s="283"/>
      <c r="T102" s="283"/>
      <c r="U102" s="283"/>
      <c r="AA102" s="512"/>
      <c r="AB102" s="512"/>
    </row>
    <row r="103" spans="1:28" s="271" customFormat="1" ht="13.8" hidden="1">
      <c r="A103" s="170"/>
      <c r="B103" s="384"/>
      <c r="C103" s="170"/>
      <c r="D103" s="168"/>
      <c r="E103" s="168"/>
      <c r="F103" s="170"/>
      <c r="G103" s="170"/>
      <c r="H103" s="170"/>
      <c r="I103" s="170" t="s">
        <v>972</v>
      </c>
      <c r="J103" s="170" t="s">
        <v>975</v>
      </c>
      <c r="K103" s="170"/>
      <c r="L103" s="170"/>
      <c r="M103" s="170"/>
      <c r="N103" s="170"/>
      <c r="O103" s="170"/>
      <c r="P103" s="168"/>
      <c r="Q103" s="4193">
        <v>0.15</v>
      </c>
      <c r="R103" s="4194"/>
      <c r="S103" s="283"/>
      <c r="T103" s="283"/>
      <c r="U103" s="283"/>
      <c r="AA103" s="512"/>
      <c r="AB103" s="512"/>
    </row>
    <row r="104" spans="1:28" s="271" customFormat="1" ht="13.8" hidden="1">
      <c r="A104" s="170"/>
      <c r="B104" s="384"/>
      <c r="C104" s="170"/>
      <c r="D104" s="168"/>
      <c r="E104" s="168"/>
      <c r="F104" s="170"/>
      <c r="G104" s="170"/>
      <c r="H104" s="170" t="s">
        <v>970</v>
      </c>
      <c r="I104" s="168"/>
      <c r="J104" s="170" t="s">
        <v>975</v>
      </c>
      <c r="K104" s="170"/>
      <c r="L104" s="170"/>
      <c r="M104" s="170"/>
      <c r="N104" s="170"/>
      <c r="O104" s="170"/>
      <c r="P104" s="168"/>
      <c r="Q104" s="4193">
        <v>0.15</v>
      </c>
      <c r="R104" s="4194"/>
      <c r="S104" s="283"/>
      <c r="T104" s="283"/>
      <c r="U104" s="283"/>
      <c r="AA104" s="512"/>
      <c r="AB104" s="512"/>
    </row>
    <row r="105" spans="1:28" s="271" customFormat="1" ht="13.8" hidden="1">
      <c r="A105" s="170"/>
      <c r="B105" s="384"/>
      <c r="C105" s="170"/>
      <c r="D105" s="168"/>
      <c r="E105" s="168"/>
      <c r="F105" s="170"/>
      <c r="G105" s="170"/>
      <c r="H105" s="170"/>
      <c r="I105" s="170" t="s">
        <v>976</v>
      </c>
      <c r="J105" s="170" t="s">
        <v>977</v>
      </c>
      <c r="K105" s="170"/>
      <c r="L105" s="170"/>
      <c r="M105" s="170"/>
      <c r="N105" s="170"/>
      <c r="O105" s="170"/>
      <c r="P105" s="168"/>
      <c r="Q105" s="4193">
        <v>0.15</v>
      </c>
      <c r="R105" s="4194"/>
      <c r="S105" s="283"/>
      <c r="T105" s="283"/>
      <c r="U105" s="283"/>
      <c r="AA105" s="512"/>
      <c r="AB105" s="512"/>
    </row>
    <row r="106" spans="1:28" s="271" customFormat="1" ht="13.8" hidden="1">
      <c r="A106" s="170"/>
      <c r="B106" s="384"/>
      <c r="C106" s="170"/>
      <c r="D106" s="168"/>
      <c r="E106" s="168"/>
      <c r="F106" s="170" t="s">
        <v>1758</v>
      </c>
      <c r="G106" s="170"/>
      <c r="H106" s="170"/>
      <c r="I106" s="168"/>
      <c r="J106" s="170" t="s">
        <v>2370</v>
      </c>
      <c r="K106" s="170"/>
      <c r="L106" s="170"/>
      <c r="M106" s="170"/>
      <c r="N106" s="170"/>
      <c r="O106" s="170"/>
      <c r="P106" s="168"/>
      <c r="Q106" s="4193">
        <v>0.15</v>
      </c>
      <c r="R106" s="4194"/>
      <c r="S106" s="283"/>
      <c r="T106" s="283"/>
      <c r="U106" s="283"/>
      <c r="AA106" s="512"/>
      <c r="AB106" s="512"/>
    </row>
    <row r="107" spans="1:28" s="271" customFormat="1" ht="13.8" hidden="1">
      <c r="A107" s="170"/>
      <c r="B107" s="384"/>
      <c r="C107" s="170"/>
      <c r="D107" s="168"/>
      <c r="E107" s="168"/>
      <c r="G107" s="170"/>
      <c r="H107" s="170"/>
      <c r="I107" s="168"/>
      <c r="J107" s="170" t="s">
        <v>2371</v>
      </c>
      <c r="K107" s="170"/>
      <c r="L107" s="170"/>
      <c r="M107" s="170"/>
      <c r="N107" s="170"/>
      <c r="O107" s="170"/>
      <c r="P107" s="168"/>
      <c r="Q107" s="4193" t="s">
        <v>2372</v>
      </c>
      <c r="R107" s="4194"/>
      <c r="S107" s="283"/>
      <c r="T107" s="283"/>
      <c r="U107" s="283"/>
      <c r="AA107" s="512"/>
      <c r="AB107" s="512"/>
    </row>
    <row r="108" spans="1:28" s="271" customFormat="1" ht="13.8">
      <c r="A108" s="170"/>
      <c r="B108" s="384"/>
      <c r="C108" s="170"/>
      <c r="D108" s="168"/>
      <c r="E108" s="168"/>
      <c r="F108" s="170" t="s">
        <v>2032</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2031</v>
      </c>
      <c r="G109" s="170"/>
      <c r="I109" s="168"/>
      <c r="J109" s="170"/>
      <c r="K109" s="170"/>
      <c r="L109" s="170"/>
      <c r="M109" s="170"/>
      <c r="N109" s="170"/>
      <c r="O109" s="170"/>
      <c r="P109" s="168"/>
      <c r="Q109" s="1058">
        <v>0</v>
      </c>
      <c r="R109" s="1058">
        <v>0.5</v>
      </c>
      <c r="S109" s="283"/>
      <c r="T109" s="283"/>
      <c r="U109" s="283"/>
      <c r="AA109" s="512"/>
      <c r="AB109" s="512"/>
    </row>
    <row r="110" spans="1:28" s="271" customFormat="1" ht="11.7" customHeight="1">
      <c r="A110" s="170"/>
      <c r="B110" s="170" t="s">
        <v>1759</v>
      </c>
      <c r="C110" s="170"/>
      <c r="D110" s="170"/>
      <c r="E110" s="170"/>
      <c r="F110" s="170"/>
      <c r="G110" s="170"/>
      <c r="H110" s="168"/>
      <c r="I110" s="168"/>
      <c r="J110" s="170" t="s">
        <v>1760</v>
      </c>
      <c r="K110" s="170"/>
      <c r="L110" s="170"/>
      <c r="M110" s="170"/>
      <c r="N110" s="170"/>
      <c r="O110" s="170"/>
      <c r="P110" s="168"/>
      <c r="Q110" s="284">
        <v>6</v>
      </c>
      <c r="R110" s="282" t="s">
        <v>1732</v>
      </c>
      <c r="S110" s="283"/>
      <c r="T110" s="283"/>
      <c r="U110" s="283"/>
      <c r="AA110" s="512"/>
      <c r="AB110" s="512"/>
    </row>
    <row r="111" spans="1:28" s="271" customFormat="1" ht="11.7" customHeight="1">
      <c r="A111" s="170"/>
      <c r="B111" s="170"/>
      <c r="C111" s="170"/>
      <c r="D111" s="170"/>
      <c r="E111" s="170"/>
      <c r="F111" s="170"/>
      <c r="G111" s="170"/>
      <c r="H111" s="168"/>
      <c r="I111" s="168"/>
      <c r="J111" s="170" t="s">
        <v>1761</v>
      </c>
      <c r="K111" s="170"/>
      <c r="L111" s="170"/>
      <c r="M111" s="170"/>
      <c r="N111" s="170"/>
      <c r="O111" s="170"/>
      <c r="P111" s="168"/>
      <c r="Q111" s="284">
        <v>6</v>
      </c>
      <c r="R111" s="282" t="s">
        <v>1732</v>
      </c>
      <c r="S111" s="283"/>
      <c r="T111" s="283"/>
      <c r="U111" s="283"/>
      <c r="AA111" s="512"/>
      <c r="AB111" s="512"/>
    </row>
    <row r="112" spans="1:28" s="271" customFormat="1" ht="11.7" customHeight="1">
      <c r="A112" s="170"/>
      <c r="B112" s="386" t="s">
        <v>2033</v>
      </c>
      <c r="C112" s="170"/>
      <c r="D112" s="168"/>
      <c r="E112" s="168"/>
      <c r="F112" s="170"/>
      <c r="G112" s="170"/>
      <c r="I112" s="168"/>
      <c r="J112" s="170" t="s">
        <v>2034</v>
      </c>
      <c r="K112" s="170"/>
      <c r="L112" s="170"/>
      <c r="M112" s="170"/>
      <c r="N112" s="170"/>
      <c r="O112" s="170"/>
      <c r="P112" s="168"/>
      <c r="Q112" s="284">
        <v>3</v>
      </c>
      <c r="R112" s="282" t="s">
        <v>1732</v>
      </c>
      <c r="S112" s="283"/>
      <c r="T112" s="283"/>
      <c r="U112" s="283"/>
      <c r="AA112" s="512"/>
      <c r="AB112" s="512"/>
    </row>
    <row r="113" spans="1:28" s="271" customFormat="1" ht="11.7" customHeight="1">
      <c r="A113" s="170"/>
      <c r="B113" s="172" t="s">
        <v>3478</v>
      </c>
      <c r="C113" s="170"/>
      <c r="D113" s="168"/>
      <c r="E113" s="170"/>
      <c r="F113" s="170"/>
      <c r="G113" s="170"/>
      <c r="H113" s="168"/>
      <c r="I113" s="168"/>
      <c r="J113" s="170" t="s">
        <v>1762</v>
      </c>
      <c r="K113" s="170"/>
      <c r="L113" s="170"/>
      <c r="M113" s="170"/>
      <c r="N113" s="170"/>
      <c r="O113" s="170"/>
      <c r="P113" s="168"/>
      <c r="Q113" s="4190">
        <v>3000</v>
      </c>
      <c r="R113" s="4191"/>
      <c r="S113" s="283"/>
      <c r="T113" s="283"/>
      <c r="U113" s="283"/>
      <c r="AA113" s="512"/>
      <c r="AB113" s="512"/>
    </row>
    <row r="114" spans="1:28" s="271" customFormat="1" ht="11.7" customHeight="1">
      <c r="A114" s="170"/>
      <c r="B114" s="170"/>
      <c r="C114" s="170"/>
      <c r="D114" s="168"/>
      <c r="E114" s="168"/>
      <c r="O114" s="170"/>
      <c r="T114" s="277"/>
      <c r="U114" s="168"/>
      <c r="V114" s="987"/>
      <c r="W114" s="987"/>
      <c r="X114" s="987"/>
      <c r="AA114" s="512"/>
      <c r="AB114" s="512"/>
    </row>
    <row r="115" spans="1:28" s="271" customFormat="1" ht="11.7" customHeight="1">
      <c r="A115" s="272" t="s">
        <v>1726</v>
      </c>
      <c r="B115" s="272"/>
      <c r="C115" s="272"/>
      <c r="D115" s="168"/>
      <c r="E115" s="168"/>
      <c r="F115" s="272" t="s">
        <v>1727</v>
      </c>
      <c r="G115" s="272"/>
      <c r="H115" s="168"/>
      <c r="I115" s="168"/>
      <c r="J115" s="272" t="s">
        <v>1728</v>
      </c>
      <c r="K115" s="272"/>
      <c r="L115" s="272"/>
      <c r="M115" s="272"/>
      <c r="N115" s="272"/>
      <c r="O115" s="272"/>
      <c r="P115" s="168"/>
      <c r="Q115" s="171" t="s">
        <v>3042</v>
      </c>
      <c r="R115" s="171" t="s">
        <v>1729</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1763</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7" customHeight="1">
      <c r="B119" s="285" t="s">
        <v>2410</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7" customHeight="1">
      <c r="A121" s="170"/>
      <c r="B121" s="170" t="s">
        <v>1764</v>
      </c>
      <c r="C121" s="170"/>
      <c r="D121" s="170"/>
      <c r="E121" s="170"/>
      <c r="F121" s="170"/>
      <c r="G121" s="170"/>
      <c r="H121" s="170"/>
      <c r="J121" s="170" t="s">
        <v>1765</v>
      </c>
      <c r="K121" s="170"/>
      <c r="L121" s="170"/>
      <c r="M121" s="170"/>
      <c r="N121" s="170"/>
      <c r="O121" s="170"/>
      <c r="Q121" s="4192">
        <v>0.02</v>
      </c>
      <c r="R121" s="4192"/>
      <c r="AA121" s="512"/>
      <c r="AB121" s="512"/>
    </row>
    <row r="122" spans="1:28" s="283" customFormat="1" ht="11.7" customHeight="1">
      <c r="A122" s="170"/>
      <c r="B122" s="170" t="s">
        <v>1766</v>
      </c>
      <c r="C122" s="170"/>
      <c r="D122" s="170"/>
      <c r="E122" s="170"/>
      <c r="F122" s="170"/>
      <c r="G122" s="170"/>
      <c r="H122" s="170"/>
      <c r="J122" s="170" t="s">
        <v>1765</v>
      </c>
      <c r="K122" s="170"/>
      <c r="L122" s="170"/>
      <c r="M122" s="170"/>
      <c r="N122" s="170"/>
      <c r="O122" s="170"/>
      <c r="Q122" s="4192">
        <v>7.0000000000000007E-2</v>
      </c>
      <c r="R122" s="4192"/>
      <c r="AA122" s="512"/>
      <c r="AB122" s="512"/>
    </row>
    <row r="123" spans="1:28" s="283" customFormat="1" ht="11.7" customHeight="1">
      <c r="A123" s="170"/>
      <c r="B123" s="170" t="s">
        <v>1767</v>
      </c>
      <c r="C123" s="170"/>
      <c r="D123" s="170"/>
      <c r="E123" s="170"/>
      <c r="F123" s="170"/>
      <c r="G123" s="170"/>
      <c r="H123" s="170"/>
      <c r="J123" s="170" t="s">
        <v>1765</v>
      </c>
      <c r="K123" s="170"/>
      <c r="L123" s="170"/>
      <c r="M123" s="170"/>
      <c r="N123" s="170"/>
      <c r="O123" s="170"/>
      <c r="Q123" s="4192">
        <v>7.0000000000000007E-2</v>
      </c>
      <c r="R123" s="4192"/>
      <c r="AA123" s="512"/>
      <c r="AB123" s="512"/>
    </row>
    <row r="124" spans="1:28" s="271" customFormat="1" ht="11.7" customHeight="1">
      <c r="A124" s="170"/>
      <c r="B124" s="170" t="s">
        <v>134</v>
      </c>
      <c r="C124" s="170"/>
      <c r="D124" s="168"/>
      <c r="E124" s="168"/>
      <c r="F124" s="168"/>
      <c r="G124" s="170"/>
      <c r="H124" s="168"/>
      <c r="I124" s="168"/>
      <c r="J124" s="170" t="s">
        <v>1765</v>
      </c>
      <c r="K124" s="170"/>
      <c r="L124" s="170"/>
      <c r="M124" s="170"/>
      <c r="N124" s="170"/>
      <c r="O124" s="170"/>
      <c r="P124" s="168"/>
      <c r="Q124" s="4192">
        <v>0.03</v>
      </c>
      <c r="R124" s="4192"/>
      <c r="S124" s="283"/>
      <c r="T124" s="283"/>
      <c r="U124" s="283"/>
      <c r="AA124" s="512"/>
      <c r="AB124" s="512"/>
    </row>
    <row r="125" spans="1:28" s="271" customFormat="1" ht="11.7" customHeight="1">
      <c r="A125" s="170"/>
      <c r="B125" s="170" t="s">
        <v>135</v>
      </c>
      <c r="C125" s="170"/>
      <c r="D125" s="168"/>
      <c r="E125" s="168"/>
      <c r="F125" s="168"/>
      <c r="G125" s="170"/>
      <c r="H125" s="168"/>
      <c r="I125" s="168"/>
      <c r="J125" s="170" t="s">
        <v>1765</v>
      </c>
      <c r="K125" s="170"/>
      <c r="L125" s="170"/>
      <c r="M125" s="170"/>
      <c r="N125" s="170"/>
      <c r="O125" s="170"/>
      <c r="P125" s="168"/>
      <c r="Q125" s="4192">
        <v>0.03</v>
      </c>
      <c r="R125" s="4192"/>
      <c r="S125" s="283"/>
      <c r="T125" s="283"/>
      <c r="U125" s="283"/>
      <c r="AA125" s="512"/>
      <c r="AB125" s="512"/>
    </row>
    <row r="126" spans="1:28" s="271" customFormat="1" ht="11.7" customHeight="1">
      <c r="A126" s="170"/>
      <c r="B126" s="170" t="s">
        <v>136</v>
      </c>
      <c r="C126" s="170"/>
      <c r="D126" s="168"/>
      <c r="E126" s="168"/>
      <c r="F126" s="168"/>
      <c r="G126" s="170"/>
      <c r="H126" s="168"/>
      <c r="I126" s="168"/>
      <c r="J126" s="170" t="s">
        <v>1765</v>
      </c>
      <c r="K126" s="170"/>
      <c r="L126" s="170"/>
      <c r="M126" s="170"/>
      <c r="N126" s="170"/>
      <c r="O126" s="170"/>
      <c r="P126" s="168"/>
      <c r="Q126" s="4192">
        <v>0</v>
      </c>
      <c r="R126" s="4192"/>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7" customHeight="1">
      <c r="A128" s="276" t="s">
        <v>2677</v>
      </c>
      <c r="B128" s="170"/>
      <c r="C128" s="170"/>
      <c r="D128" s="168"/>
      <c r="E128" s="168"/>
      <c r="F128" s="170" t="s">
        <v>507</v>
      </c>
      <c r="G128" s="170"/>
      <c r="H128" s="170" t="s">
        <v>2599</v>
      </c>
      <c r="I128" s="168"/>
      <c r="J128" s="170" t="s">
        <v>2679</v>
      </c>
      <c r="K128" s="170"/>
      <c r="L128" s="170"/>
      <c r="M128" s="170"/>
      <c r="N128" s="170"/>
      <c r="O128" s="170"/>
      <c r="P128" s="168"/>
      <c r="Q128" s="4192">
        <v>0.1</v>
      </c>
      <c r="R128" s="4192"/>
      <c r="S128" s="168"/>
      <c r="T128" s="168"/>
      <c r="U128" s="168"/>
      <c r="V128" s="936"/>
      <c r="W128" s="936"/>
      <c r="X128" s="171"/>
      <c r="AA128" s="512"/>
      <c r="AB128" s="512"/>
    </row>
    <row r="129" spans="1:28" s="271" customFormat="1" ht="11.7" customHeight="1">
      <c r="A129" s="276"/>
      <c r="B129" s="170"/>
      <c r="C129" s="170"/>
      <c r="D129" s="168"/>
      <c r="E129" s="168"/>
      <c r="F129" s="170"/>
      <c r="G129" s="170"/>
      <c r="H129" s="170" t="s">
        <v>3895</v>
      </c>
      <c r="I129" s="168"/>
      <c r="J129" s="170" t="s">
        <v>3896</v>
      </c>
      <c r="K129" s="170"/>
      <c r="L129" s="170"/>
      <c r="M129" s="170"/>
      <c r="N129" s="170"/>
      <c r="O129" s="170"/>
      <c r="P129" s="168"/>
      <c r="Q129" s="4189">
        <v>1000000</v>
      </c>
      <c r="R129" s="4189"/>
      <c r="S129" s="168"/>
      <c r="T129" s="168"/>
      <c r="U129" s="168"/>
      <c r="V129" s="936"/>
      <c r="W129" s="936"/>
      <c r="X129" s="171"/>
      <c r="AA129" s="512"/>
      <c r="AB129" s="512"/>
    </row>
    <row r="130" spans="1:28" s="271" customFormat="1" ht="11.7" customHeight="1">
      <c r="A130" s="170"/>
      <c r="B130" s="170"/>
      <c r="C130" s="170"/>
      <c r="D130" s="168"/>
      <c r="E130" s="168"/>
      <c r="F130" s="170"/>
      <c r="G130" s="170"/>
      <c r="H130" s="170" t="s">
        <v>3889</v>
      </c>
      <c r="I130" s="168"/>
      <c r="J130" s="170" t="s">
        <v>3897</v>
      </c>
      <c r="K130" s="170"/>
      <c r="L130" s="170"/>
      <c r="M130" s="170"/>
      <c r="N130" s="170"/>
      <c r="O130" s="170"/>
      <c r="P130" s="168"/>
      <c r="Q130" s="4189">
        <v>1500000</v>
      </c>
      <c r="R130" s="4189"/>
      <c r="S130" s="277"/>
      <c r="T130" s="277"/>
      <c r="U130" s="168"/>
      <c r="V130" s="987"/>
      <c r="W130" s="987"/>
      <c r="X130" s="987"/>
      <c r="AA130" s="512"/>
      <c r="AB130" s="512"/>
    </row>
    <row r="131" spans="1:28" s="271" customFormat="1" ht="11.7" customHeight="1">
      <c r="A131" s="170"/>
      <c r="B131" s="170"/>
      <c r="C131" s="170"/>
      <c r="D131" s="168"/>
      <c r="E131" s="168"/>
      <c r="F131" s="170"/>
      <c r="G131" s="170"/>
      <c r="H131" s="170"/>
      <c r="I131" s="168"/>
      <c r="J131" s="170" t="s">
        <v>3898</v>
      </c>
      <c r="K131" s="170"/>
      <c r="L131" s="170"/>
      <c r="M131" s="170"/>
      <c r="N131" s="170"/>
      <c r="O131" s="170"/>
      <c r="P131" s="168"/>
      <c r="Q131" s="4189">
        <v>375000</v>
      </c>
      <c r="R131" s="4189"/>
      <c r="S131" s="277"/>
      <c r="T131" s="277"/>
      <c r="U131" s="168"/>
      <c r="V131" s="987"/>
      <c r="W131" s="987"/>
      <c r="X131" s="987"/>
      <c r="AA131" s="512"/>
      <c r="AB131" s="512"/>
    </row>
    <row r="132" spans="1:28" s="271" customFormat="1" ht="11.7" customHeight="1">
      <c r="A132" s="170"/>
      <c r="B132" s="170"/>
      <c r="C132" s="170"/>
      <c r="D132" s="168"/>
      <c r="E132" s="168"/>
      <c r="F132" s="170"/>
      <c r="G132" s="170"/>
      <c r="H132" s="170" t="s">
        <v>4729</v>
      </c>
      <c r="I132" s="168"/>
      <c r="J132" s="170"/>
      <c r="K132" s="170"/>
      <c r="L132" s="170"/>
      <c r="M132" s="170"/>
      <c r="N132" s="170"/>
      <c r="O132" s="170"/>
      <c r="P132" s="168"/>
      <c r="Q132" s="4189"/>
      <c r="R132" s="4189"/>
      <c r="S132" s="277"/>
      <c r="T132" s="277"/>
      <c r="U132" s="168"/>
      <c r="V132" s="987"/>
      <c r="W132" s="987"/>
      <c r="X132" s="987"/>
      <c r="AA132" s="512"/>
      <c r="AB132" s="512"/>
    </row>
    <row r="133" spans="1:28" s="271" customFormat="1" ht="11.7" customHeight="1">
      <c r="A133" s="170"/>
      <c r="B133" s="170"/>
      <c r="C133" s="170"/>
      <c r="D133" s="168"/>
      <c r="E133" s="168"/>
      <c r="F133" s="170" t="s">
        <v>2408</v>
      </c>
      <c r="G133" s="170"/>
      <c r="H133" s="170" t="s">
        <v>2678</v>
      </c>
      <c r="I133" s="168"/>
      <c r="J133" s="170" t="s">
        <v>3941</v>
      </c>
      <c r="K133" s="170"/>
      <c r="L133" s="170"/>
      <c r="M133" s="170"/>
      <c r="N133" s="170"/>
      <c r="O133" s="170"/>
      <c r="P133" s="168"/>
      <c r="Q133" s="4189">
        <v>4000000</v>
      </c>
      <c r="R133" s="4189"/>
      <c r="S133" s="277"/>
      <c r="T133" s="277"/>
      <c r="U133" s="168"/>
      <c r="V133" s="987"/>
      <c r="W133" s="987"/>
      <c r="X133" s="987"/>
      <c r="AA133" s="512"/>
      <c r="AB133" s="512"/>
    </row>
    <row r="134" spans="1:28" s="271" customFormat="1" ht="11.7"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ht="13.8">
      <c r="A136" s="276" t="s">
        <v>2816</v>
      </c>
      <c r="F136" s="170" t="s">
        <v>2598</v>
      </c>
      <c r="G136" s="170"/>
      <c r="H136" s="168"/>
      <c r="I136" s="168"/>
      <c r="J136" s="170" t="s">
        <v>4730</v>
      </c>
      <c r="K136" s="170"/>
      <c r="L136" s="170"/>
      <c r="M136" s="170"/>
      <c r="N136" s="170"/>
      <c r="O136" s="170"/>
      <c r="P136" s="168"/>
      <c r="Q136" s="4192">
        <v>0.35</v>
      </c>
      <c r="R136" s="4192"/>
    </row>
    <row r="137" spans="1:28" s="271" customFormat="1" ht="12.75" customHeight="1">
      <c r="A137" s="276"/>
      <c r="B137" s="170"/>
      <c r="C137" s="170"/>
      <c r="D137" s="168"/>
      <c r="E137" s="168"/>
      <c r="F137" s="170" t="s">
        <v>2817</v>
      </c>
      <c r="G137" s="170"/>
      <c r="H137" s="168"/>
      <c r="I137" s="168"/>
      <c r="J137" s="170" t="s">
        <v>2679</v>
      </c>
      <c r="K137" s="170"/>
      <c r="L137" s="170"/>
      <c r="M137" s="170"/>
      <c r="N137" s="170"/>
      <c r="O137" s="170"/>
      <c r="P137" s="168"/>
      <c r="Q137" s="4192" t="s">
        <v>2818</v>
      </c>
      <c r="R137" s="4192"/>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4192">
        <v>0.05</v>
      </c>
      <c r="R139" s="4192"/>
      <c r="S139" s="168"/>
      <c r="T139" s="168"/>
      <c r="U139" s="168"/>
      <c r="V139" s="936"/>
      <c r="W139" s="936"/>
      <c r="X139" s="171"/>
      <c r="AA139" s="512"/>
      <c r="AB139" s="512"/>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4192">
        <v>0.4</v>
      </c>
      <c r="R140" s="4192"/>
      <c r="S140" s="168"/>
      <c r="T140" s="168"/>
      <c r="U140" s="168"/>
      <c r="V140" s="936"/>
      <c r="W140" s="936"/>
      <c r="X140" s="171"/>
      <c r="AA140" s="512"/>
      <c r="AB140" s="512"/>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4192">
        <v>0.02</v>
      </c>
      <c r="R141" s="4192"/>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2" customHeight="1">
      <c r="C143" s="170"/>
      <c r="D143" s="168"/>
      <c r="E143" s="288"/>
      <c r="F143" s="288"/>
      <c r="G143" s="288"/>
      <c r="H143" s="288"/>
      <c r="I143" s="288"/>
    </row>
    <row r="144" spans="1:28" ht="13.8">
      <c r="C144" s="170"/>
      <c r="D144" s="168"/>
      <c r="J144" s="381" t="s">
        <v>803</v>
      </c>
      <c r="K144" s="381"/>
      <c r="L144" s="269"/>
    </row>
    <row r="145" spans="2:30" ht="13.8">
      <c r="C145" s="170"/>
      <c r="D145" s="168"/>
      <c r="J145" s="382" t="s">
        <v>806</v>
      </c>
      <c r="K145" s="382" t="s">
        <v>804</v>
      </c>
      <c r="L145" s="383" t="s">
        <v>805</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97" t="s">
        <v>4176</v>
      </c>
      <c r="E154" s="283"/>
      <c r="F154" s="283"/>
    </row>
    <row r="155" spans="2:30" ht="10.5" customHeight="1">
      <c r="C155" s="4197"/>
      <c r="E155" s="283"/>
      <c r="F155" s="283"/>
    </row>
    <row r="156" spans="2:30" ht="10.5" customHeight="1">
      <c r="C156" s="4197"/>
      <c r="D156" s="1219" t="s">
        <v>4724</v>
      </c>
      <c r="E156" s="605"/>
      <c r="F156" s="283"/>
    </row>
    <row r="157" spans="2:30" ht="39.75" customHeight="1">
      <c r="C157" s="488" t="s">
        <v>1278</v>
      </c>
      <c r="D157" s="380" t="s">
        <v>1034</v>
      </c>
      <c r="E157" s="283"/>
      <c r="F157" s="549" t="s">
        <v>1798</v>
      </c>
      <c r="G157" s="549" t="s">
        <v>1206</v>
      </c>
      <c r="H157" s="549" t="s">
        <v>1207</v>
      </c>
      <c r="I157" s="550" t="s">
        <v>1208</v>
      </c>
      <c r="J157" s="550" t="s">
        <v>1149</v>
      </c>
      <c r="K157" s="549" t="s">
        <v>425</v>
      </c>
      <c r="L157" s="551" t="s">
        <v>1156</v>
      </c>
      <c r="M157" s="551" t="s">
        <v>2765</v>
      </c>
      <c r="N157" s="551" t="s">
        <v>3887</v>
      </c>
      <c r="O157" s="551" t="s">
        <v>4288</v>
      </c>
      <c r="P157" s="549" t="s">
        <v>2401</v>
      </c>
      <c r="Q157" s="549"/>
      <c r="R157" s="170"/>
      <c r="S157" s="389"/>
      <c r="T157" s="2052" t="s">
        <v>617</v>
      </c>
      <c r="U157" s="553" t="s">
        <v>618</v>
      </c>
      <c r="W157" s="582" t="s">
        <v>3386</v>
      </c>
      <c r="Z157" s="431"/>
      <c r="AA157" s="431"/>
      <c r="AB157" s="26"/>
      <c r="AC157" s="512"/>
      <c r="AD157" s="512"/>
    </row>
    <row r="158" spans="2:30" ht="10.5" customHeight="1">
      <c r="B158" s="283"/>
      <c r="C158" s="378" t="s">
        <v>1781</v>
      </c>
      <c r="D158" s="444">
        <v>53400</v>
      </c>
      <c r="E158" s="283"/>
      <c r="F158" s="283" t="s">
        <v>838</v>
      </c>
      <c r="G158" s="1009" t="s">
        <v>1209</v>
      </c>
      <c r="H158" s="1009" t="s">
        <v>1210</v>
      </c>
      <c r="I158" s="1010" t="s">
        <v>1211</v>
      </c>
      <c r="J158" s="1010" t="s">
        <v>2611</v>
      </c>
      <c r="K158" s="1011" t="s">
        <v>1157</v>
      </c>
      <c r="L158" s="1012" t="s">
        <v>423</v>
      </c>
      <c r="M158" s="1098" t="s">
        <v>2598</v>
      </c>
      <c r="N158" s="1098" t="s">
        <v>1325</v>
      </c>
      <c r="O158" s="1288" t="s">
        <v>4289</v>
      </c>
      <c r="P158" s="554" t="s">
        <v>1521</v>
      </c>
      <c r="Q158" s="292"/>
      <c r="R158" s="170"/>
      <c r="S158" s="389"/>
      <c r="T158" s="501" t="s">
        <v>2402</v>
      </c>
      <c r="U158" s="501" t="s">
        <v>1950</v>
      </c>
      <c r="W158" s="431" t="s">
        <v>2402</v>
      </c>
      <c r="X158" s="431" t="s">
        <v>3387</v>
      </c>
      <c r="Z158" s="431"/>
      <c r="AA158" s="26"/>
      <c r="AB158" s="26"/>
      <c r="AC158" s="931"/>
      <c r="AD158" s="512"/>
    </row>
    <row r="159" spans="2:30" ht="10.5" customHeight="1">
      <c r="B159" s="283"/>
      <c r="C159" s="378" t="s">
        <v>1211</v>
      </c>
      <c r="D159" s="444">
        <v>48500</v>
      </c>
      <c r="E159" s="283"/>
      <c r="F159" s="283" t="s">
        <v>837</v>
      </c>
      <c r="G159" s="1009" t="s">
        <v>1776</v>
      </c>
      <c r="H159" s="1009" t="s">
        <v>1210</v>
      </c>
      <c r="I159" s="1010" t="s">
        <v>1777</v>
      </c>
      <c r="J159" s="1010" t="s">
        <v>2611</v>
      </c>
      <c r="K159" s="1011" t="s">
        <v>1158</v>
      </c>
      <c r="L159" s="1012" t="s">
        <v>423</v>
      </c>
      <c r="M159" s="1098" t="s">
        <v>2598</v>
      </c>
      <c r="N159" s="1098" t="s">
        <v>1695</v>
      </c>
      <c r="O159" s="1288" t="s">
        <v>4290</v>
      </c>
      <c r="P159" s="554" t="s">
        <v>1523</v>
      </c>
      <c r="Q159" s="292"/>
      <c r="R159" s="170"/>
      <c r="S159" s="389"/>
      <c r="T159" s="501" t="s">
        <v>1522</v>
      </c>
      <c r="U159" s="501" t="s">
        <v>2485</v>
      </c>
      <c r="W159" s="431" t="s">
        <v>1522</v>
      </c>
      <c r="X159" s="431" t="s">
        <v>3387</v>
      </c>
      <c r="Z159" s="431"/>
      <c r="AA159" s="26"/>
      <c r="AB159" s="26"/>
      <c r="AC159" s="931"/>
      <c r="AD159" s="512"/>
    </row>
    <row r="160" spans="2:30" ht="10.5" customHeight="1">
      <c r="B160" s="283"/>
      <c r="C160" s="378" t="s">
        <v>1035</v>
      </c>
      <c r="D160" s="444">
        <v>58900</v>
      </c>
      <c r="E160" s="283"/>
      <c r="F160" s="283" t="s">
        <v>840</v>
      </c>
      <c r="G160" s="1009" t="s">
        <v>1778</v>
      </c>
      <c r="H160" s="1009" t="s">
        <v>1210</v>
      </c>
      <c r="I160" s="1010" t="s">
        <v>1779</v>
      </c>
      <c r="J160" s="1010" t="s">
        <v>2611</v>
      </c>
      <c r="K160" s="1011" t="s">
        <v>1159</v>
      </c>
      <c r="L160" s="1012" t="s">
        <v>423</v>
      </c>
      <c r="M160" s="1098" t="s">
        <v>2598</v>
      </c>
      <c r="N160" s="1098" t="s">
        <v>1695</v>
      </c>
      <c r="O160" s="1288" t="s">
        <v>4291</v>
      </c>
      <c r="P160" s="554" t="s">
        <v>462</v>
      </c>
      <c r="Q160" s="292"/>
      <c r="R160" s="170"/>
      <c r="S160" s="389"/>
      <c r="T160" s="501" t="s">
        <v>944</v>
      </c>
      <c r="U160" s="501" t="s">
        <v>1313</v>
      </c>
      <c r="W160" s="431" t="s">
        <v>944</v>
      </c>
      <c r="X160" s="431" t="s">
        <v>3387</v>
      </c>
      <c r="Z160" s="431"/>
      <c r="AA160" s="26"/>
      <c r="AB160" s="26"/>
      <c r="AC160" s="931"/>
      <c r="AD160" s="512"/>
    </row>
    <row r="161" spans="2:30" ht="10.5" customHeight="1">
      <c r="B161" s="283"/>
      <c r="C161" s="378" t="s">
        <v>1777</v>
      </c>
      <c r="D161" s="444">
        <v>40100</v>
      </c>
      <c r="E161" s="283"/>
      <c r="F161" s="283" t="s">
        <v>839</v>
      </c>
      <c r="G161" s="1009" t="s">
        <v>1780</v>
      </c>
      <c r="H161" s="1009" t="s">
        <v>1210</v>
      </c>
      <c r="I161" s="1013" t="s">
        <v>1781</v>
      </c>
      <c r="J161" s="1013" t="s">
        <v>2612</v>
      </c>
      <c r="K161" s="1011" t="s">
        <v>1160</v>
      </c>
      <c r="L161" s="1012" t="s">
        <v>424</v>
      </c>
      <c r="M161" s="1098" t="s">
        <v>1195</v>
      </c>
      <c r="N161" s="1098" t="s">
        <v>1781</v>
      </c>
      <c r="O161" s="1288" t="s">
        <v>4292</v>
      </c>
      <c r="P161" s="554" t="s">
        <v>2079</v>
      </c>
      <c r="Q161" s="292"/>
      <c r="R161" s="170"/>
      <c r="S161" s="389"/>
      <c r="T161" s="501" t="s">
        <v>463</v>
      </c>
      <c r="U161" s="501" t="s">
        <v>2528</v>
      </c>
      <c r="W161" s="431" t="s">
        <v>2080</v>
      </c>
      <c r="X161" s="431" t="s">
        <v>3387</v>
      </c>
      <c r="Z161" s="431"/>
      <c r="AA161" s="26"/>
      <c r="AB161" s="26"/>
      <c r="AC161" s="931"/>
      <c r="AD161" s="512"/>
    </row>
    <row r="162" spans="2:30" ht="10.5" customHeight="1">
      <c r="B162" s="283"/>
      <c r="C162" s="378" t="s">
        <v>763</v>
      </c>
      <c r="D162" s="444">
        <v>74800</v>
      </c>
      <c r="E162" s="283"/>
      <c r="F162" s="283" t="s">
        <v>841</v>
      </c>
      <c r="G162" s="1009" t="s">
        <v>1782</v>
      </c>
      <c r="H162" s="1009" t="s">
        <v>1210</v>
      </c>
      <c r="I162" s="1013" t="s">
        <v>156</v>
      </c>
      <c r="J162" s="1013" t="s">
        <v>2611</v>
      </c>
      <c r="K162" s="1011" t="s">
        <v>1161</v>
      </c>
      <c r="L162" s="1012" t="s">
        <v>423</v>
      </c>
      <c r="M162" s="1098" t="s">
        <v>2598</v>
      </c>
      <c r="N162" s="1098" t="s">
        <v>1319</v>
      </c>
      <c r="O162" s="1288" t="s">
        <v>4293</v>
      </c>
      <c r="P162" s="554" t="s">
        <v>2081</v>
      </c>
      <c r="Q162" s="292"/>
      <c r="R162" s="170"/>
      <c r="S162" s="389"/>
      <c r="T162" s="501" t="s">
        <v>2080</v>
      </c>
      <c r="U162" s="501" t="s">
        <v>332</v>
      </c>
      <c r="W162" s="431" t="s">
        <v>2084</v>
      </c>
      <c r="X162" s="431" t="s">
        <v>3387</v>
      </c>
      <c r="Z162" s="431"/>
      <c r="AA162" s="26"/>
      <c r="AB162" s="26"/>
      <c r="AC162" s="931"/>
      <c r="AD162" s="512"/>
    </row>
    <row r="163" spans="2:30" ht="10.5" customHeight="1">
      <c r="B163" s="283"/>
      <c r="C163" s="378" t="s">
        <v>764</v>
      </c>
      <c r="D163" s="444">
        <v>62300</v>
      </c>
      <c r="E163" s="283"/>
      <c r="F163" s="283" t="s">
        <v>842</v>
      </c>
      <c r="G163" s="1009" t="s">
        <v>1309</v>
      </c>
      <c r="H163" s="1009" t="s">
        <v>1310</v>
      </c>
      <c r="I163" s="1010" t="s">
        <v>1311</v>
      </c>
      <c r="J163" s="1010" t="s">
        <v>2611</v>
      </c>
      <c r="K163" s="1011" t="s">
        <v>1822</v>
      </c>
      <c r="L163" s="1012" t="s">
        <v>423</v>
      </c>
      <c r="M163" s="1098" t="s">
        <v>2598</v>
      </c>
      <c r="N163" s="1098" t="s">
        <v>166</v>
      </c>
      <c r="O163" s="1288" t="s">
        <v>4294</v>
      </c>
      <c r="P163" s="554" t="s">
        <v>2083</v>
      </c>
      <c r="Q163" s="292"/>
      <c r="R163" s="170"/>
      <c r="S163" s="389"/>
      <c r="T163" s="501" t="s">
        <v>2082</v>
      </c>
      <c r="U163" s="501" t="s">
        <v>184</v>
      </c>
      <c r="W163" s="431" t="s">
        <v>1781</v>
      </c>
      <c r="X163" s="431" t="s">
        <v>3387</v>
      </c>
      <c r="Z163" s="431"/>
      <c r="AA163" s="26"/>
      <c r="AB163" s="26"/>
      <c r="AC163" s="931"/>
      <c r="AD163" s="512"/>
    </row>
    <row r="164" spans="2:30" ht="10.5" customHeight="1">
      <c r="B164" s="283"/>
      <c r="C164" s="378" t="s">
        <v>1779</v>
      </c>
      <c r="D164" s="444">
        <v>51200</v>
      </c>
      <c r="E164" s="283"/>
      <c r="F164" s="283" t="s">
        <v>843</v>
      </c>
      <c r="G164" s="1009" t="s">
        <v>1312</v>
      </c>
      <c r="H164" s="1009" t="s">
        <v>1310</v>
      </c>
      <c r="I164" s="1013" t="s">
        <v>763</v>
      </c>
      <c r="J164" s="1013" t="s">
        <v>2612</v>
      </c>
      <c r="K164" s="1011" t="s">
        <v>2575</v>
      </c>
      <c r="L164" s="1012" t="s">
        <v>424</v>
      </c>
      <c r="M164" s="1098" t="s">
        <v>1195</v>
      </c>
      <c r="N164" s="1098" t="s">
        <v>1204</v>
      </c>
      <c r="O164" s="1288" t="s">
        <v>4295</v>
      </c>
      <c r="P164" s="554" t="s">
        <v>2085</v>
      </c>
      <c r="Q164" s="292"/>
      <c r="R164" s="170"/>
      <c r="S164" s="389"/>
      <c r="T164" s="501" t="s">
        <v>2084</v>
      </c>
      <c r="U164" s="501" t="s">
        <v>112</v>
      </c>
      <c r="W164" s="431" t="s">
        <v>444</v>
      </c>
      <c r="X164" s="431" t="s">
        <v>3387</v>
      </c>
      <c r="Z164" s="431"/>
      <c r="AA164" s="26"/>
      <c r="AB164" s="26"/>
      <c r="AC164" s="931"/>
      <c r="AD164" s="512"/>
    </row>
    <row r="165" spans="2:30" ht="10.5" customHeight="1">
      <c r="B165" s="283"/>
      <c r="C165" s="378" t="s">
        <v>156</v>
      </c>
      <c r="D165" s="444">
        <v>51500</v>
      </c>
      <c r="E165" s="283"/>
      <c r="F165" s="283" t="s">
        <v>845</v>
      </c>
      <c r="G165" s="1009" t="s">
        <v>1313</v>
      </c>
      <c r="H165" s="1009" t="s">
        <v>1310</v>
      </c>
      <c r="I165" s="1013" t="s">
        <v>763</v>
      </c>
      <c r="J165" s="1013" t="s">
        <v>2612</v>
      </c>
      <c r="K165" s="1011" t="s">
        <v>2575</v>
      </c>
      <c r="L165" s="1012" t="s">
        <v>424</v>
      </c>
      <c r="M165" s="1098" t="s">
        <v>1195</v>
      </c>
      <c r="N165" s="1098" t="s">
        <v>1204</v>
      </c>
      <c r="O165" s="1288" t="s">
        <v>4296</v>
      </c>
      <c r="P165" s="554" t="s">
        <v>2087</v>
      </c>
      <c r="Q165" s="292"/>
      <c r="R165" s="170"/>
      <c r="S165" s="389"/>
      <c r="T165" s="501" t="s">
        <v>2086</v>
      </c>
      <c r="U165" s="501" t="s">
        <v>1316</v>
      </c>
      <c r="W165" s="431" t="s">
        <v>446</v>
      </c>
      <c r="X165" s="431" t="s">
        <v>3387</v>
      </c>
      <c r="Z165" s="431"/>
      <c r="AA165" s="26"/>
      <c r="AB165" s="26"/>
      <c r="AC165" s="931"/>
      <c r="AD165" s="512"/>
    </row>
    <row r="166" spans="2:30" ht="10.5" customHeight="1">
      <c r="B166" s="283"/>
      <c r="C166" s="378" t="s">
        <v>1311</v>
      </c>
      <c r="D166" s="444">
        <v>53300</v>
      </c>
      <c r="E166" s="283"/>
      <c r="F166" s="283" t="s">
        <v>844</v>
      </c>
      <c r="G166" s="1009" t="s">
        <v>1314</v>
      </c>
      <c r="H166" s="1009" t="s">
        <v>1210</v>
      </c>
      <c r="I166" s="1010" t="s">
        <v>1315</v>
      </c>
      <c r="J166" s="1010" t="s">
        <v>2611</v>
      </c>
      <c r="K166" s="1011" t="s">
        <v>2576</v>
      </c>
      <c r="L166" s="1012" t="s">
        <v>423</v>
      </c>
      <c r="M166" s="1098" t="s">
        <v>2598</v>
      </c>
      <c r="N166" s="1098" t="s">
        <v>1781</v>
      </c>
      <c r="O166" s="1288" t="s">
        <v>4297</v>
      </c>
      <c r="P166" s="554" t="s">
        <v>1961</v>
      </c>
      <c r="Q166" s="520"/>
      <c r="R166" s="170"/>
      <c r="S166" s="389"/>
      <c r="T166" s="501" t="s">
        <v>1781</v>
      </c>
      <c r="U166" s="501" t="s">
        <v>954</v>
      </c>
      <c r="W166" s="431" t="s">
        <v>1847</v>
      </c>
      <c r="X166" s="431" t="s">
        <v>3387</v>
      </c>
      <c r="Z166" s="431"/>
      <c r="AA166" s="26"/>
      <c r="AB166" s="26"/>
      <c r="AC166" s="931"/>
      <c r="AD166" s="512"/>
    </row>
    <row r="167" spans="2:30" ht="10.5" customHeight="1">
      <c r="B167" s="283"/>
      <c r="C167" s="379" t="s">
        <v>1038</v>
      </c>
      <c r="D167" s="444">
        <v>38200</v>
      </c>
      <c r="E167" s="283"/>
      <c r="F167" s="283" t="s">
        <v>846</v>
      </c>
      <c r="G167" s="1009" t="s">
        <v>1316</v>
      </c>
      <c r="H167" s="1009" t="s">
        <v>1210</v>
      </c>
      <c r="I167" s="1010" t="s">
        <v>1317</v>
      </c>
      <c r="J167" s="1010" t="s">
        <v>2611</v>
      </c>
      <c r="K167" s="1011" t="s">
        <v>2577</v>
      </c>
      <c r="L167" s="1012" t="s">
        <v>423</v>
      </c>
      <c r="M167" s="1098" t="s">
        <v>2598</v>
      </c>
      <c r="N167" s="1098" t="s">
        <v>1695</v>
      </c>
      <c r="O167" s="1288" t="s">
        <v>4298</v>
      </c>
      <c r="P167" s="554" t="s">
        <v>180</v>
      </c>
      <c r="Q167" s="520"/>
      <c r="R167" s="283"/>
      <c r="S167" s="389"/>
      <c r="T167" s="501" t="s">
        <v>1962</v>
      </c>
      <c r="U167" s="501" t="s">
        <v>429</v>
      </c>
      <c r="W167" s="431" t="s">
        <v>2547</v>
      </c>
      <c r="X167" s="431" t="s">
        <v>3387</v>
      </c>
      <c r="Z167" s="431"/>
      <c r="AA167" s="26"/>
      <c r="AB167" s="26"/>
      <c r="AC167" s="931"/>
      <c r="AD167" s="512"/>
    </row>
    <row r="168" spans="2:30" ht="10.5" customHeight="1">
      <c r="B168" s="283"/>
      <c r="C168" s="379" t="s">
        <v>1317</v>
      </c>
      <c r="D168" s="444">
        <v>44300</v>
      </c>
      <c r="E168" s="283"/>
      <c r="F168" s="283" t="s">
        <v>847</v>
      </c>
      <c r="G168" s="1009" t="s">
        <v>1318</v>
      </c>
      <c r="H168" s="1009" t="s">
        <v>1795</v>
      </c>
      <c r="I168" s="1013" t="s">
        <v>1319</v>
      </c>
      <c r="J168" s="1013" t="s">
        <v>2612</v>
      </c>
      <c r="K168" s="1011" t="s">
        <v>2578</v>
      </c>
      <c r="L168" s="1012" t="s">
        <v>424</v>
      </c>
      <c r="M168" s="1098" t="s">
        <v>1195</v>
      </c>
      <c r="N168" s="1098" t="s">
        <v>1319</v>
      </c>
      <c r="O168" s="1288" t="s">
        <v>4299</v>
      </c>
      <c r="P168" s="554" t="s">
        <v>182</v>
      </c>
      <c r="Q168" s="520"/>
      <c r="R168" s="170"/>
      <c r="S168" s="389"/>
      <c r="T168" s="501" t="s">
        <v>181</v>
      </c>
      <c r="U168" s="501" t="s">
        <v>1455</v>
      </c>
      <c r="W168" s="431" t="s">
        <v>2553</v>
      </c>
      <c r="X168" s="431" t="s">
        <v>3387</v>
      </c>
      <c r="Z168" s="431"/>
      <c r="AA168" s="26"/>
      <c r="AB168" s="26"/>
      <c r="AC168" s="931"/>
      <c r="AD168" s="512"/>
    </row>
    <row r="169" spans="2:30" ht="10.5" customHeight="1">
      <c r="B169" s="283"/>
      <c r="C169" s="379" t="s">
        <v>1321</v>
      </c>
      <c r="D169" s="444">
        <v>53100</v>
      </c>
      <c r="E169" s="283"/>
      <c r="F169" s="283" t="s">
        <v>848</v>
      </c>
      <c r="G169" s="1009" t="s">
        <v>1320</v>
      </c>
      <c r="H169" s="1009" t="s">
        <v>1210</v>
      </c>
      <c r="I169" s="1013" t="s">
        <v>1321</v>
      </c>
      <c r="J169" s="1013" t="s">
        <v>2611</v>
      </c>
      <c r="K169" s="1011" t="s">
        <v>2579</v>
      </c>
      <c r="L169" s="1012" t="s">
        <v>423</v>
      </c>
      <c r="M169" s="1098" t="s">
        <v>2598</v>
      </c>
      <c r="N169" s="1098" t="s">
        <v>1319</v>
      </c>
      <c r="O169" s="1288" t="s">
        <v>4300</v>
      </c>
      <c r="P169" s="554" t="s">
        <v>443</v>
      </c>
      <c r="Q169" s="292"/>
      <c r="R169" s="170"/>
      <c r="S169" s="389"/>
      <c r="T169" s="501" t="s">
        <v>183</v>
      </c>
      <c r="U169" s="501" t="s">
        <v>2398</v>
      </c>
      <c r="W169" s="431" t="s">
        <v>2558</v>
      </c>
      <c r="X169" s="431" t="s">
        <v>3387</v>
      </c>
      <c r="Z169" s="431"/>
      <c r="AA169" s="26"/>
      <c r="AB169" s="26"/>
      <c r="AC169" s="931"/>
      <c r="AD169" s="512"/>
    </row>
    <row r="170" spans="2:30" ht="10.5" customHeight="1">
      <c r="B170" s="283"/>
      <c r="C170" s="378" t="s">
        <v>11</v>
      </c>
      <c r="D170" s="444">
        <v>53000</v>
      </c>
      <c r="E170" s="283"/>
      <c r="F170" s="283" t="s">
        <v>852</v>
      </c>
      <c r="G170" s="1009" t="s">
        <v>1322</v>
      </c>
      <c r="H170" s="1009" t="s">
        <v>1210</v>
      </c>
      <c r="I170" s="1010" t="s">
        <v>11</v>
      </c>
      <c r="J170" s="1010" t="s">
        <v>2612</v>
      </c>
      <c r="K170" s="1011" t="s">
        <v>2580</v>
      </c>
      <c r="L170" s="1012" t="s">
        <v>424</v>
      </c>
      <c r="M170" s="1098" t="s">
        <v>1195</v>
      </c>
      <c r="N170" s="1098" t="s">
        <v>1695</v>
      </c>
      <c r="O170" s="1288" t="s">
        <v>4301</v>
      </c>
      <c r="P170" s="554" t="s">
        <v>445</v>
      </c>
      <c r="Q170" s="292"/>
      <c r="R170" s="170"/>
      <c r="S170" s="389"/>
      <c r="T170" s="501" t="s">
        <v>444</v>
      </c>
      <c r="U170" s="501" t="s">
        <v>1778</v>
      </c>
      <c r="W170" s="431" t="s">
        <v>166</v>
      </c>
      <c r="X170" s="431" t="s">
        <v>3387</v>
      </c>
      <c r="Z170" s="431"/>
      <c r="AA170" s="26"/>
      <c r="AB170" s="26"/>
      <c r="AC170" s="931"/>
      <c r="AD170" s="512"/>
    </row>
    <row r="171" spans="2:30" ht="10.5" customHeight="1">
      <c r="B171" s="283"/>
      <c r="C171" s="379" t="s">
        <v>1327</v>
      </c>
      <c r="D171" s="444">
        <v>46900</v>
      </c>
      <c r="E171" s="283"/>
      <c r="F171" s="283" t="s">
        <v>849</v>
      </c>
      <c r="G171" s="1009" t="s">
        <v>1323</v>
      </c>
      <c r="H171" s="1009" t="s">
        <v>1210</v>
      </c>
      <c r="I171" s="1010" t="s">
        <v>1695</v>
      </c>
      <c r="J171" s="1010" t="s">
        <v>2612</v>
      </c>
      <c r="K171" s="1011" t="s">
        <v>2581</v>
      </c>
      <c r="L171" s="1012" t="s">
        <v>424</v>
      </c>
      <c r="M171" s="1098" t="s">
        <v>1195</v>
      </c>
      <c r="N171" s="1098" t="s">
        <v>1695</v>
      </c>
      <c r="O171" s="1288" t="s">
        <v>4302</v>
      </c>
      <c r="P171" s="554" t="s">
        <v>447</v>
      </c>
      <c r="Q171" s="292"/>
      <c r="R171" s="170"/>
      <c r="S171" s="389"/>
      <c r="T171" s="501" t="s">
        <v>446</v>
      </c>
      <c r="U171" s="501" t="s">
        <v>1205</v>
      </c>
      <c r="W171" s="431" t="s">
        <v>1204</v>
      </c>
      <c r="X171" s="431" t="s">
        <v>3387</v>
      </c>
      <c r="Z171" s="431"/>
      <c r="AA171" s="26"/>
      <c r="AB171" s="26"/>
      <c r="AC171" s="931"/>
      <c r="AD171" s="512"/>
    </row>
    <row r="172" spans="2:30" ht="10.5" customHeight="1">
      <c r="B172" s="283"/>
      <c r="C172" s="378" t="s">
        <v>1036</v>
      </c>
      <c r="D172" s="444">
        <v>56600</v>
      </c>
      <c r="E172" s="283"/>
      <c r="F172" s="283" t="s">
        <v>850</v>
      </c>
      <c r="G172" s="1009" t="s">
        <v>1324</v>
      </c>
      <c r="H172" s="1009" t="s">
        <v>1210</v>
      </c>
      <c r="I172" s="1013" t="s">
        <v>1325</v>
      </c>
      <c r="J172" s="1013" t="s">
        <v>2612</v>
      </c>
      <c r="K172" s="1011" t="s">
        <v>1462</v>
      </c>
      <c r="L172" s="1012" t="s">
        <v>424</v>
      </c>
      <c r="M172" s="1098" t="s">
        <v>1195</v>
      </c>
      <c r="N172" s="1098" t="s">
        <v>1325</v>
      </c>
      <c r="O172" s="1288" t="s">
        <v>4303</v>
      </c>
      <c r="P172" s="554" t="s">
        <v>449</v>
      </c>
      <c r="Q172" s="292"/>
      <c r="R172" s="170"/>
      <c r="S172" s="389"/>
      <c r="T172" s="501" t="s">
        <v>448</v>
      </c>
      <c r="U172" s="501" t="s">
        <v>184</v>
      </c>
      <c r="W172" s="431" t="s">
        <v>2070</v>
      </c>
      <c r="X172" s="431" t="s">
        <v>3387</v>
      </c>
      <c r="Z172" s="431"/>
      <c r="AA172" s="26"/>
      <c r="AB172" s="26"/>
      <c r="AC172" s="931"/>
      <c r="AD172" s="512"/>
    </row>
    <row r="173" spans="2:30" ht="10.5" customHeight="1">
      <c r="B173" s="283"/>
      <c r="C173" s="379" t="s">
        <v>1332</v>
      </c>
      <c r="D173" s="444">
        <v>35000</v>
      </c>
      <c r="E173" s="283"/>
      <c r="F173" s="283" t="s">
        <v>851</v>
      </c>
      <c r="G173" s="1009" t="s">
        <v>1326</v>
      </c>
      <c r="H173" s="1009" t="s">
        <v>1210</v>
      </c>
      <c r="I173" s="1013" t="s">
        <v>1327</v>
      </c>
      <c r="J173" s="1013" t="s">
        <v>2611</v>
      </c>
      <c r="K173" s="1011" t="s">
        <v>2596</v>
      </c>
      <c r="L173" s="1012" t="s">
        <v>423</v>
      </c>
      <c r="M173" s="1098" t="s">
        <v>2598</v>
      </c>
      <c r="N173" s="1098" t="s">
        <v>1325</v>
      </c>
      <c r="O173" s="1288" t="s">
        <v>4304</v>
      </c>
      <c r="P173" s="554" t="s">
        <v>2261</v>
      </c>
      <c r="Q173" s="292"/>
      <c r="R173" s="170"/>
      <c r="S173" s="389"/>
      <c r="T173" s="501" t="s">
        <v>450</v>
      </c>
      <c r="U173" s="501" t="s">
        <v>122</v>
      </c>
      <c r="W173" s="431" t="s">
        <v>1329</v>
      </c>
      <c r="X173" s="431" t="s">
        <v>3387</v>
      </c>
      <c r="Z173" s="431"/>
      <c r="AA173" s="26"/>
      <c r="AB173" s="26"/>
      <c r="AC173" s="931"/>
      <c r="AD173" s="512"/>
    </row>
    <row r="174" spans="2:30" ht="10.5" customHeight="1">
      <c r="B174" s="283"/>
      <c r="C174" s="379" t="s">
        <v>729</v>
      </c>
      <c r="D174" s="444">
        <v>63800</v>
      </c>
      <c r="E174" s="283"/>
      <c r="F174" s="283" t="s">
        <v>853</v>
      </c>
      <c r="G174" s="1009" t="s">
        <v>1328</v>
      </c>
      <c r="H174" s="1009" t="s">
        <v>1210</v>
      </c>
      <c r="I174" s="1013" t="s">
        <v>764</v>
      </c>
      <c r="J174" s="1013" t="s">
        <v>2612</v>
      </c>
      <c r="K174" s="1011" t="s">
        <v>2597</v>
      </c>
      <c r="L174" s="1012" t="s">
        <v>424</v>
      </c>
      <c r="M174" s="1098" t="s">
        <v>2598</v>
      </c>
      <c r="N174" s="1098" t="s">
        <v>1329</v>
      </c>
      <c r="O174" s="1288" t="s">
        <v>4305</v>
      </c>
      <c r="P174" s="554" t="s">
        <v>2263</v>
      </c>
      <c r="Q174" s="292"/>
      <c r="R174" s="170"/>
      <c r="S174" s="389"/>
      <c r="T174" s="501" t="s">
        <v>2262</v>
      </c>
      <c r="U174" s="501" t="s">
        <v>2486</v>
      </c>
      <c r="W174" s="431" t="s">
        <v>2073</v>
      </c>
      <c r="X174" s="431" t="s">
        <v>3387</v>
      </c>
      <c r="Z174" s="431"/>
      <c r="AA174" s="26"/>
      <c r="AB174" s="26"/>
      <c r="AC174" s="931"/>
      <c r="AD174" s="512"/>
    </row>
    <row r="175" spans="2:30" ht="10.5" customHeight="1">
      <c r="B175" s="283"/>
      <c r="C175" s="379" t="s">
        <v>731</v>
      </c>
      <c r="D175" s="444">
        <v>37200</v>
      </c>
      <c r="E175" s="283"/>
      <c r="F175" s="283" t="s">
        <v>854</v>
      </c>
      <c r="G175" s="1009" t="s">
        <v>1330</v>
      </c>
      <c r="H175" s="1009" t="s">
        <v>1310</v>
      </c>
      <c r="I175" s="1013" t="s">
        <v>1036</v>
      </c>
      <c r="J175" s="1013" t="s">
        <v>2612</v>
      </c>
      <c r="K175" s="1011" t="s">
        <v>1256</v>
      </c>
      <c r="L175" s="1012" t="s">
        <v>424</v>
      </c>
      <c r="M175" s="1098" t="s">
        <v>2598</v>
      </c>
      <c r="N175" s="1098" t="s">
        <v>1204</v>
      </c>
      <c r="O175" s="1288" t="s">
        <v>4306</v>
      </c>
      <c r="P175" s="554" t="s">
        <v>368</v>
      </c>
      <c r="Q175" s="292"/>
      <c r="R175" s="170"/>
      <c r="S175" s="389"/>
      <c r="T175" s="501" t="s">
        <v>1847</v>
      </c>
      <c r="U175" s="501" t="s">
        <v>2176</v>
      </c>
      <c r="W175" s="431" t="s">
        <v>2106</v>
      </c>
      <c r="X175" s="431" t="s">
        <v>3387</v>
      </c>
      <c r="Z175" s="431"/>
      <c r="AA175" s="26"/>
      <c r="AB175" s="26"/>
      <c r="AC175" s="931"/>
      <c r="AD175" s="512"/>
    </row>
    <row r="176" spans="2:30" ht="10.5" customHeight="1">
      <c r="B176" s="283"/>
      <c r="C176" s="378" t="s">
        <v>158</v>
      </c>
      <c r="D176" s="444">
        <v>55400</v>
      </c>
      <c r="E176" s="283"/>
      <c r="F176" s="283" t="s">
        <v>855</v>
      </c>
      <c r="G176" s="1009" t="s">
        <v>1331</v>
      </c>
      <c r="H176" s="1009" t="s">
        <v>1210</v>
      </c>
      <c r="I176" s="1010" t="s">
        <v>1332</v>
      </c>
      <c r="J176" s="1010" t="s">
        <v>2611</v>
      </c>
      <c r="K176" s="1011" t="s">
        <v>1257</v>
      </c>
      <c r="L176" s="1012" t="s">
        <v>423</v>
      </c>
      <c r="M176" s="1098" t="s">
        <v>2598</v>
      </c>
      <c r="N176" s="1098" t="s">
        <v>1781</v>
      </c>
      <c r="O176" s="1288" t="s">
        <v>4307</v>
      </c>
      <c r="P176" s="554" t="s">
        <v>370</v>
      </c>
      <c r="Q176" s="292"/>
      <c r="R176" s="170"/>
      <c r="S176" s="389"/>
      <c r="T176" s="501" t="s">
        <v>369</v>
      </c>
      <c r="U176" s="501" t="s">
        <v>2176</v>
      </c>
      <c r="W176" s="431" t="s">
        <v>2110</v>
      </c>
      <c r="X176" s="431" t="s">
        <v>3387</v>
      </c>
      <c r="Z176" s="431"/>
      <c r="AA176" s="26"/>
      <c r="AB176" s="26"/>
      <c r="AC176" s="931"/>
      <c r="AD176" s="512"/>
    </row>
    <row r="177" spans="2:30" ht="10.5" customHeight="1">
      <c r="B177" s="283"/>
      <c r="C177" s="378" t="s">
        <v>1520</v>
      </c>
      <c r="D177" s="444">
        <v>61700</v>
      </c>
      <c r="E177" s="283"/>
      <c r="F177" s="283" t="s">
        <v>858</v>
      </c>
      <c r="G177" s="1009" t="s">
        <v>1333</v>
      </c>
      <c r="H177" s="1009" t="s">
        <v>1210</v>
      </c>
      <c r="I177" s="1013" t="s">
        <v>729</v>
      </c>
      <c r="J177" s="1013" t="s">
        <v>2611</v>
      </c>
      <c r="K177" s="1011" t="s">
        <v>1258</v>
      </c>
      <c r="L177" s="1012" t="s">
        <v>423</v>
      </c>
      <c r="M177" s="1098" t="s">
        <v>2598</v>
      </c>
      <c r="N177" s="1098" t="s">
        <v>1695</v>
      </c>
      <c r="O177" s="1288" t="s">
        <v>4308</v>
      </c>
      <c r="P177" s="554" t="s">
        <v>2544</v>
      </c>
      <c r="Q177" s="292"/>
      <c r="R177" s="170"/>
      <c r="S177" s="389"/>
      <c r="T177" s="501" t="s">
        <v>1209</v>
      </c>
      <c r="U177" s="501" t="s">
        <v>2527</v>
      </c>
      <c r="W177" s="431" t="s">
        <v>1782</v>
      </c>
      <c r="X177" s="431" t="s">
        <v>3387</v>
      </c>
      <c r="Z177" s="431"/>
      <c r="AA177" s="26"/>
      <c r="AB177" s="26"/>
      <c r="AC177" s="931"/>
      <c r="AD177" s="512"/>
    </row>
    <row r="178" spans="2:30" ht="10.5" customHeight="1">
      <c r="B178" s="283"/>
      <c r="C178" s="378" t="s">
        <v>163</v>
      </c>
      <c r="D178" s="444">
        <v>42900</v>
      </c>
      <c r="E178" s="283"/>
      <c r="F178" s="283" t="s">
        <v>857</v>
      </c>
      <c r="G178" s="1009" t="s">
        <v>730</v>
      </c>
      <c r="H178" s="1009" t="s">
        <v>1210</v>
      </c>
      <c r="I178" s="1010" t="s">
        <v>731</v>
      </c>
      <c r="J178" s="1010" t="s">
        <v>2611</v>
      </c>
      <c r="K178" s="1011" t="s">
        <v>1710</v>
      </c>
      <c r="L178" s="1012" t="s">
        <v>423</v>
      </c>
      <c r="M178" s="1098" t="s">
        <v>2598</v>
      </c>
      <c r="N178" s="1098" t="s">
        <v>1325</v>
      </c>
      <c r="O178" s="1288" t="s">
        <v>4309</v>
      </c>
      <c r="P178" s="554" t="s">
        <v>2546</v>
      </c>
      <c r="Q178" s="292"/>
      <c r="R178" s="170"/>
      <c r="S178" s="389"/>
      <c r="T178" s="501" t="s">
        <v>2545</v>
      </c>
      <c r="U178" s="501" t="s">
        <v>2532</v>
      </c>
      <c r="W178" s="431" t="s">
        <v>1006</v>
      </c>
      <c r="X178" s="431" t="s">
        <v>3387</v>
      </c>
      <c r="Z178" s="431"/>
      <c r="AA178" s="26"/>
      <c r="AB178" s="26"/>
      <c r="AC178" s="931"/>
      <c r="AD178" s="512"/>
    </row>
    <row r="179" spans="2:30" ht="10.5" customHeight="1">
      <c r="B179" s="283"/>
      <c r="C179" s="378" t="s">
        <v>2481</v>
      </c>
      <c r="D179" s="444">
        <v>30600</v>
      </c>
      <c r="E179" s="283"/>
      <c r="F179" s="283" t="s">
        <v>856</v>
      </c>
      <c r="G179" s="1009" t="s">
        <v>732</v>
      </c>
      <c r="H179" s="1009" t="s">
        <v>1310</v>
      </c>
      <c r="I179" s="1013" t="s">
        <v>763</v>
      </c>
      <c r="J179" s="1013" t="s">
        <v>2612</v>
      </c>
      <c r="K179" s="1011" t="s">
        <v>2575</v>
      </c>
      <c r="L179" s="1012" t="s">
        <v>424</v>
      </c>
      <c r="M179" s="1098" t="s">
        <v>1195</v>
      </c>
      <c r="N179" s="1098" t="s">
        <v>1204</v>
      </c>
      <c r="O179" s="1288" t="s">
        <v>4310</v>
      </c>
      <c r="P179" s="554" t="s">
        <v>2548</v>
      </c>
      <c r="Q179" s="292"/>
      <c r="R179" s="170"/>
      <c r="S179" s="389"/>
      <c r="T179" s="501" t="s">
        <v>2547</v>
      </c>
      <c r="U179" s="501" t="s">
        <v>1096</v>
      </c>
      <c r="W179" s="431" t="s">
        <v>2444</v>
      </c>
      <c r="X179" s="431" t="s">
        <v>3387</v>
      </c>
      <c r="Z179" s="431"/>
      <c r="AA179" s="26"/>
      <c r="AB179" s="26"/>
      <c r="AC179" s="931"/>
      <c r="AD179" s="512"/>
    </row>
    <row r="180" spans="2:30" ht="10.5" customHeight="1">
      <c r="B180" s="283"/>
      <c r="C180" s="379" t="s">
        <v>2484</v>
      </c>
      <c r="D180" s="444">
        <v>43100</v>
      </c>
      <c r="E180" s="283"/>
      <c r="F180" s="283" t="s">
        <v>859</v>
      </c>
      <c r="G180" s="1009" t="s">
        <v>1519</v>
      </c>
      <c r="H180" s="1009" t="s">
        <v>1310</v>
      </c>
      <c r="I180" s="1013" t="s">
        <v>1520</v>
      </c>
      <c r="J180" s="1013" t="s">
        <v>2612</v>
      </c>
      <c r="K180" s="1011" t="s">
        <v>1679</v>
      </c>
      <c r="L180" s="1012" t="s">
        <v>424</v>
      </c>
      <c r="M180" s="1098" t="s">
        <v>2598</v>
      </c>
      <c r="N180" s="1098" t="s">
        <v>1520</v>
      </c>
      <c r="O180" s="1288" t="s">
        <v>4311</v>
      </c>
      <c r="P180" s="554" t="s">
        <v>2550</v>
      </c>
      <c r="Q180" s="292"/>
      <c r="R180" s="170"/>
      <c r="S180" s="389"/>
      <c r="T180" s="501" t="s">
        <v>2549</v>
      </c>
      <c r="U180" s="501" t="s">
        <v>323</v>
      </c>
      <c r="W180" s="431" t="s">
        <v>2446</v>
      </c>
      <c r="X180" s="431" t="s">
        <v>3387</v>
      </c>
      <c r="Z180" s="431"/>
      <c r="AA180" s="26"/>
      <c r="AB180" s="26"/>
      <c r="AC180" s="931"/>
      <c r="AD180" s="512"/>
    </row>
    <row r="181" spans="2:30" ht="10.5" customHeight="1">
      <c r="B181" s="283"/>
      <c r="C181" s="379" t="s">
        <v>2487</v>
      </c>
      <c r="D181" s="444">
        <v>44200</v>
      </c>
      <c r="E181" s="283"/>
      <c r="F181" s="283" t="s">
        <v>860</v>
      </c>
      <c r="G181" s="1009" t="s">
        <v>157</v>
      </c>
      <c r="H181" s="1009" t="s">
        <v>1210</v>
      </c>
      <c r="I181" s="1010" t="s">
        <v>158</v>
      </c>
      <c r="J181" s="1010" t="s">
        <v>2611</v>
      </c>
      <c r="K181" s="1011" t="s">
        <v>1680</v>
      </c>
      <c r="L181" s="1012" t="s">
        <v>423</v>
      </c>
      <c r="M181" s="1098" t="s">
        <v>2598</v>
      </c>
      <c r="N181" s="1098" t="s">
        <v>1695</v>
      </c>
      <c r="O181" s="1288" t="s">
        <v>4312</v>
      </c>
      <c r="P181" s="554" t="s">
        <v>2552</v>
      </c>
      <c r="Q181" s="292"/>
      <c r="R181" s="170"/>
      <c r="S181" s="389"/>
      <c r="T181" s="501" t="s">
        <v>2551</v>
      </c>
      <c r="U181" s="501" t="s">
        <v>2483</v>
      </c>
      <c r="W181" s="431" t="s">
        <v>2448</v>
      </c>
      <c r="X181" s="431" t="s">
        <v>3387</v>
      </c>
      <c r="Z181" s="431"/>
      <c r="AA181" s="26"/>
      <c r="AB181" s="26"/>
      <c r="AC181" s="931"/>
      <c r="AD181" s="512"/>
    </row>
    <row r="182" spans="2:30" ht="10.5" customHeight="1">
      <c r="B182" s="283"/>
      <c r="C182" s="379" t="s">
        <v>2526</v>
      </c>
      <c r="D182" s="444">
        <v>40600</v>
      </c>
      <c r="E182" s="283"/>
      <c r="F182" s="283" t="s">
        <v>1340</v>
      </c>
      <c r="G182" s="1009" t="s">
        <v>159</v>
      </c>
      <c r="H182" s="1009" t="s">
        <v>1795</v>
      </c>
      <c r="I182" s="1013" t="s">
        <v>1325</v>
      </c>
      <c r="J182" s="1013" t="s">
        <v>2612</v>
      </c>
      <c r="K182" s="1011" t="s">
        <v>1462</v>
      </c>
      <c r="L182" s="1012" t="s">
        <v>424</v>
      </c>
      <c r="M182" s="1098" t="s">
        <v>1195</v>
      </c>
      <c r="N182" s="1098" t="s">
        <v>1325</v>
      </c>
      <c r="O182" s="1288" t="s">
        <v>4313</v>
      </c>
      <c r="P182" s="554" t="s">
        <v>2554</v>
      </c>
      <c r="Q182" s="292"/>
      <c r="R182" s="170"/>
      <c r="S182" s="389"/>
      <c r="T182" s="501" t="s">
        <v>2553</v>
      </c>
      <c r="U182" s="501" t="s">
        <v>1331</v>
      </c>
      <c r="W182" s="431" t="s">
        <v>2451</v>
      </c>
      <c r="X182" s="431" t="s">
        <v>3387</v>
      </c>
      <c r="Z182" s="431"/>
      <c r="AA182" s="26"/>
      <c r="AB182" s="26"/>
      <c r="AC182" s="931"/>
      <c r="AD182" s="512"/>
    </row>
    <row r="183" spans="2:30" ht="10.5" customHeight="1">
      <c r="B183" s="283"/>
      <c r="C183" s="378" t="s">
        <v>161</v>
      </c>
      <c r="D183" s="444">
        <v>56000</v>
      </c>
      <c r="E183" s="283"/>
      <c r="F183" s="283" t="s">
        <v>861</v>
      </c>
      <c r="G183" s="1009" t="s">
        <v>160</v>
      </c>
      <c r="H183" s="1009" t="s">
        <v>1210</v>
      </c>
      <c r="I183" s="1013" t="s">
        <v>161</v>
      </c>
      <c r="J183" s="1013" t="s">
        <v>2612</v>
      </c>
      <c r="K183" s="1011" t="s">
        <v>1681</v>
      </c>
      <c r="L183" s="1012" t="s">
        <v>424</v>
      </c>
      <c r="M183" s="1098" t="s">
        <v>2598</v>
      </c>
      <c r="N183" s="1098" t="s">
        <v>161</v>
      </c>
      <c r="O183" s="1288" t="s">
        <v>4314</v>
      </c>
      <c r="P183" s="554" t="s">
        <v>2555</v>
      </c>
      <c r="Q183" s="292"/>
      <c r="R183" s="170"/>
      <c r="S183" s="389"/>
      <c r="T183" s="501" t="s">
        <v>2556</v>
      </c>
      <c r="U183" s="501" t="s">
        <v>2590</v>
      </c>
      <c r="W183" s="431" t="s">
        <v>2230</v>
      </c>
      <c r="X183" s="431" t="s">
        <v>3387</v>
      </c>
      <c r="Z183" s="431"/>
      <c r="AA183" s="26"/>
      <c r="AB183" s="26"/>
      <c r="AC183" s="931"/>
      <c r="AD183" s="512"/>
    </row>
    <row r="184" spans="2:30" ht="10.5" customHeight="1">
      <c r="B184" s="283"/>
      <c r="C184" s="379" t="s">
        <v>2529</v>
      </c>
      <c r="D184" s="444">
        <v>43800</v>
      </c>
      <c r="E184" s="283"/>
      <c r="F184" s="283" t="s">
        <v>1341</v>
      </c>
      <c r="G184" s="1009" t="s">
        <v>162</v>
      </c>
      <c r="H184" s="1009" t="s">
        <v>1310</v>
      </c>
      <c r="I184" s="1010" t="s">
        <v>163</v>
      </c>
      <c r="J184" s="1010" t="s">
        <v>2611</v>
      </c>
      <c r="K184" s="1011" t="s">
        <v>1682</v>
      </c>
      <c r="L184" s="1012" t="s">
        <v>423</v>
      </c>
      <c r="M184" s="1098" t="s">
        <v>2598</v>
      </c>
      <c r="N184" s="1098" t="s">
        <v>1520</v>
      </c>
      <c r="O184" s="1288" t="s">
        <v>4315</v>
      </c>
      <c r="P184" s="554" t="s">
        <v>2557</v>
      </c>
      <c r="Q184" s="292"/>
      <c r="R184" s="170"/>
      <c r="S184" s="389"/>
      <c r="T184" s="501" t="s">
        <v>2558</v>
      </c>
      <c r="U184" s="501" t="s">
        <v>1916</v>
      </c>
      <c r="W184" s="431" t="s">
        <v>2330</v>
      </c>
      <c r="X184" s="431" t="s">
        <v>3387</v>
      </c>
      <c r="Z184" s="431"/>
      <c r="AA184" s="26"/>
      <c r="AB184" s="26"/>
      <c r="AC184" s="931"/>
      <c r="AD184" s="512"/>
    </row>
    <row r="185" spans="2:30" ht="10.5" customHeight="1">
      <c r="B185" s="283"/>
      <c r="C185" s="379" t="s">
        <v>193</v>
      </c>
      <c r="D185" s="444">
        <v>43200</v>
      </c>
      <c r="E185" s="283"/>
      <c r="F185" s="283" t="s">
        <v>1348</v>
      </c>
      <c r="G185" s="1009" t="s">
        <v>164</v>
      </c>
      <c r="H185" s="1009" t="s">
        <v>1310</v>
      </c>
      <c r="I185" s="1013" t="s">
        <v>763</v>
      </c>
      <c r="J185" s="1013" t="s">
        <v>2612</v>
      </c>
      <c r="K185" s="1011" t="s">
        <v>2575</v>
      </c>
      <c r="L185" s="1012" t="s">
        <v>424</v>
      </c>
      <c r="M185" s="1098" t="s">
        <v>1195</v>
      </c>
      <c r="N185" s="1098" t="s">
        <v>1204</v>
      </c>
      <c r="O185" s="1288" t="s">
        <v>4316</v>
      </c>
      <c r="P185" s="554" t="s">
        <v>417</v>
      </c>
      <c r="Q185" s="292"/>
      <c r="R185" s="170"/>
      <c r="S185" s="389"/>
      <c r="T185" s="501" t="s">
        <v>166</v>
      </c>
      <c r="U185" s="501" t="s">
        <v>165</v>
      </c>
      <c r="W185" s="431" t="s">
        <v>305</v>
      </c>
      <c r="X185" s="431" t="s">
        <v>3387</v>
      </c>
      <c r="Z185" s="431"/>
      <c r="AA185" s="26"/>
      <c r="AB185" s="26"/>
      <c r="AC185" s="931"/>
      <c r="AD185" s="512"/>
    </row>
    <row r="186" spans="2:30" ht="10.5" customHeight="1">
      <c r="B186" s="283"/>
      <c r="C186" s="379" t="s">
        <v>335</v>
      </c>
      <c r="D186" s="444">
        <v>55000</v>
      </c>
      <c r="E186" s="283"/>
      <c r="F186" s="283" t="s">
        <v>1349</v>
      </c>
      <c r="G186" s="1009" t="s">
        <v>165</v>
      </c>
      <c r="H186" s="1009" t="s">
        <v>1310</v>
      </c>
      <c r="I186" s="1010" t="s">
        <v>2042</v>
      </c>
      <c r="J186" s="1010" t="s">
        <v>2612</v>
      </c>
      <c r="K186" s="1011" t="s">
        <v>619</v>
      </c>
      <c r="L186" s="1012" t="s">
        <v>424</v>
      </c>
      <c r="M186" s="1099" t="s">
        <v>1195</v>
      </c>
      <c r="N186" s="1099" t="s">
        <v>166</v>
      </c>
      <c r="O186" s="1288" t="s">
        <v>4317</v>
      </c>
      <c r="P186" s="554" t="s">
        <v>418</v>
      </c>
      <c r="Q186" s="292"/>
      <c r="R186" s="283"/>
      <c r="S186" s="389"/>
      <c r="T186" s="501" t="s">
        <v>1204</v>
      </c>
      <c r="U186" s="501" t="s">
        <v>1205</v>
      </c>
      <c r="W186" s="431" t="s">
        <v>11</v>
      </c>
      <c r="X186" s="431" t="s">
        <v>3387</v>
      </c>
      <c r="Z186" s="431"/>
      <c r="AA186" s="26"/>
      <c r="AB186" s="26"/>
      <c r="AC186" s="931"/>
      <c r="AD186" s="512"/>
    </row>
    <row r="187" spans="2:30" ht="10.5" customHeight="1">
      <c r="B187" s="283"/>
      <c r="C187" s="378" t="s">
        <v>197</v>
      </c>
      <c r="D187" s="444">
        <v>44000</v>
      </c>
      <c r="E187" s="283"/>
      <c r="F187" s="283" t="s">
        <v>1342</v>
      </c>
      <c r="G187" s="1009" t="s">
        <v>2480</v>
      </c>
      <c r="H187" s="1009" t="s">
        <v>1210</v>
      </c>
      <c r="I187" s="1010" t="s">
        <v>2481</v>
      </c>
      <c r="J187" s="1010" t="s">
        <v>2611</v>
      </c>
      <c r="K187" s="1011" t="s">
        <v>620</v>
      </c>
      <c r="L187" s="1012" t="s">
        <v>423</v>
      </c>
      <c r="M187" s="1099" t="s">
        <v>2598</v>
      </c>
      <c r="N187" s="1099" t="s">
        <v>1781</v>
      </c>
      <c r="O187" s="1288" t="s">
        <v>4318</v>
      </c>
      <c r="P187" s="554" t="s">
        <v>777</v>
      </c>
      <c r="Q187" s="520"/>
      <c r="R187" s="170"/>
      <c r="S187" s="389"/>
      <c r="T187" s="501" t="s">
        <v>778</v>
      </c>
      <c r="U187" s="501" t="s">
        <v>196</v>
      </c>
      <c r="W187" s="431" t="s">
        <v>13</v>
      </c>
      <c r="X187" s="431" t="s">
        <v>3387</v>
      </c>
      <c r="Z187" s="431"/>
      <c r="AA187" s="26"/>
      <c r="AB187" s="26"/>
      <c r="AC187" s="931"/>
      <c r="AD187" s="512"/>
    </row>
    <row r="188" spans="2:30" ht="10.5" customHeight="1">
      <c r="B188" s="283"/>
      <c r="C188" s="378" t="s">
        <v>951</v>
      </c>
      <c r="D188" s="444">
        <v>46300</v>
      </c>
      <c r="E188" s="283"/>
      <c r="F188" s="283" t="s">
        <v>1344</v>
      </c>
      <c r="G188" s="1009" t="s">
        <v>2482</v>
      </c>
      <c r="H188" s="1009" t="s">
        <v>1795</v>
      </c>
      <c r="I188" s="1013" t="s">
        <v>763</v>
      </c>
      <c r="J188" s="1013" t="s">
        <v>2612</v>
      </c>
      <c r="K188" s="1011" t="s">
        <v>2575</v>
      </c>
      <c r="L188" s="1012" t="s">
        <v>424</v>
      </c>
      <c r="M188" s="1098" t="s">
        <v>1195</v>
      </c>
      <c r="N188" s="1098" t="s">
        <v>1204</v>
      </c>
      <c r="O188" s="1288" t="s">
        <v>4319</v>
      </c>
      <c r="P188" s="554" t="s">
        <v>779</v>
      </c>
      <c r="Q188" s="520"/>
      <c r="R188" s="170"/>
      <c r="S188" s="389"/>
      <c r="T188" s="501" t="s">
        <v>2070</v>
      </c>
      <c r="U188" s="501" t="s">
        <v>1312</v>
      </c>
      <c r="W188" s="431" t="s">
        <v>59</v>
      </c>
      <c r="X188" s="431" t="s">
        <v>3387</v>
      </c>
      <c r="Z188" s="431"/>
      <c r="AA188" s="26"/>
      <c r="AB188" s="26"/>
      <c r="AC188" s="931"/>
      <c r="AD188" s="512"/>
    </row>
    <row r="189" spans="2:30" ht="10.5" customHeight="1">
      <c r="B189" s="283"/>
      <c r="C189" s="379" t="s">
        <v>953</v>
      </c>
      <c r="D189" s="444">
        <v>38800</v>
      </c>
      <c r="E189" s="283"/>
      <c r="F189" s="283" t="s">
        <v>1345</v>
      </c>
      <c r="G189" s="1009" t="s">
        <v>2483</v>
      </c>
      <c r="H189" s="1009" t="s">
        <v>1210</v>
      </c>
      <c r="I189" s="1010" t="s">
        <v>2484</v>
      </c>
      <c r="J189" s="1010" t="s">
        <v>2611</v>
      </c>
      <c r="K189" s="1011" t="s">
        <v>621</v>
      </c>
      <c r="L189" s="1012" t="s">
        <v>423</v>
      </c>
      <c r="M189" s="1099" t="s">
        <v>2598</v>
      </c>
      <c r="N189" s="1099" t="s">
        <v>1695</v>
      </c>
      <c r="O189" s="1288" t="s">
        <v>4320</v>
      </c>
      <c r="P189" s="554" t="s">
        <v>2071</v>
      </c>
      <c r="Q189" s="520"/>
      <c r="R189" s="170"/>
      <c r="S189" s="389"/>
      <c r="T189" s="501" t="s">
        <v>1329</v>
      </c>
      <c r="U189" s="501" t="s">
        <v>1108</v>
      </c>
      <c r="W189" s="431" t="s">
        <v>61</v>
      </c>
      <c r="X189" s="431" t="s">
        <v>3387</v>
      </c>
      <c r="Z189" s="431"/>
      <c r="AA189" s="26"/>
      <c r="AB189" s="26"/>
      <c r="AC189" s="931"/>
      <c r="AD189" s="512"/>
    </row>
    <row r="190" spans="2:30" ht="10.5" customHeight="1">
      <c r="B190" s="283"/>
      <c r="C190" s="378" t="s">
        <v>874</v>
      </c>
      <c r="D190" s="444">
        <v>42400</v>
      </c>
      <c r="E190" s="283"/>
      <c r="F190" s="283" t="s">
        <v>1346</v>
      </c>
      <c r="G190" s="1009" t="s">
        <v>2485</v>
      </c>
      <c r="H190" s="1009" t="s">
        <v>1795</v>
      </c>
      <c r="I190" s="1013" t="s">
        <v>763</v>
      </c>
      <c r="J190" s="1013" t="s">
        <v>2612</v>
      </c>
      <c r="K190" s="1011" t="s">
        <v>2575</v>
      </c>
      <c r="L190" s="1012" t="s">
        <v>424</v>
      </c>
      <c r="M190" s="1098" t="s">
        <v>1195</v>
      </c>
      <c r="N190" s="1098" t="s">
        <v>1204</v>
      </c>
      <c r="O190" s="1288" t="s">
        <v>4321</v>
      </c>
      <c r="P190" s="554" t="s">
        <v>2072</v>
      </c>
      <c r="Q190" s="520"/>
      <c r="R190" s="170"/>
      <c r="S190" s="389"/>
      <c r="T190" s="501" t="s">
        <v>2073</v>
      </c>
      <c r="U190" s="501" t="s">
        <v>2485</v>
      </c>
      <c r="W190" s="431" t="s">
        <v>352</v>
      </c>
      <c r="X190" s="431" t="s">
        <v>3387</v>
      </c>
      <c r="Z190" s="431"/>
      <c r="AA190" s="26"/>
      <c r="AB190" s="26"/>
      <c r="AC190" s="931"/>
      <c r="AD190" s="512"/>
    </row>
    <row r="191" spans="2:30" ht="10.5" customHeight="1">
      <c r="B191" s="283"/>
      <c r="C191" s="379" t="s">
        <v>878</v>
      </c>
      <c r="D191" s="444">
        <v>43800</v>
      </c>
      <c r="E191" s="283"/>
      <c r="F191" s="283" t="s">
        <v>1343</v>
      </c>
      <c r="G191" s="1009" t="s">
        <v>2486</v>
      </c>
      <c r="H191" s="1009" t="s">
        <v>1210</v>
      </c>
      <c r="I191" s="1010" t="s">
        <v>2487</v>
      </c>
      <c r="J191" s="1010" t="s">
        <v>2611</v>
      </c>
      <c r="K191" s="1011" t="s">
        <v>622</v>
      </c>
      <c r="L191" s="1012" t="s">
        <v>423</v>
      </c>
      <c r="M191" s="1099" t="s">
        <v>2598</v>
      </c>
      <c r="N191" s="1099" t="s">
        <v>1695</v>
      </c>
      <c r="O191" s="1288" t="s">
        <v>4322</v>
      </c>
      <c r="P191" s="554" t="s">
        <v>2074</v>
      </c>
      <c r="Q191" s="520"/>
      <c r="R191" s="170"/>
      <c r="S191" s="389"/>
      <c r="T191" s="501" t="s">
        <v>1998</v>
      </c>
      <c r="U191" s="501" t="s">
        <v>2172</v>
      </c>
      <c r="W191" s="431" t="s">
        <v>356</v>
      </c>
      <c r="X191" s="431" t="s">
        <v>3387</v>
      </c>
      <c r="Z191" s="431"/>
      <c r="AA191" s="26"/>
      <c r="AB191" s="26"/>
      <c r="AC191" s="931"/>
      <c r="AD191" s="512"/>
    </row>
    <row r="192" spans="2:30" ht="10.5" customHeight="1">
      <c r="B192" s="283"/>
      <c r="C192" s="379" t="s">
        <v>2242</v>
      </c>
      <c r="D192" s="444">
        <v>41900</v>
      </c>
      <c r="E192" s="283"/>
      <c r="F192" s="283" t="s">
        <v>1347</v>
      </c>
      <c r="G192" s="1009" t="s">
        <v>2488</v>
      </c>
      <c r="H192" s="1009" t="s">
        <v>1210</v>
      </c>
      <c r="I192" s="1010" t="s">
        <v>2526</v>
      </c>
      <c r="J192" s="1010" t="s">
        <v>2611</v>
      </c>
      <c r="K192" s="1011" t="s">
        <v>623</v>
      </c>
      <c r="L192" s="1012" t="s">
        <v>423</v>
      </c>
      <c r="M192" s="1099" t="s">
        <v>2598</v>
      </c>
      <c r="N192" s="1099" t="s">
        <v>1781</v>
      </c>
      <c r="O192" s="1288" t="s">
        <v>4323</v>
      </c>
      <c r="P192" s="554" t="s">
        <v>2105</v>
      </c>
      <c r="Q192" s="520"/>
      <c r="R192" s="170"/>
      <c r="S192" s="389"/>
      <c r="T192" s="501" t="s">
        <v>2075</v>
      </c>
      <c r="U192" s="501" t="s">
        <v>328</v>
      </c>
      <c r="W192" s="431" t="s">
        <v>2289</v>
      </c>
      <c r="X192" s="431" t="s">
        <v>3387</v>
      </c>
      <c r="Z192" s="431"/>
      <c r="AA192" s="26"/>
      <c r="AB192" s="26"/>
      <c r="AC192" s="931"/>
      <c r="AD192" s="512"/>
    </row>
    <row r="193" spans="2:30" ht="10.5" customHeight="1">
      <c r="B193" s="283"/>
      <c r="C193" s="379" t="s">
        <v>653</v>
      </c>
      <c r="D193" s="444">
        <v>44700</v>
      </c>
      <c r="E193" s="283"/>
      <c r="F193" s="283" t="s">
        <v>1350</v>
      </c>
      <c r="G193" s="1009" t="s">
        <v>2527</v>
      </c>
      <c r="H193" s="1009" t="s">
        <v>1310</v>
      </c>
      <c r="I193" s="1013" t="s">
        <v>764</v>
      </c>
      <c r="J193" s="1013" t="s">
        <v>2612</v>
      </c>
      <c r="K193" s="1011" t="s">
        <v>2597</v>
      </c>
      <c r="L193" s="1012" t="s">
        <v>424</v>
      </c>
      <c r="M193" s="1098" t="s">
        <v>2598</v>
      </c>
      <c r="N193" s="1098" t="s">
        <v>1329</v>
      </c>
      <c r="O193" s="1288" t="s">
        <v>4324</v>
      </c>
      <c r="P193" s="554" t="s">
        <v>2107</v>
      </c>
      <c r="Q193" s="520"/>
      <c r="R193" s="170"/>
      <c r="S193" s="389"/>
      <c r="T193" s="501" t="s">
        <v>2106</v>
      </c>
      <c r="U193" s="501" t="s">
        <v>627</v>
      </c>
      <c r="W193" s="431" t="s">
        <v>1331</v>
      </c>
      <c r="X193" s="431" t="s">
        <v>3387</v>
      </c>
      <c r="Z193" s="431"/>
      <c r="AA193" s="26"/>
      <c r="AB193" s="26"/>
      <c r="AC193" s="931"/>
      <c r="AD193" s="512"/>
    </row>
    <row r="194" spans="2:30" ht="10.5" customHeight="1">
      <c r="B194" s="283"/>
      <c r="C194" s="379" t="s">
        <v>655</v>
      </c>
      <c r="D194" s="444">
        <v>48400</v>
      </c>
      <c r="E194" s="283"/>
      <c r="F194" s="283" t="s">
        <v>1351</v>
      </c>
      <c r="G194" s="1009" t="s">
        <v>2528</v>
      </c>
      <c r="H194" s="1009" t="s">
        <v>1210</v>
      </c>
      <c r="I194" s="1010" t="s">
        <v>2529</v>
      </c>
      <c r="J194" s="1010" t="s">
        <v>2611</v>
      </c>
      <c r="K194" s="1011" t="s">
        <v>624</v>
      </c>
      <c r="L194" s="1012" t="s">
        <v>423</v>
      </c>
      <c r="M194" s="1099" t="s">
        <v>2598</v>
      </c>
      <c r="N194" s="1099" t="s">
        <v>1695</v>
      </c>
      <c r="O194" s="1288" t="s">
        <v>4325</v>
      </c>
      <c r="P194" s="554" t="s">
        <v>2109</v>
      </c>
      <c r="Q194" s="520"/>
      <c r="R194" s="170"/>
      <c r="S194" s="389"/>
      <c r="T194" s="501" t="s">
        <v>2108</v>
      </c>
      <c r="U194" s="501" t="s">
        <v>1632</v>
      </c>
      <c r="W194" s="431" t="s">
        <v>1559</v>
      </c>
      <c r="X194" s="431" t="s">
        <v>3387</v>
      </c>
      <c r="Z194" s="431"/>
      <c r="AA194" s="26"/>
      <c r="AB194" s="26"/>
      <c r="AC194" s="931"/>
      <c r="AD194" s="512"/>
    </row>
    <row r="195" spans="2:30" ht="10.5" customHeight="1">
      <c r="B195" s="283"/>
      <c r="C195" s="379" t="s">
        <v>660</v>
      </c>
      <c r="D195" s="444">
        <v>44700</v>
      </c>
      <c r="E195" s="283"/>
      <c r="F195" s="283" t="s">
        <v>1352</v>
      </c>
      <c r="G195" s="1009" t="s">
        <v>2530</v>
      </c>
      <c r="H195" s="1009" t="s">
        <v>1210</v>
      </c>
      <c r="I195" s="1013" t="s">
        <v>763</v>
      </c>
      <c r="J195" s="1013" t="s">
        <v>2612</v>
      </c>
      <c r="K195" s="1011" t="s">
        <v>2575</v>
      </c>
      <c r="L195" s="1012" t="s">
        <v>424</v>
      </c>
      <c r="M195" s="1098" t="s">
        <v>1195</v>
      </c>
      <c r="N195" s="1098" t="s">
        <v>1204</v>
      </c>
      <c r="O195" s="1288" t="s">
        <v>4326</v>
      </c>
      <c r="P195" s="554" t="s">
        <v>2111</v>
      </c>
      <c r="Q195" s="520"/>
      <c r="R195" s="170"/>
      <c r="S195" s="389"/>
      <c r="T195" s="501" t="s">
        <v>2110</v>
      </c>
      <c r="U195" s="501" t="s">
        <v>196</v>
      </c>
      <c r="W195" s="431" t="s">
        <v>1563</v>
      </c>
      <c r="X195" s="431" t="s">
        <v>3387</v>
      </c>
      <c r="Z195" s="431"/>
      <c r="AA195" s="26"/>
      <c r="AB195" s="26"/>
      <c r="AC195" s="931"/>
      <c r="AD195" s="512"/>
    </row>
    <row r="196" spans="2:30" ht="10.5" customHeight="1">
      <c r="B196" s="283"/>
      <c r="C196" s="379" t="s">
        <v>1220</v>
      </c>
      <c r="D196" s="444">
        <v>64200</v>
      </c>
      <c r="E196" s="283"/>
      <c r="F196" s="283" t="s">
        <v>1353</v>
      </c>
      <c r="G196" s="1009" t="s">
        <v>2531</v>
      </c>
      <c r="H196" s="1009" t="s">
        <v>1310</v>
      </c>
      <c r="I196" s="1013" t="s">
        <v>1319</v>
      </c>
      <c r="J196" s="1013" t="s">
        <v>2612</v>
      </c>
      <c r="K196" s="1011" t="s">
        <v>2578</v>
      </c>
      <c r="L196" s="1012" t="s">
        <v>424</v>
      </c>
      <c r="M196" s="1098" t="s">
        <v>2598</v>
      </c>
      <c r="N196" s="1098" t="s">
        <v>1319</v>
      </c>
      <c r="O196" s="1288" t="s">
        <v>4327</v>
      </c>
      <c r="P196" s="554" t="s">
        <v>2538</v>
      </c>
      <c r="Q196" s="520"/>
      <c r="R196" s="170"/>
      <c r="S196" s="389"/>
      <c r="T196" s="501" t="s">
        <v>1782</v>
      </c>
      <c r="U196" s="501" t="s">
        <v>122</v>
      </c>
      <c r="W196" s="431" t="s">
        <v>1744</v>
      </c>
      <c r="X196" s="431" t="s">
        <v>3387</v>
      </c>
      <c r="Z196" s="431"/>
      <c r="AA196" s="26"/>
      <c r="AB196" s="26"/>
      <c r="AC196" s="931"/>
      <c r="AD196" s="512"/>
    </row>
    <row r="197" spans="2:30" ht="10.5" customHeight="1">
      <c r="B197" s="283"/>
      <c r="C197" s="379" t="s">
        <v>662</v>
      </c>
      <c r="D197" s="444">
        <v>51500</v>
      </c>
      <c r="E197" s="283"/>
      <c r="F197" s="283" t="s">
        <v>1354</v>
      </c>
      <c r="G197" s="1009" t="s">
        <v>2532</v>
      </c>
      <c r="H197" s="1009" t="s">
        <v>1210</v>
      </c>
      <c r="I197" s="1010" t="s">
        <v>193</v>
      </c>
      <c r="J197" s="1010" t="s">
        <v>2611</v>
      </c>
      <c r="K197" s="1011" t="s">
        <v>625</v>
      </c>
      <c r="L197" s="1012" t="s">
        <v>423</v>
      </c>
      <c r="M197" s="1099" t="s">
        <v>2598</v>
      </c>
      <c r="N197" s="1099" t="s">
        <v>1781</v>
      </c>
      <c r="O197" s="1288" t="s">
        <v>4328</v>
      </c>
      <c r="P197" s="554" t="s">
        <v>1005</v>
      </c>
      <c r="Q197" s="520"/>
      <c r="R197" s="170"/>
      <c r="S197" s="389"/>
      <c r="T197" s="501" t="s">
        <v>2539</v>
      </c>
      <c r="U197" s="501" t="s">
        <v>164</v>
      </c>
      <c r="W197" s="431" t="s">
        <v>1021</v>
      </c>
      <c r="X197" s="431" t="s">
        <v>3387</v>
      </c>
      <c r="Z197" s="431"/>
      <c r="AA197" s="26"/>
      <c r="AB197" s="26"/>
      <c r="AC197" s="931"/>
      <c r="AD197" s="512"/>
    </row>
    <row r="198" spans="2:30" ht="10.5" customHeight="1">
      <c r="B198" s="283"/>
      <c r="C198" s="379" t="s">
        <v>664</v>
      </c>
      <c r="D198" s="444">
        <v>52100</v>
      </c>
      <c r="E198" s="283"/>
      <c r="F198" s="283" t="s">
        <v>1355</v>
      </c>
      <c r="G198" s="1009" t="s">
        <v>194</v>
      </c>
      <c r="H198" s="1009" t="s">
        <v>1310</v>
      </c>
      <c r="I198" s="1013" t="s">
        <v>1520</v>
      </c>
      <c r="J198" s="1013" t="s">
        <v>2612</v>
      </c>
      <c r="K198" s="1011" t="s">
        <v>1679</v>
      </c>
      <c r="L198" s="1012" t="s">
        <v>424</v>
      </c>
      <c r="M198" s="1098" t="s">
        <v>2598</v>
      </c>
      <c r="N198" s="1098" t="s">
        <v>1520</v>
      </c>
      <c r="O198" s="1288" t="s">
        <v>4329</v>
      </c>
      <c r="P198" s="554" t="s">
        <v>2001</v>
      </c>
      <c r="Q198" s="520"/>
      <c r="R198" s="170"/>
      <c r="S198" s="389"/>
      <c r="T198" s="501" t="s">
        <v>1006</v>
      </c>
      <c r="U198" s="501" t="s">
        <v>429</v>
      </c>
      <c r="W198" s="431" t="s">
        <v>1024</v>
      </c>
      <c r="X198" s="431" t="s">
        <v>3387</v>
      </c>
      <c r="Z198" s="431"/>
      <c r="AA198" s="26"/>
      <c r="AB198" s="26"/>
      <c r="AC198" s="931"/>
      <c r="AD198" s="512"/>
    </row>
    <row r="199" spans="2:30" ht="10.5" customHeight="1">
      <c r="B199" s="283"/>
      <c r="C199" s="379" t="s">
        <v>667</v>
      </c>
      <c r="D199" s="444">
        <v>48600</v>
      </c>
      <c r="E199" s="283"/>
      <c r="F199" s="283" t="s">
        <v>1356</v>
      </c>
      <c r="G199" s="1009" t="s">
        <v>195</v>
      </c>
      <c r="H199" s="1009" t="s">
        <v>1310</v>
      </c>
      <c r="I199" s="1013" t="s">
        <v>763</v>
      </c>
      <c r="J199" s="1013" t="s">
        <v>2612</v>
      </c>
      <c r="K199" s="1011" t="s">
        <v>2575</v>
      </c>
      <c r="L199" s="1012" t="s">
        <v>424</v>
      </c>
      <c r="M199" s="1098" t="s">
        <v>1195</v>
      </c>
      <c r="N199" s="1098" t="s">
        <v>1204</v>
      </c>
      <c r="O199" s="1288" t="s">
        <v>4330</v>
      </c>
      <c r="P199" s="554" t="s">
        <v>15</v>
      </c>
      <c r="Q199" s="520"/>
      <c r="R199" s="170"/>
      <c r="S199" s="389"/>
      <c r="T199" s="501" t="s">
        <v>1313</v>
      </c>
      <c r="U199" s="501" t="s">
        <v>328</v>
      </c>
      <c r="W199" s="431" t="s">
        <v>1757</v>
      </c>
      <c r="X199" s="431" t="s">
        <v>3387</v>
      </c>
      <c r="Z199" s="431"/>
      <c r="AA199" s="26"/>
      <c r="AB199" s="26"/>
      <c r="AC199" s="931"/>
      <c r="AD199" s="512"/>
    </row>
    <row r="200" spans="2:30" ht="10.5" customHeight="1">
      <c r="B200" s="283"/>
      <c r="C200" s="379" t="s">
        <v>669</v>
      </c>
      <c r="D200" s="444">
        <v>41100</v>
      </c>
      <c r="E200" s="283"/>
      <c r="F200" s="283" t="s">
        <v>1357</v>
      </c>
      <c r="G200" s="1009" t="s">
        <v>196</v>
      </c>
      <c r="H200" s="1009" t="s">
        <v>1210</v>
      </c>
      <c r="I200" s="1010" t="s">
        <v>197</v>
      </c>
      <c r="J200" s="1010" t="s">
        <v>2611</v>
      </c>
      <c r="K200" s="1011" t="s">
        <v>626</v>
      </c>
      <c r="L200" s="1012" t="s">
        <v>423</v>
      </c>
      <c r="M200" s="1099" t="s">
        <v>2598</v>
      </c>
      <c r="N200" s="1099" t="s">
        <v>1781</v>
      </c>
      <c r="O200" s="1288" t="s">
        <v>4331</v>
      </c>
      <c r="P200" s="554" t="s">
        <v>2234</v>
      </c>
      <c r="Q200" s="520"/>
      <c r="R200" s="170"/>
      <c r="S200" s="389"/>
      <c r="T200" s="501" t="s">
        <v>16</v>
      </c>
      <c r="U200" s="501" t="s">
        <v>1665</v>
      </c>
      <c r="W200" s="431" t="s">
        <v>2063</v>
      </c>
      <c r="X200" s="431" t="s">
        <v>3387</v>
      </c>
      <c r="Z200" s="431"/>
      <c r="AA200" s="26"/>
      <c r="AB200" s="26"/>
      <c r="AC200" s="931"/>
      <c r="AD200" s="512"/>
    </row>
    <row r="201" spans="2:30" ht="10.5" customHeight="1">
      <c r="B201" s="283"/>
      <c r="C201" s="379" t="s">
        <v>671</v>
      </c>
      <c r="D201" s="444">
        <v>55300</v>
      </c>
      <c r="E201" s="283"/>
      <c r="F201" s="283" t="s">
        <v>1358</v>
      </c>
      <c r="G201" s="1009" t="s">
        <v>198</v>
      </c>
      <c r="H201" s="1009" t="s">
        <v>1795</v>
      </c>
      <c r="I201" s="1013" t="s">
        <v>763</v>
      </c>
      <c r="J201" s="1013" t="s">
        <v>2612</v>
      </c>
      <c r="K201" s="1011" t="s">
        <v>2575</v>
      </c>
      <c r="L201" s="1012" t="s">
        <v>424</v>
      </c>
      <c r="M201" s="1098" t="s">
        <v>1195</v>
      </c>
      <c r="N201" s="1098" t="s">
        <v>1204</v>
      </c>
      <c r="O201" s="1288" t="s">
        <v>4332</v>
      </c>
      <c r="P201" s="554" t="s">
        <v>2236</v>
      </c>
      <c r="Q201" s="520"/>
      <c r="R201" s="170"/>
      <c r="S201" s="389"/>
      <c r="T201" s="501" t="s">
        <v>2235</v>
      </c>
      <c r="U201" s="501" t="s">
        <v>1209</v>
      </c>
      <c r="W201" s="431" t="s">
        <v>2065</v>
      </c>
      <c r="X201" s="431" t="s">
        <v>3387</v>
      </c>
      <c r="Z201" s="431"/>
      <c r="AA201" s="26"/>
      <c r="AB201" s="26"/>
      <c r="AC201" s="931"/>
      <c r="AD201" s="512"/>
    </row>
    <row r="202" spans="2:30" ht="10.5" customHeight="1">
      <c r="B202" s="283"/>
      <c r="C202" s="379" t="s">
        <v>123</v>
      </c>
      <c r="D202" s="444">
        <v>52100</v>
      </c>
      <c r="E202" s="283"/>
      <c r="F202" s="283" t="s">
        <v>1359</v>
      </c>
      <c r="G202" s="1009" t="s">
        <v>199</v>
      </c>
      <c r="H202" s="1009" t="s">
        <v>1210</v>
      </c>
      <c r="I202" s="1010" t="s">
        <v>951</v>
      </c>
      <c r="J202" s="1010" t="s">
        <v>2611</v>
      </c>
      <c r="K202" s="1011" t="s">
        <v>1957</v>
      </c>
      <c r="L202" s="1012" t="s">
        <v>423</v>
      </c>
      <c r="M202" s="1099" t="s">
        <v>2598</v>
      </c>
      <c r="N202" s="1099" t="s">
        <v>1319</v>
      </c>
      <c r="O202" s="1288" t="s">
        <v>4333</v>
      </c>
      <c r="P202" s="554" t="s">
        <v>2238</v>
      </c>
      <c r="Q202" s="520"/>
      <c r="R202" s="170"/>
      <c r="S202" s="389"/>
      <c r="T202" s="555" t="s">
        <v>2237</v>
      </c>
      <c r="U202" s="555" t="s">
        <v>2243</v>
      </c>
      <c r="W202" s="431" t="s">
        <v>675</v>
      </c>
      <c r="X202" s="431" t="s">
        <v>3387</v>
      </c>
      <c r="Z202" s="431"/>
      <c r="AA202" s="26"/>
      <c r="AB202" s="26"/>
      <c r="AC202" s="932"/>
      <c r="AD202" s="512"/>
    </row>
    <row r="203" spans="2:30" ht="10.5" customHeight="1">
      <c r="B203" s="283"/>
      <c r="C203" s="379" t="s">
        <v>313</v>
      </c>
      <c r="D203" s="444">
        <v>33600</v>
      </c>
      <c r="E203" s="283"/>
      <c r="F203" s="283" t="s">
        <v>1361</v>
      </c>
      <c r="G203" s="1009" t="s">
        <v>952</v>
      </c>
      <c r="H203" s="1009" t="s">
        <v>1210</v>
      </c>
      <c r="I203" s="1010" t="s">
        <v>953</v>
      </c>
      <c r="J203" s="1010" t="s">
        <v>2611</v>
      </c>
      <c r="K203" s="1011" t="s">
        <v>1958</v>
      </c>
      <c r="L203" s="1012" t="s">
        <v>423</v>
      </c>
      <c r="M203" s="1099" t="s">
        <v>2598</v>
      </c>
      <c r="N203" s="1099" t="s">
        <v>1781</v>
      </c>
      <c r="O203" s="1288" t="s">
        <v>4334</v>
      </c>
      <c r="P203" s="554" t="s">
        <v>2268</v>
      </c>
      <c r="Q203" s="520"/>
      <c r="R203" s="170"/>
      <c r="S203" s="389"/>
      <c r="T203" s="501" t="s">
        <v>2560</v>
      </c>
      <c r="U203" s="501" t="s">
        <v>627</v>
      </c>
      <c r="W203" s="431" t="s">
        <v>1246</v>
      </c>
      <c r="X203" s="431" t="s">
        <v>3387</v>
      </c>
      <c r="Z203" s="431"/>
      <c r="AA203" s="26"/>
      <c r="AB203" s="26"/>
      <c r="AC203" s="931"/>
      <c r="AD203" s="512"/>
    </row>
    <row r="204" spans="2:30" ht="10.5" customHeight="1">
      <c r="B204" s="283"/>
      <c r="C204" s="379" t="s">
        <v>765</v>
      </c>
      <c r="D204" s="444">
        <v>56500</v>
      </c>
      <c r="E204" s="283"/>
      <c r="F204" s="283" t="s">
        <v>1360</v>
      </c>
      <c r="G204" s="1009" t="s">
        <v>954</v>
      </c>
      <c r="H204" s="1009" t="s">
        <v>1210</v>
      </c>
      <c r="I204" s="1013" t="s">
        <v>1781</v>
      </c>
      <c r="J204" s="1013" t="s">
        <v>2612</v>
      </c>
      <c r="K204" s="1011" t="s">
        <v>1160</v>
      </c>
      <c r="L204" s="1012" t="s">
        <v>424</v>
      </c>
      <c r="M204" s="1099" t="s">
        <v>1195</v>
      </c>
      <c r="N204" s="1099" t="s">
        <v>1781</v>
      </c>
      <c r="O204" s="1288" t="s">
        <v>4335</v>
      </c>
      <c r="P204" s="554" t="s">
        <v>1772</v>
      </c>
      <c r="Q204" s="520"/>
      <c r="R204" s="170"/>
      <c r="S204" s="389"/>
      <c r="T204" s="501" t="s">
        <v>2239</v>
      </c>
      <c r="U204" s="501" t="s">
        <v>121</v>
      </c>
      <c r="W204" s="431" t="s">
        <v>1248</v>
      </c>
      <c r="X204" s="431" t="s">
        <v>3387</v>
      </c>
      <c r="Z204" s="431"/>
      <c r="AA204" s="26"/>
      <c r="AB204" s="26"/>
      <c r="AC204" s="931"/>
      <c r="AD204" s="512"/>
    </row>
    <row r="205" spans="2:30" ht="10.5" customHeight="1">
      <c r="B205" s="283"/>
      <c r="C205" s="379" t="s">
        <v>317</v>
      </c>
      <c r="D205" s="444">
        <v>49200</v>
      </c>
      <c r="E205" s="283"/>
      <c r="F205" s="283" t="s">
        <v>1362</v>
      </c>
      <c r="G205" s="1009" t="s">
        <v>872</v>
      </c>
      <c r="H205" s="1009" t="s">
        <v>1310</v>
      </c>
      <c r="I205" s="1013" t="s">
        <v>763</v>
      </c>
      <c r="J205" s="1013" t="s">
        <v>2612</v>
      </c>
      <c r="K205" s="1011" t="s">
        <v>2575</v>
      </c>
      <c r="L205" s="1012" t="s">
        <v>424</v>
      </c>
      <c r="M205" s="1098" t="s">
        <v>1195</v>
      </c>
      <c r="N205" s="1098" t="s">
        <v>1204</v>
      </c>
      <c r="O205" s="1288" t="s">
        <v>4336</v>
      </c>
      <c r="P205" s="554" t="s">
        <v>1774</v>
      </c>
      <c r="Q205" s="520"/>
      <c r="R205" s="170"/>
      <c r="S205" s="389"/>
      <c r="T205" s="501" t="s">
        <v>1748</v>
      </c>
      <c r="U205" s="501" t="s">
        <v>2488</v>
      </c>
      <c r="W205" s="431" t="s">
        <v>2482</v>
      </c>
      <c r="X205" s="431" t="s">
        <v>3387</v>
      </c>
      <c r="Z205" s="431"/>
      <c r="AA205" s="26"/>
      <c r="AB205" s="26"/>
      <c r="AC205" s="931"/>
      <c r="AD205" s="512"/>
    </row>
    <row r="206" spans="2:30" ht="10.5" customHeight="1">
      <c r="B206" s="283"/>
      <c r="C206" s="379" t="s">
        <v>1037</v>
      </c>
      <c r="D206" s="444">
        <v>40500</v>
      </c>
      <c r="E206" s="283"/>
      <c r="F206" s="283" t="s">
        <v>1364</v>
      </c>
      <c r="G206" s="1009" t="s">
        <v>873</v>
      </c>
      <c r="H206" s="1009" t="s">
        <v>1210</v>
      </c>
      <c r="I206" s="1010" t="s">
        <v>874</v>
      </c>
      <c r="J206" s="1010" t="s">
        <v>2611</v>
      </c>
      <c r="K206" s="1011" t="s">
        <v>1959</v>
      </c>
      <c r="L206" s="1012" t="s">
        <v>423</v>
      </c>
      <c r="M206" s="1099" t="s">
        <v>2598</v>
      </c>
      <c r="N206" s="1099" t="s">
        <v>1781</v>
      </c>
      <c r="O206" s="1288" t="s">
        <v>4337</v>
      </c>
      <c r="P206" s="554" t="s">
        <v>2157</v>
      </c>
      <c r="Q206" s="520"/>
      <c r="R206" s="170"/>
      <c r="S206" s="389"/>
      <c r="T206" s="501" t="s">
        <v>1773</v>
      </c>
      <c r="U206" s="501" t="s">
        <v>1312</v>
      </c>
      <c r="W206" s="431" t="s">
        <v>2492</v>
      </c>
      <c r="X206" s="431" t="s">
        <v>3387</v>
      </c>
      <c r="Z206" s="431"/>
      <c r="AA206" s="26"/>
      <c r="AB206" s="26"/>
      <c r="AC206" s="931"/>
      <c r="AD206" s="512"/>
    </row>
    <row r="207" spans="2:30" ht="10.5" customHeight="1">
      <c r="B207" s="283"/>
      <c r="C207" s="379" t="s">
        <v>322</v>
      </c>
      <c r="D207" s="444">
        <v>48500</v>
      </c>
      <c r="E207" s="283"/>
      <c r="F207" s="283" t="s">
        <v>1363</v>
      </c>
      <c r="G207" s="1009" t="s">
        <v>875</v>
      </c>
      <c r="H207" s="1009" t="s">
        <v>1210</v>
      </c>
      <c r="I207" s="1010" t="s">
        <v>1695</v>
      </c>
      <c r="J207" s="1010" t="s">
        <v>2612</v>
      </c>
      <c r="K207" s="1011" t="s">
        <v>2581</v>
      </c>
      <c r="L207" s="1012" t="s">
        <v>424</v>
      </c>
      <c r="M207" s="1098" t="s">
        <v>2598</v>
      </c>
      <c r="N207" s="1098" t="s">
        <v>1695</v>
      </c>
      <c r="O207" s="1288" t="s">
        <v>4338</v>
      </c>
      <c r="P207" s="554" t="s">
        <v>2158</v>
      </c>
      <c r="Q207" s="520"/>
      <c r="R207" s="170"/>
      <c r="S207" s="389"/>
      <c r="T207" s="501" t="s">
        <v>1775</v>
      </c>
      <c r="U207" s="501" t="s">
        <v>2007</v>
      </c>
      <c r="W207" s="431" t="s">
        <v>87</v>
      </c>
      <c r="X207" s="431" t="s">
        <v>3387</v>
      </c>
      <c r="Z207" s="431"/>
      <c r="AA207" s="26"/>
      <c r="AB207" s="26"/>
      <c r="AC207" s="931"/>
      <c r="AD207" s="512"/>
    </row>
    <row r="208" spans="2:30" ht="10.5" customHeight="1">
      <c r="B208" s="283"/>
      <c r="C208" s="378" t="s">
        <v>324</v>
      </c>
      <c r="D208" s="444">
        <v>65600</v>
      </c>
      <c r="E208" s="283"/>
      <c r="F208" s="283" t="s">
        <v>1365</v>
      </c>
      <c r="G208" s="1009" t="s">
        <v>876</v>
      </c>
      <c r="H208" s="1009" t="s">
        <v>1210</v>
      </c>
      <c r="I208" s="1013" t="s">
        <v>1325</v>
      </c>
      <c r="J208" s="1013" t="s">
        <v>2612</v>
      </c>
      <c r="K208" s="1011" t="s">
        <v>1462</v>
      </c>
      <c r="L208" s="1012" t="s">
        <v>424</v>
      </c>
      <c r="M208" s="1098" t="s">
        <v>2598</v>
      </c>
      <c r="N208" s="1098" t="s">
        <v>1325</v>
      </c>
      <c r="O208" s="1288" t="s">
        <v>4339</v>
      </c>
      <c r="P208" s="554" t="s">
        <v>2443</v>
      </c>
      <c r="Q208" s="292"/>
      <c r="R208" s="170"/>
      <c r="S208" s="389"/>
      <c r="T208" s="501" t="s">
        <v>824</v>
      </c>
      <c r="U208" s="501" t="s">
        <v>2587</v>
      </c>
      <c r="W208" s="431" t="s">
        <v>1233</v>
      </c>
      <c r="X208" s="431" t="s">
        <v>3387</v>
      </c>
      <c r="Z208" s="431"/>
      <c r="AA208" s="26"/>
      <c r="AB208" s="26"/>
      <c r="AC208" s="931"/>
      <c r="AD208" s="931"/>
    </row>
    <row r="209" spans="2:30" ht="10.5" customHeight="1">
      <c r="B209" s="283"/>
      <c r="C209" s="379" t="s">
        <v>327</v>
      </c>
      <c r="D209" s="444">
        <v>43100</v>
      </c>
      <c r="E209" s="283"/>
      <c r="F209" s="556"/>
      <c r="G209" s="1009" t="s">
        <v>877</v>
      </c>
      <c r="H209" s="1009" t="s">
        <v>1310</v>
      </c>
      <c r="I209" s="1010" t="s">
        <v>878</v>
      </c>
      <c r="J209" s="1010" t="s">
        <v>2611</v>
      </c>
      <c r="K209" s="1011" t="s">
        <v>1334</v>
      </c>
      <c r="L209" s="1012" t="s">
        <v>423</v>
      </c>
      <c r="M209" s="1099" t="s">
        <v>2598</v>
      </c>
      <c r="N209" s="1099" t="s">
        <v>166</v>
      </c>
      <c r="O209" s="1288" t="s">
        <v>4340</v>
      </c>
      <c r="P209" s="554" t="s">
        <v>2445</v>
      </c>
      <c r="Q209" s="292"/>
      <c r="R209" s="170"/>
      <c r="S209" s="389"/>
      <c r="T209" s="501" t="s">
        <v>2159</v>
      </c>
      <c r="U209" s="501" t="s">
        <v>2589</v>
      </c>
      <c r="W209" s="431" t="s">
        <v>161</v>
      </c>
      <c r="X209" s="431" t="s">
        <v>3387</v>
      </c>
      <c r="Z209" s="431"/>
      <c r="AA209" s="26"/>
      <c r="AB209" s="26"/>
      <c r="AC209" s="931"/>
      <c r="AD209" s="512"/>
    </row>
    <row r="210" spans="2:30" ht="10.5" customHeight="1">
      <c r="B210" s="283"/>
      <c r="C210" s="378" t="s">
        <v>329</v>
      </c>
      <c r="D210" s="444">
        <v>38600</v>
      </c>
      <c r="E210" s="283"/>
      <c r="F210" s="556"/>
      <c r="G210" s="1009" t="s">
        <v>2241</v>
      </c>
      <c r="H210" s="1009" t="s">
        <v>1210</v>
      </c>
      <c r="I210" s="1010" t="s">
        <v>2242</v>
      </c>
      <c r="J210" s="1010" t="s">
        <v>2611</v>
      </c>
      <c r="K210" s="1011" t="s">
        <v>1335</v>
      </c>
      <c r="L210" s="1012" t="s">
        <v>423</v>
      </c>
      <c r="M210" s="1099" t="s">
        <v>2598</v>
      </c>
      <c r="N210" s="1099" t="s">
        <v>1329</v>
      </c>
      <c r="O210" s="1288" t="s">
        <v>4341</v>
      </c>
      <c r="P210" s="554" t="s">
        <v>2447</v>
      </c>
      <c r="Q210" s="292"/>
      <c r="R210" s="170"/>
      <c r="S210" s="389"/>
      <c r="T210" s="555" t="s">
        <v>2444</v>
      </c>
      <c r="U210" s="555" t="s">
        <v>1093</v>
      </c>
      <c r="W210" s="431" t="s">
        <v>894</v>
      </c>
      <c r="X210" s="431" t="s">
        <v>3387</v>
      </c>
      <c r="Z210" s="431"/>
      <c r="AA210" s="26"/>
      <c r="AB210" s="26"/>
      <c r="AC210" s="932"/>
      <c r="AD210" s="512"/>
    </row>
    <row r="211" spans="2:30" ht="10.5" customHeight="1">
      <c r="B211" s="283"/>
      <c r="C211" s="379" t="s">
        <v>331</v>
      </c>
      <c r="D211" s="444">
        <v>32700</v>
      </c>
      <c r="E211" s="283"/>
      <c r="F211" s="556"/>
      <c r="G211" s="1009" t="s">
        <v>2243</v>
      </c>
      <c r="H211" s="1009" t="s">
        <v>1210</v>
      </c>
      <c r="I211" s="1010" t="s">
        <v>653</v>
      </c>
      <c r="J211" s="1010" t="s">
        <v>2611</v>
      </c>
      <c r="K211" s="1011" t="s">
        <v>1336</v>
      </c>
      <c r="L211" s="1012" t="s">
        <v>423</v>
      </c>
      <c r="M211" s="1099" t="s">
        <v>2598</v>
      </c>
      <c r="N211" s="1099" t="s">
        <v>1325</v>
      </c>
      <c r="O211" s="1288" t="s">
        <v>4342</v>
      </c>
      <c r="P211" s="554" t="s">
        <v>2449</v>
      </c>
      <c r="Q211" s="292"/>
      <c r="R211" s="170"/>
      <c r="S211" s="389"/>
      <c r="T211" s="501" t="s">
        <v>2561</v>
      </c>
      <c r="U211" s="501" t="s">
        <v>319</v>
      </c>
      <c r="W211" s="431" t="s">
        <v>2139</v>
      </c>
      <c r="X211" s="431" t="s">
        <v>3387</v>
      </c>
      <c r="Z211" s="431"/>
      <c r="AA211" s="26"/>
      <c r="AB211" s="26"/>
      <c r="AC211" s="931"/>
      <c r="AD211" s="935"/>
    </row>
    <row r="212" spans="2:30" ht="10.5" customHeight="1">
      <c r="B212" s="283"/>
      <c r="C212" s="379" t="s">
        <v>333</v>
      </c>
      <c r="D212" s="444">
        <v>46900</v>
      </c>
      <c r="E212" s="283"/>
      <c r="F212" s="556"/>
      <c r="G212" s="1009" t="s">
        <v>654</v>
      </c>
      <c r="H212" s="1009" t="s">
        <v>1310</v>
      </c>
      <c r="I212" s="1010" t="s">
        <v>655</v>
      </c>
      <c r="J212" s="1010" t="s">
        <v>2611</v>
      </c>
      <c r="K212" s="1011" t="s">
        <v>1337</v>
      </c>
      <c r="L212" s="1012" t="s">
        <v>423</v>
      </c>
      <c r="M212" s="1099" t="s">
        <v>2598</v>
      </c>
      <c r="N212" s="1099" t="s">
        <v>1204</v>
      </c>
      <c r="O212" s="1288" t="s">
        <v>4343</v>
      </c>
      <c r="P212" s="554" t="s">
        <v>2450</v>
      </c>
      <c r="Q212" s="292"/>
      <c r="R212" s="170"/>
      <c r="S212" s="389"/>
      <c r="T212" s="501" t="s">
        <v>2446</v>
      </c>
      <c r="U212" s="501" t="s">
        <v>1919</v>
      </c>
      <c r="W212" s="431" t="s">
        <v>2057</v>
      </c>
      <c r="X212" s="431" t="s">
        <v>3387</v>
      </c>
      <c r="Z212" s="431"/>
      <c r="AA212" s="26"/>
      <c r="AB212" s="26"/>
      <c r="AC212" s="931"/>
      <c r="AD212" s="512"/>
    </row>
    <row r="213" spans="2:30" ht="10.5" customHeight="1">
      <c r="B213" s="283"/>
      <c r="C213" s="379" t="s">
        <v>766</v>
      </c>
      <c r="D213" s="444">
        <v>52100</v>
      </c>
      <c r="E213" s="283"/>
      <c r="F213" s="556"/>
      <c r="G213" s="1009" t="s">
        <v>656</v>
      </c>
      <c r="H213" s="1009" t="s">
        <v>1310</v>
      </c>
      <c r="I213" s="1013" t="s">
        <v>763</v>
      </c>
      <c r="J213" s="1013" t="s">
        <v>2612</v>
      </c>
      <c r="K213" s="1011" t="s">
        <v>2575</v>
      </c>
      <c r="L213" s="1012" t="s">
        <v>424</v>
      </c>
      <c r="M213" s="1098" t="s">
        <v>1195</v>
      </c>
      <c r="N213" s="1098" t="s">
        <v>1204</v>
      </c>
      <c r="O213" s="1288" t="s">
        <v>4344</v>
      </c>
      <c r="P213" s="554" t="s">
        <v>2229</v>
      </c>
      <c r="Q213" s="292"/>
      <c r="R213" s="170"/>
      <c r="S213" s="389"/>
      <c r="T213" s="501" t="s">
        <v>2448</v>
      </c>
      <c r="U213" s="501" t="s">
        <v>873</v>
      </c>
      <c r="W213" s="431" t="s">
        <v>598</v>
      </c>
      <c r="X213" s="431" t="s">
        <v>3387</v>
      </c>
      <c r="Z213" s="431"/>
      <c r="AA213" s="26"/>
      <c r="AB213" s="26"/>
      <c r="AC213" s="931"/>
      <c r="AD213" s="512"/>
    </row>
    <row r="214" spans="2:30" ht="10.5" customHeight="1">
      <c r="B214" s="283"/>
      <c r="C214" s="379" t="s">
        <v>1453</v>
      </c>
      <c r="D214" s="444">
        <v>44200</v>
      </c>
      <c r="E214" s="283"/>
      <c r="F214" s="556"/>
      <c r="G214" s="1009" t="s">
        <v>657</v>
      </c>
      <c r="H214" s="1009" t="s">
        <v>1310</v>
      </c>
      <c r="I214" s="1013" t="s">
        <v>2267</v>
      </c>
      <c r="J214" s="1013" t="s">
        <v>2612</v>
      </c>
      <c r="K214" s="1011" t="s">
        <v>1338</v>
      </c>
      <c r="L214" s="1012" t="s">
        <v>424</v>
      </c>
      <c r="M214" s="1099" t="s">
        <v>1195</v>
      </c>
      <c r="N214" s="1099" t="s">
        <v>1204</v>
      </c>
      <c r="O214" s="1288" t="s">
        <v>4345</v>
      </c>
      <c r="P214" s="554" t="s">
        <v>707</v>
      </c>
      <c r="Q214" s="292"/>
      <c r="R214" s="170"/>
      <c r="S214" s="389"/>
      <c r="T214" s="501" t="s">
        <v>2451</v>
      </c>
      <c r="U214" s="501" t="s">
        <v>159</v>
      </c>
      <c r="W214" s="431" t="s">
        <v>600</v>
      </c>
      <c r="X214" s="431" t="s">
        <v>3387</v>
      </c>
      <c r="Z214" s="431"/>
      <c r="AA214" s="26"/>
      <c r="AB214" s="26"/>
      <c r="AC214" s="931"/>
      <c r="AD214" s="512"/>
    </row>
    <row r="215" spans="2:30" ht="10.5" customHeight="1">
      <c r="B215" s="283"/>
      <c r="C215" s="379" t="s">
        <v>1457</v>
      </c>
      <c r="D215" s="444">
        <v>45700</v>
      </c>
      <c r="E215" s="283"/>
      <c r="F215" s="556"/>
      <c r="G215" s="1009" t="s">
        <v>658</v>
      </c>
      <c r="H215" s="1009" t="s">
        <v>1310</v>
      </c>
      <c r="I215" s="1013" t="s">
        <v>763</v>
      </c>
      <c r="J215" s="1013" t="s">
        <v>2612</v>
      </c>
      <c r="K215" s="1011" t="s">
        <v>2575</v>
      </c>
      <c r="L215" s="1012" t="s">
        <v>424</v>
      </c>
      <c r="M215" s="1098" t="s">
        <v>1195</v>
      </c>
      <c r="N215" s="1098" t="s">
        <v>1204</v>
      </c>
      <c r="O215" s="1288" t="s">
        <v>4346</v>
      </c>
      <c r="P215" s="554" t="s">
        <v>709</v>
      </c>
      <c r="Q215" s="292"/>
      <c r="R215" s="170"/>
      <c r="S215" s="389"/>
      <c r="T215" s="501" t="s">
        <v>2230</v>
      </c>
      <c r="U215" s="501" t="s">
        <v>654</v>
      </c>
      <c r="W215" s="431" t="s">
        <v>2531</v>
      </c>
      <c r="X215" s="431" t="s">
        <v>3387</v>
      </c>
      <c r="Z215" s="431"/>
      <c r="AA215" s="26"/>
      <c r="AB215" s="26"/>
      <c r="AC215" s="931"/>
      <c r="AD215" s="512"/>
    </row>
    <row r="216" spans="2:30" ht="10.5" customHeight="1">
      <c r="B216" s="283"/>
      <c r="C216" s="379" t="s">
        <v>1459</v>
      </c>
      <c r="D216" s="444">
        <v>56600</v>
      </c>
      <c r="E216" s="283"/>
      <c r="F216" s="556"/>
      <c r="G216" s="1009" t="s">
        <v>659</v>
      </c>
      <c r="H216" s="1009" t="s">
        <v>1310</v>
      </c>
      <c r="I216" s="1013" t="s">
        <v>660</v>
      </c>
      <c r="J216" s="1013" t="s">
        <v>2611</v>
      </c>
      <c r="K216" s="1011" t="s">
        <v>1339</v>
      </c>
      <c r="L216" s="1012" t="s">
        <v>423</v>
      </c>
      <c r="M216" s="1099" t="s">
        <v>2598</v>
      </c>
      <c r="N216" s="1099" t="s">
        <v>166</v>
      </c>
      <c r="O216" s="1288" t="s">
        <v>4347</v>
      </c>
      <c r="P216" s="554" t="s">
        <v>711</v>
      </c>
      <c r="Q216" s="292"/>
      <c r="R216" s="170"/>
      <c r="S216" s="389"/>
      <c r="T216" s="501" t="s">
        <v>708</v>
      </c>
      <c r="U216" s="501" t="s">
        <v>2480</v>
      </c>
      <c r="W216" s="431" t="s">
        <v>604</v>
      </c>
      <c r="X216" s="431" t="s">
        <v>3387</v>
      </c>
      <c r="Z216" s="431"/>
      <c r="AA216" s="26"/>
      <c r="AB216" s="26"/>
      <c r="AC216" s="931"/>
      <c r="AD216" s="512"/>
    </row>
    <row r="217" spans="2:30" ht="10.5" customHeight="1">
      <c r="B217" s="283"/>
      <c r="C217" s="379" t="s">
        <v>177</v>
      </c>
      <c r="D217" s="444">
        <v>60100</v>
      </c>
      <c r="E217" s="283"/>
      <c r="F217" s="556"/>
      <c r="G217" s="1009" t="s">
        <v>1205</v>
      </c>
      <c r="H217" s="1009" t="s">
        <v>1795</v>
      </c>
      <c r="I217" s="1013" t="s">
        <v>763</v>
      </c>
      <c r="J217" s="1013" t="s">
        <v>2612</v>
      </c>
      <c r="K217" s="1011" t="s">
        <v>2575</v>
      </c>
      <c r="L217" s="1012" t="s">
        <v>424</v>
      </c>
      <c r="M217" s="1098" t="s">
        <v>1195</v>
      </c>
      <c r="N217" s="1098" t="s">
        <v>1204</v>
      </c>
      <c r="O217" s="1288" t="s">
        <v>4348</v>
      </c>
      <c r="P217" s="554" t="s">
        <v>713</v>
      </c>
      <c r="Q217" s="292"/>
      <c r="R217" s="170"/>
      <c r="S217" s="389"/>
      <c r="T217" s="501" t="s">
        <v>710</v>
      </c>
      <c r="U217" s="501" t="s">
        <v>1108</v>
      </c>
      <c r="W217" s="431" t="s">
        <v>545</v>
      </c>
      <c r="X217" s="431" t="s">
        <v>3387</v>
      </c>
      <c r="Z217" s="431"/>
      <c r="AA217" s="26"/>
      <c r="AB217" s="26"/>
      <c r="AC217" s="931"/>
      <c r="AD217" s="512"/>
    </row>
    <row r="218" spans="2:30" ht="10.5" customHeight="1">
      <c r="B218" s="283"/>
      <c r="C218" s="379" t="s">
        <v>1319</v>
      </c>
      <c r="D218" s="444">
        <v>53600</v>
      </c>
      <c r="E218" s="283"/>
      <c r="F218" s="556"/>
      <c r="G218" s="1009" t="s">
        <v>661</v>
      </c>
      <c r="H218" s="1009" t="s">
        <v>1310</v>
      </c>
      <c r="I218" s="1010" t="s">
        <v>662</v>
      </c>
      <c r="J218" s="1010" t="s">
        <v>2611</v>
      </c>
      <c r="K218" s="1011" t="s">
        <v>239</v>
      </c>
      <c r="L218" s="1012" t="s">
        <v>423</v>
      </c>
      <c r="M218" s="1099" t="s">
        <v>2598</v>
      </c>
      <c r="N218" s="1099" t="s">
        <v>1204</v>
      </c>
      <c r="O218" s="1288" t="s">
        <v>4349</v>
      </c>
      <c r="P218" s="554" t="s">
        <v>2221</v>
      </c>
      <c r="Q218" s="292"/>
      <c r="R218" s="170"/>
      <c r="S218" s="389"/>
      <c r="T218" s="555" t="s">
        <v>712</v>
      </c>
      <c r="U218" s="555" t="s">
        <v>2589</v>
      </c>
      <c r="W218" s="431" t="s">
        <v>745</v>
      </c>
      <c r="X218" s="431" t="s">
        <v>3387</v>
      </c>
      <c r="Z218" s="431"/>
      <c r="AA218" s="26"/>
      <c r="AB218" s="26"/>
      <c r="AC218" s="932"/>
      <c r="AD218" s="512"/>
    </row>
    <row r="219" spans="2:30" ht="10.5" customHeight="1">
      <c r="B219" s="283"/>
      <c r="C219" s="379" t="s">
        <v>178</v>
      </c>
      <c r="D219" s="444">
        <v>40400</v>
      </c>
      <c r="E219" s="283"/>
      <c r="F219" s="556"/>
      <c r="G219" s="1009" t="s">
        <v>663</v>
      </c>
      <c r="H219" s="1009" t="s">
        <v>1310</v>
      </c>
      <c r="I219" s="1013" t="s">
        <v>664</v>
      </c>
      <c r="J219" s="1013" t="s">
        <v>2611</v>
      </c>
      <c r="K219" s="1011" t="s">
        <v>240</v>
      </c>
      <c r="L219" s="1012" t="s">
        <v>423</v>
      </c>
      <c r="M219" s="1099" t="s">
        <v>2598</v>
      </c>
      <c r="N219" s="1099" t="s">
        <v>1329</v>
      </c>
      <c r="O219" s="1288" t="s">
        <v>4350</v>
      </c>
      <c r="P219" s="554" t="s">
        <v>2222</v>
      </c>
      <c r="Q219" s="292"/>
      <c r="R219" s="170"/>
      <c r="S219" s="389"/>
      <c r="T219" s="501" t="s">
        <v>2562</v>
      </c>
      <c r="U219" s="501" t="s">
        <v>2482</v>
      </c>
      <c r="W219" s="431" t="s">
        <v>37</v>
      </c>
      <c r="X219" s="431" t="s">
        <v>3387</v>
      </c>
      <c r="Z219" s="431"/>
      <c r="AA219" s="26"/>
      <c r="AB219" s="26"/>
      <c r="AC219" s="931"/>
      <c r="AD219" s="512"/>
    </row>
    <row r="220" spans="2:30" ht="10.5" customHeight="1">
      <c r="B220" s="283"/>
      <c r="C220" s="379" t="s">
        <v>768</v>
      </c>
      <c r="D220" s="444">
        <v>47600</v>
      </c>
      <c r="E220" s="283"/>
      <c r="F220" s="556"/>
      <c r="G220" s="1009" t="s">
        <v>665</v>
      </c>
      <c r="H220" s="1009" t="s">
        <v>1795</v>
      </c>
      <c r="I220" s="1010" t="s">
        <v>11</v>
      </c>
      <c r="J220" s="1010" t="s">
        <v>2612</v>
      </c>
      <c r="K220" s="1011" t="s">
        <v>2580</v>
      </c>
      <c r="L220" s="1012" t="s">
        <v>424</v>
      </c>
      <c r="M220" s="1099" t="s">
        <v>1195</v>
      </c>
      <c r="N220" s="1099" t="s">
        <v>1325</v>
      </c>
      <c r="O220" s="1288" t="s">
        <v>4351</v>
      </c>
      <c r="P220" s="554" t="s">
        <v>2224</v>
      </c>
      <c r="Q220" s="292"/>
      <c r="R220" s="170"/>
      <c r="S220" s="389"/>
      <c r="T220" s="501" t="s">
        <v>2223</v>
      </c>
      <c r="U220" s="501" t="s">
        <v>1665</v>
      </c>
      <c r="W220" s="431" t="s">
        <v>1966</v>
      </c>
      <c r="X220" s="431" t="s">
        <v>3387</v>
      </c>
      <c r="Z220" s="431"/>
      <c r="AA220" s="26"/>
      <c r="AB220" s="26"/>
      <c r="AC220" s="931"/>
      <c r="AD220" s="512"/>
    </row>
    <row r="221" spans="2:30" ht="10.5" customHeight="1">
      <c r="B221" s="283"/>
      <c r="C221" s="379" t="s">
        <v>1631</v>
      </c>
      <c r="D221" s="444">
        <v>47400</v>
      </c>
      <c r="E221" s="283"/>
      <c r="F221" s="556"/>
      <c r="G221" s="1009" t="s">
        <v>666</v>
      </c>
      <c r="H221" s="1009" t="s">
        <v>1310</v>
      </c>
      <c r="I221" s="1010" t="s">
        <v>667</v>
      </c>
      <c r="J221" s="1010" t="s">
        <v>2611</v>
      </c>
      <c r="K221" s="1011" t="s">
        <v>241</v>
      </c>
      <c r="L221" s="1012" t="s">
        <v>423</v>
      </c>
      <c r="M221" s="1099" t="s">
        <v>2598</v>
      </c>
      <c r="N221" s="1099" t="s">
        <v>1204</v>
      </c>
      <c r="O221" s="1288" t="s">
        <v>4352</v>
      </c>
      <c r="P221" s="554" t="s">
        <v>683</v>
      </c>
      <c r="Q221" s="292"/>
      <c r="R221" s="170"/>
      <c r="S221" s="389"/>
      <c r="T221" s="501" t="s">
        <v>2225</v>
      </c>
      <c r="U221" s="501" t="s">
        <v>2583</v>
      </c>
      <c r="W221" s="431" t="s">
        <v>335</v>
      </c>
      <c r="X221" s="431" t="s">
        <v>3387</v>
      </c>
      <c r="Z221" s="431"/>
      <c r="AA221" s="26"/>
      <c r="AB221" s="26"/>
      <c r="AC221" s="931"/>
      <c r="AD221" s="512"/>
    </row>
    <row r="222" spans="2:30" ht="10.5" customHeight="1">
      <c r="B222" s="283"/>
      <c r="C222" s="379" t="s">
        <v>1633</v>
      </c>
      <c r="D222" s="444">
        <v>44600</v>
      </c>
      <c r="E222" s="283"/>
      <c r="F222" s="556"/>
      <c r="G222" s="1009" t="s">
        <v>668</v>
      </c>
      <c r="H222" s="1009" t="s">
        <v>1210</v>
      </c>
      <c r="I222" s="1010" t="s">
        <v>669</v>
      </c>
      <c r="J222" s="1010" t="s">
        <v>2611</v>
      </c>
      <c r="K222" s="1011" t="s">
        <v>403</v>
      </c>
      <c r="L222" s="1012" t="s">
        <v>423</v>
      </c>
      <c r="M222" s="1099" t="s">
        <v>2598</v>
      </c>
      <c r="N222" s="1099" t="s">
        <v>1781</v>
      </c>
      <c r="O222" s="1288" t="s">
        <v>4353</v>
      </c>
      <c r="P222" s="554" t="s">
        <v>788</v>
      </c>
      <c r="Q222" s="292"/>
      <c r="R222" s="170"/>
      <c r="S222" s="389"/>
      <c r="T222" s="501" t="s">
        <v>684</v>
      </c>
      <c r="U222" s="501" t="s">
        <v>732</v>
      </c>
      <c r="W222" s="431" t="s">
        <v>343</v>
      </c>
      <c r="X222" s="431" t="s">
        <v>3387</v>
      </c>
      <c r="Z222" s="431"/>
      <c r="AA222" s="26"/>
      <c r="AB222" s="26"/>
      <c r="AC222" s="931"/>
      <c r="AD222" s="512"/>
    </row>
    <row r="223" spans="2:30" ht="10.5" customHeight="1">
      <c r="B223" s="283"/>
      <c r="C223" s="379" t="s">
        <v>2041</v>
      </c>
      <c r="D223" s="444">
        <v>60900</v>
      </c>
      <c r="E223" s="283"/>
      <c r="F223" s="556"/>
      <c r="G223" s="1009" t="s">
        <v>670</v>
      </c>
      <c r="H223" s="1009" t="s">
        <v>1310</v>
      </c>
      <c r="I223" s="1010" t="s">
        <v>671</v>
      </c>
      <c r="J223" s="1010" t="s">
        <v>2611</v>
      </c>
      <c r="K223" s="1011" t="s">
        <v>404</v>
      </c>
      <c r="L223" s="1012" t="s">
        <v>423</v>
      </c>
      <c r="M223" s="1099" t="s">
        <v>2598</v>
      </c>
      <c r="N223" s="1099" t="s">
        <v>166</v>
      </c>
      <c r="O223" s="1288" t="s">
        <v>4354</v>
      </c>
      <c r="P223" s="554" t="s">
        <v>2270</v>
      </c>
      <c r="Q223" s="292"/>
      <c r="R223" s="170"/>
      <c r="S223" s="389"/>
      <c r="T223" s="501" t="s">
        <v>2269</v>
      </c>
      <c r="U223" s="501" t="s">
        <v>316</v>
      </c>
      <c r="W223" s="431" t="s">
        <v>195</v>
      </c>
      <c r="X223" s="431" t="s">
        <v>3387</v>
      </c>
      <c r="Z223" s="431"/>
      <c r="AA223" s="26"/>
      <c r="AB223" s="26"/>
      <c r="AC223" s="931"/>
      <c r="AD223" s="512"/>
    </row>
    <row r="224" spans="2:30" ht="10.5" customHeight="1">
      <c r="B224" s="283"/>
      <c r="C224" s="379" t="s">
        <v>185</v>
      </c>
      <c r="D224" s="444">
        <v>44600</v>
      </c>
      <c r="E224" s="283"/>
      <c r="F224" s="556"/>
      <c r="G224" s="1009" t="s">
        <v>121</v>
      </c>
      <c r="H224" s="1009" t="s">
        <v>1310</v>
      </c>
      <c r="I224" s="1013" t="s">
        <v>763</v>
      </c>
      <c r="J224" s="1013" t="s">
        <v>2612</v>
      </c>
      <c r="K224" s="1011" t="s">
        <v>2575</v>
      </c>
      <c r="L224" s="1012" t="s">
        <v>424</v>
      </c>
      <c r="M224" s="1098" t="s">
        <v>1195</v>
      </c>
      <c r="N224" s="1098" t="s">
        <v>1204</v>
      </c>
      <c r="O224" s="1288" t="s">
        <v>4355</v>
      </c>
      <c r="P224" s="554" t="s">
        <v>2299</v>
      </c>
      <c r="Q224" s="292"/>
      <c r="R224" s="170"/>
      <c r="S224" s="389"/>
      <c r="T224" s="501" t="s">
        <v>2330</v>
      </c>
      <c r="U224" s="501" t="s">
        <v>877</v>
      </c>
      <c r="W224" s="431" t="s">
        <v>2154</v>
      </c>
      <c r="X224" s="431" t="s">
        <v>3387</v>
      </c>
      <c r="Z224" s="431"/>
      <c r="AA224" s="26"/>
      <c r="AB224" s="26"/>
      <c r="AC224" s="931"/>
      <c r="AD224" s="512"/>
    </row>
    <row r="225" spans="2:30" ht="10.5" customHeight="1">
      <c r="B225" s="283"/>
      <c r="C225" s="378" t="s">
        <v>2584</v>
      </c>
      <c r="D225" s="444">
        <v>59200</v>
      </c>
      <c r="E225" s="283"/>
      <c r="F225" s="556"/>
      <c r="G225" s="1009" t="s">
        <v>122</v>
      </c>
      <c r="H225" s="1009" t="s">
        <v>1310</v>
      </c>
      <c r="I225" s="1010" t="s">
        <v>123</v>
      </c>
      <c r="J225" s="1010" t="s">
        <v>2611</v>
      </c>
      <c r="K225" s="1011" t="s">
        <v>405</v>
      </c>
      <c r="L225" s="1012" t="s">
        <v>423</v>
      </c>
      <c r="M225" s="1099" t="s">
        <v>2598</v>
      </c>
      <c r="N225" s="1099" t="s">
        <v>166</v>
      </c>
      <c r="O225" s="1288" t="s">
        <v>4356</v>
      </c>
      <c r="P225" s="554" t="s">
        <v>45</v>
      </c>
      <c r="Q225" s="292"/>
      <c r="R225" s="170"/>
      <c r="S225" s="389"/>
      <c r="T225" s="501" t="s">
        <v>46</v>
      </c>
      <c r="U225" s="501" t="s">
        <v>323</v>
      </c>
      <c r="W225" s="431" t="s">
        <v>196</v>
      </c>
      <c r="X225" s="431" t="s">
        <v>3387</v>
      </c>
      <c r="Z225" s="431"/>
      <c r="AA225" s="26"/>
      <c r="AB225" s="26"/>
      <c r="AC225" s="934"/>
      <c r="AD225" s="512"/>
    </row>
    <row r="226" spans="2:30" ht="10.5" customHeight="1">
      <c r="B226" s="283"/>
      <c r="C226" s="379" t="s">
        <v>2586</v>
      </c>
      <c r="D226" s="444">
        <v>48100</v>
      </c>
      <c r="E226" s="283"/>
      <c r="F226" s="556"/>
      <c r="G226" s="1009" t="s">
        <v>311</v>
      </c>
      <c r="H226" s="1009" t="s">
        <v>1310</v>
      </c>
      <c r="I226" s="1010" t="s">
        <v>1220</v>
      </c>
      <c r="J226" s="1010" t="s">
        <v>2612</v>
      </c>
      <c r="K226" s="1011" t="s">
        <v>406</v>
      </c>
      <c r="L226" s="1012" t="s">
        <v>424</v>
      </c>
      <c r="M226" s="1099" t="s">
        <v>1195</v>
      </c>
      <c r="N226" s="1099" t="s">
        <v>1204</v>
      </c>
      <c r="O226" s="1288" t="s">
        <v>4357</v>
      </c>
      <c r="P226" s="554" t="s">
        <v>632</v>
      </c>
      <c r="Q226" s="292"/>
      <c r="R226" s="170"/>
      <c r="S226" s="389"/>
      <c r="T226" s="501" t="s">
        <v>633</v>
      </c>
      <c r="U226" s="501" t="s">
        <v>2591</v>
      </c>
      <c r="W226" s="431" t="s">
        <v>382</v>
      </c>
      <c r="X226" s="431" t="s">
        <v>3387</v>
      </c>
      <c r="Z226" s="431"/>
      <c r="AA226" s="26"/>
      <c r="AB226" s="26"/>
      <c r="AC226" s="931"/>
      <c r="AD226" s="512"/>
    </row>
    <row r="227" spans="2:30" ht="10.5" customHeight="1">
      <c r="B227" s="283"/>
      <c r="C227" s="379" t="s">
        <v>1091</v>
      </c>
      <c r="D227" s="444">
        <v>56400</v>
      </c>
      <c r="E227" s="283"/>
      <c r="F227" s="556"/>
      <c r="G227" s="1014" t="s">
        <v>312</v>
      </c>
      <c r="H227" s="1009" t="s">
        <v>1310</v>
      </c>
      <c r="I227" s="1010" t="s">
        <v>313</v>
      </c>
      <c r="J227" s="1010" t="s">
        <v>2611</v>
      </c>
      <c r="K227" s="1011" t="s">
        <v>407</v>
      </c>
      <c r="L227" s="1012" t="s">
        <v>423</v>
      </c>
      <c r="M227" s="1099" t="s">
        <v>2598</v>
      </c>
      <c r="N227" s="1099" t="s">
        <v>1319</v>
      </c>
      <c r="O227" s="1288" t="s">
        <v>4358</v>
      </c>
      <c r="P227" s="554" t="s">
        <v>304</v>
      </c>
      <c r="Q227" s="292"/>
      <c r="R227" s="170"/>
      <c r="S227" s="389"/>
      <c r="T227" s="501" t="s">
        <v>305</v>
      </c>
      <c r="U227" s="501" t="s">
        <v>314</v>
      </c>
      <c r="W227" s="431" t="s">
        <v>872</v>
      </c>
      <c r="X227" s="431" t="s">
        <v>3387</v>
      </c>
      <c r="Z227" s="431"/>
      <c r="AA227" s="26"/>
      <c r="AB227" s="26"/>
      <c r="AC227" s="931"/>
      <c r="AD227" s="512"/>
    </row>
    <row r="228" spans="2:30" ht="10.5" customHeight="1">
      <c r="B228" s="283"/>
      <c r="C228" s="379" t="s">
        <v>1094</v>
      </c>
      <c r="D228" s="444">
        <v>50800</v>
      </c>
      <c r="E228" s="283"/>
      <c r="F228" s="556"/>
      <c r="G228" s="1009" t="s">
        <v>314</v>
      </c>
      <c r="H228" s="1009" t="s">
        <v>1310</v>
      </c>
      <c r="I228" s="1013" t="s">
        <v>765</v>
      </c>
      <c r="J228" s="1013" t="s">
        <v>2612</v>
      </c>
      <c r="K228" s="1011" t="s">
        <v>408</v>
      </c>
      <c r="L228" s="1012" t="s">
        <v>424</v>
      </c>
      <c r="M228" s="1098" t="s">
        <v>2598</v>
      </c>
      <c r="N228" s="1098" t="s">
        <v>1204</v>
      </c>
      <c r="O228" s="1288" t="s">
        <v>4359</v>
      </c>
      <c r="P228" s="554" t="s">
        <v>2368</v>
      </c>
      <c r="Q228" s="292"/>
      <c r="R228" s="170"/>
      <c r="S228" s="389"/>
      <c r="T228" s="501" t="s">
        <v>2369</v>
      </c>
      <c r="U228" s="501" t="s">
        <v>196</v>
      </c>
      <c r="W228" s="431" t="s">
        <v>1923</v>
      </c>
      <c r="X228" s="431" t="s">
        <v>3387</v>
      </c>
      <c r="Z228" s="431"/>
      <c r="AA228" s="26"/>
      <c r="AB228" s="26"/>
      <c r="AC228" s="931"/>
      <c r="AD228" s="512"/>
    </row>
    <row r="229" spans="2:30" ht="10.5" customHeight="1">
      <c r="B229" s="283"/>
      <c r="C229" s="379" t="s">
        <v>1097</v>
      </c>
      <c r="D229" s="444">
        <v>51300</v>
      </c>
      <c r="E229" s="283"/>
      <c r="F229" s="556"/>
      <c r="G229" s="1009" t="s">
        <v>315</v>
      </c>
      <c r="H229" s="1009" t="s">
        <v>1210</v>
      </c>
      <c r="I229" s="1013" t="s">
        <v>161</v>
      </c>
      <c r="J229" s="1013" t="s">
        <v>2612</v>
      </c>
      <c r="K229" s="1011" t="s">
        <v>1681</v>
      </c>
      <c r="L229" s="1012" t="s">
        <v>424</v>
      </c>
      <c r="M229" s="1098" t="s">
        <v>2598</v>
      </c>
      <c r="N229" s="1098" t="s">
        <v>161</v>
      </c>
      <c r="O229" s="1288" t="s">
        <v>4360</v>
      </c>
      <c r="P229" s="554" t="s">
        <v>2391</v>
      </c>
      <c r="Q229" s="292"/>
      <c r="R229" s="170"/>
      <c r="S229" s="389"/>
      <c r="T229" s="501" t="s">
        <v>2392</v>
      </c>
      <c r="U229" s="501" t="s">
        <v>1664</v>
      </c>
      <c r="W229" s="431" t="s">
        <v>1927</v>
      </c>
      <c r="X229" s="431" t="s">
        <v>3387</v>
      </c>
      <c r="Z229" s="431"/>
      <c r="AA229" s="26"/>
      <c r="AB229" s="26"/>
      <c r="AC229" s="931"/>
      <c r="AD229" s="512"/>
    </row>
    <row r="230" spans="2:30" ht="10.5" customHeight="1">
      <c r="B230" s="283"/>
      <c r="C230" s="378" t="s">
        <v>1099</v>
      </c>
      <c r="D230" s="444">
        <v>48500</v>
      </c>
      <c r="E230" s="283"/>
      <c r="F230" s="556"/>
      <c r="G230" s="1009" t="s">
        <v>316</v>
      </c>
      <c r="H230" s="1009" t="s">
        <v>1310</v>
      </c>
      <c r="I230" s="1010" t="s">
        <v>317</v>
      </c>
      <c r="J230" s="1010" t="s">
        <v>2611</v>
      </c>
      <c r="K230" s="1011" t="s">
        <v>409</v>
      </c>
      <c r="L230" s="1012" t="s">
        <v>423</v>
      </c>
      <c r="M230" s="1099" t="s">
        <v>2598</v>
      </c>
      <c r="N230" s="1099" t="s">
        <v>166</v>
      </c>
      <c r="O230" s="1288" t="s">
        <v>4361</v>
      </c>
      <c r="P230" s="554" t="s">
        <v>2393</v>
      </c>
      <c r="Q230" s="292"/>
      <c r="R230" s="170"/>
      <c r="S230" s="389"/>
      <c r="T230" s="501" t="s">
        <v>2846</v>
      </c>
      <c r="U230" s="501" t="s">
        <v>627</v>
      </c>
      <c r="W230" s="431" t="s">
        <v>716</v>
      </c>
      <c r="X230" s="431" t="s">
        <v>3387</v>
      </c>
      <c r="Z230" s="431"/>
      <c r="AA230" s="26"/>
      <c r="AB230" s="26"/>
      <c r="AC230" s="931"/>
      <c r="AD230" s="512"/>
    </row>
    <row r="231" spans="2:30" ht="10.5" customHeight="1">
      <c r="B231" s="283"/>
      <c r="C231" s="379" t="s">
        <v>1101</v>
      </c>
      <c r="D231" s="444">
        <v>58600</v>
      </c>
      <c r="E231" s="283"/>
      <c r="F231" s="556"/>
      <c r="G231" s="1009" t="s">
        <v>318</v>
      </c>
      <c r="H231" s="1009" t="s">
        <v>1210</v>
      </c>
      <c r="I231" s="1013" t="s">
        <v>763</v>
      </c>
      <c r="J231" s="1013" t="s">
        <v>2612</v>
      </c>
      <c r="K231" s="1011" t="s">
        <v>2575</v>
      </c>
      <c r="L231" s="1012" t="s">
        <v>424</v>
      </c>
      <c r="M231" s="1098" t="s">
        <v>1195</v>
      </c>
      <c r="N231" s="1098" t="s">
        <v>1204</v>
      </c>
      <c r="O231" s="1288" t="s">
        <v>4362</v>
      </c>
      <c r="P231" s="554" t="s">
        <v>2394</v>
      </c>
      <c r="Q231" s="292"/>
      <c r="R231" s="170"/>
      <c r="S231" s="389"/>
      <c r="T231" s="501" t="s">
        <v>628</v>
      </c>
      <c r="U231" s="501" t="s">
        <v>1326</v>
      </c>
      <c r="W231" s="431" t="s">
        <v>1139</v>
      </c>
      <c r="X231" s="431" t="s">
        <v>3387</v>
      </c>
      <c r="Z231" s="431"/>
      <c r="AA231" s="26"/>
      <c r="AB231" s="26"/>
      <c r="AC231" s="931"/>
      <c r="AD231" s="512"/>
    </row>
    <row r="232" spans="2:30" ht="10.5" customHeight="1">
      <c r="B232" s="283"/>
      <c r="C232" s="379" t="s">
        <v>1103</v>
      </c>
      <c r="D232" s="444">
        <v>37400</v>
      </c>
      <c r="E232" s="283"/>
      <c r="F232" s="556"/>
      <c r="G232" s="1009" t="s">
        <v>319</v>
      </c>
      <c r="H232" s="1009" t="s">
        <v>1310</v>
      </c>
      <c r="I232" s="1013" t="s">
        <v>763</v>
      </c>
      <c r="J232" s="1013" t="s">
        <v>2612</v>
      </c>
      <c r="K232" s="1011" t="s">
        <v>2575</v>
      </c>
      <c r="L232" s="1012" t="s">
        <v>424</v>
      </c>
      <c r="M232" s="1098" t="s">
        <v>1195</v>
      </c>
      <c r="N232" s="1098" t="s">
        <v>1204</v>
      </c>
      <c r="O232" s="1288" t="s">
        <v>4363</v>
      </c>
      <c r="P232" s="554" t="s">
        <v>2360</v>
      </c>
      <c r="Q232" s="292"/>
      <c r="R232" s="170"/>
      <c r="S232" s="389"/>
      <c r="T232" s="501" t="s">
        <v>1323</v>
      </c>
      <c r="U232" s="501" t="s">
        <v>656</v>
      </c>
      <c r="W232" s="431" t="s">
        <v>1141</v>
      </c>
      <c r="X232" s="431" t="s">
        <v>3387</v>
      </c>
      <c r="Z232" s="431"/>
      <c r="AA232" s="26"/>
      <c r="AB232" s="26"/>
      <c r="AC232" s="931"/>
      <c r="AD232" s="512"/>
    </row>
    <row r="233" spans="2:30" ht="10.5" customHeight="1">
      <c r="B233" s="283"/>
      <c r="C233" s="379" t="s">
        <v>1105</v>
      </c>
      <c r="D233" s="444">
        <v>49900</v>
      </c>
      <c r="E233" s="283"/>
      <c r="F233" s="556"/>
      <c r="G233" s="1009" t="s">
        <v>320</v>
      </c>
      <c r="H233" s="1009" t="s">
        <v>1310</v>
      </c>
      <c r="I233" s="1013" t="s">
        <v>1708</v>
      </c>
      <c r="J233" s="1013" t="s">
        <v>2612</v>
      </c>
      <c r="K233" s="1011" t="s">
        <v>410</v>
      </c>
      <c r="L233" s="1012" t="s">
        <v>424</v>
      </c>
      <c r="M233" s="1099" t="s">
        <v>1195</v>
      </c>
      <c r="N233" s="1099" t="s">
        <v>1319</v>
      </c>
      <c r="O233" s="1288" t="s">
        <v>4364</v>
      </c>
      <c r="P233" s="554" t="s">
        <v>10</v>
      </c>
      <c r="Q233" s="292"/>
      <c r="R233" s="170"/>
      <c r="S233" s="389"/>
      <c r="T233" s="501" t="s">
        <v>2361</v>
      </c>
      <c r="U233" s="501" t="s">
        <v>2486</v>
      </c>
      <c r="W233" s="431" t="s">
        <v>1143</v>
      </c>
      <c r="X233" s="431" t="s">
        <v>3387</v>
      </c>
      <c r="Z233" s="431"/>
      <c r="AA233" s="26"/>
      <c r="AB233" s="26"/>
      <c r="AC233" s="931"/>
      <c r="AD233" s="512"/>
    </row>
    <row r="234" spans="2:30" ht="10.5" customHeight="1">
      <c r="B234" s="283"/>
      <c r="C234" s="378" t="s">
        <v>1107</v>
      </c>
      <c r="D234" s="444">
        <v>37100</v>
      </c>
      <c r="E234" s="283"/>
      <c r="F234" s="556"/>
      <c r="G234" s="1009" t="s">
        <v>321</v>
      </c>
      <c r="H234" s="1009" t="s">
        <v>1210</v>
      </c>
      <c r="I234" s="1010" t="s">
        <v>322</v>
      </c>
      <c r="J234" s="1010" t="s">
        <v>2611</v>
      </c>
      <c r="K234" s="1011" t="s">
        <v>647</v>
      </c>
      <c r="L234" s="1012" t="s">
        <v>423</v>
      </c>
      <c r="M234" s="1099" t="s">
        <v>2598</v>
      </c>
      <c r="N234" s="1099" t="s">
        <v>1781</v>
      </c>
      <c r="O234" s="1288" t="s">
        <v>4365</v>
      </c>
      <c r="P234" s="554" t="s">
        <v>12</v>
      </c>
      <c r="Q234" s="292"/>
      <c r="R234" s="170"/>
      <c r="S234" s="389"/>
      <c r="T234" s="501" t="s">
        <v>11</v>
      </c>
      <c r="U234" s="501" t="s">
        <v>665</v>
      </c>
      <c r="W234" s="431" t="s">
        <v>2513</v>
      </c>
      <c r="X234" s="431" t="s">
        <v>3387</v>
      </c>
      <c r="Z234" s="431"/>
      <c r="AA234" s="26"/>
      <c r="AB234" s="26"/>
      <c r="AC234" s="931"/>
      <c r="AD234" s="512"/>
    </row>
    <row r="235" spans="2:30" ht="10.5" customHeight="1">
      <c r="B235" s="283"/>
      <c r="C235" s="378" t="s">
        <v>2267</v>
      </c>
      <c r="D235" s="444">
        <v>54400</v>
      </c>
      <c r="E235" s="283"/>
      <c r="F235" s="556"/>
      <c r="G235" s="1009" t="s">
        <v>323</v>
      </c>
      <c r="H235" s="1009" t="s">
        <v>1310</v>
      </c>
      <c r="I235" s="1010" t="s">
        <v>324</v>
      </c>
      <c r="J235" s="1010" t="s">
        <v>2611</v>
      </c>
      <c r="K235" s="1011" t="s">
        <v>648</v>
      </c>
      <c r="L235" s="1012" t="s">
        <v>423</v>
      </c>
      <c r="M235" s="1099" t="s">
        <v>2598</v>
      </c>
      <c r="N235" s="1099" t="s">
        <v>1204</v>
      </c>
      <c r="O235" s="1288" t="s">
        <v>4366</v>
      </c>
      <c r="P235" s="554" t="s">
        <v>56</v>
      </c>
      <c r="Q235" s="292"/>
      <c r="R235" s="170"/>
      <c r="S235" s="389"/>
      <c r="T235" s="501" t="s">
        <v>13</v>
      </c>
      <c r="U235" s="501" t="s">
        <v>314</v>
      </c>
      <c r="W235" s="431" t="s">
        <v>455</v>
      </c>
      <c r="X235" s="431" t="s">
        <v>3387</v>
      </c>
      <c r="Z235" s="431"/>
      <c r="AA235" s="26"/>
      <c r="AB235" s="26"/>
      <c r="AC235" s="931"/>
      <c r="AD235" s="512"/>
    </row>
    <row r="236" spans="2:30" ht="10.5" customHeight="1">
      <c r="B236" s="283"/>
      <c r="C236" s="379" t="s">
        <v>1325</v>
      </c>
      <c r="D236" s="444">
        <v>65200</v>
      </c>
      <c r="E236" s="283"/>
      <c r="F236" s="556"/>
      <c r="G236" s="1009" t="s">
        <v>325</v>
      </c>
      <c r="H236" s="1009" t="s">
        <v>1310</v>
      </c>
      <c r="I236" s="1013" t="s">
        <v>763</v>
      </c>
      <c r="J236" s="1013" t="s">
        <v>2612</v>
      </c>
      <c r="K236" s="1011" t="s">
        <v>2575</v>
      </c>
      <c r="L236" s="1012" t="s">
        <v>424</v>
      </c>
      <c r="M236" s="1098" t="s">
        <v>1195</v>
      </c>
      <c r="N236" s="1098" t="s">
        <v>1204</v>
      </c>
      <c r="O236" s="1288" t="s">
        <v>4367</v>
      </c>
      <c r="P236" s="554" t="s">
        <v>58</v>
      </c>
      <c r="Q236" s="292"/>
      <c r="R236" s="170"/>
      <c r="S236" s="389"/>
      <c r="T236" s="501" t="s">
        <v>57</v>
      </c>
      <c r="U236" s="501" t="s">
        <v>2583</v>
      </c>
      <c r="W236" s="431" t="s">
        <v>301</v>
      </c>
      <c r="X236" s="431" t="s">
        <v>3387</v>
      </c>
      <c r="Z236" s="431"/>
      <c r="AA236" s="26"/>
      <c r="AB236" s="26"/>
      <c r="AC236" s="931"/>
      <c r="AD236" s="512"/>
    </row>
    <row r="237" spans="2:30" ht="10.5" customHeight="1">
      <c r="B237" s="283"/>
      <c r="C237" s="379" t="s">
        <v>2166</v>
      </c>
      <c r="D237" s="444">
        <v>51700</v>
      </c>
      <c r="E237" s="283"/>
      <c r="F237" s="556"/>
      <c r="G237" s="1009" t="s">
        <v>326</v>
      </c>
      <c r="H237" s="1009" t="s">
        <v>1210</v>
      </c>
      <c r="I237" s="1010" t="s">
        <v>327</v>
      </c>
      <c r="J237" s="1010" t="s">
        <v>2611</v>
      </c>
      <c r="K237" s="1011" t="s">
        <v>649</v>
      </c>
      <c r="L237" s="1012" t="s">
        <v>423</v>
      </c>
      <c r="M237" s="1099" t="s">
        <v>2598</v>
      </c>
      <c r="N237" s="1099" t="s">
        <v>1695</v>
      </c>
      <c r="O237" s="1288" t="s">
        <v>4368</v>
      </c>
      <c r="P237" s="554" t="s">
        <v>60</v>
      </c>
      <c r="Q237" s="292"/>
      <c r="R237" s="170"/>
      <c r="S237" s="389"/>
      <c r="T237" s="501" t="s">
        <v>59</v>
      </c>
      <c r="U237" s="501" t="s">
        <v>357</v>
      </c>
      <c r="W237" s="431" t="s">
        <v>1824</v>
      </c>
      <c r="X237" s="431" t="s">
        <v>3387</v>
      </c>
      <c r="Z237" s="431"/>
      <c r="AA237" s="26"/>
      <c r="AB237" s="26"/>
      <c r="AC237" s="931"/>
      <c r="AD237" s="512"/>
    </row>
    <row r="238" spans="2:30" ht="10.5" customHeight="1">
      <c r="B238" s="283"/>
      <c r="C238" s="379" t="s">
        <v>2168</v>
      </c>
      <c r="D238" s="444">
        <v>46800</v>
      </c>
      <c r="E238" s="283"/>
      <c r="F238" s="556"/>
      <c r="G238" s="1009" t="s">
        <v>328</v>
      </c>
      <c r="H238" s="1009" t="s">
        <v>1210</v>
      </c>
      <c r="I238" s="1010" t="s">
        <v>329</v>
      </c>
      <c r="J238" s="1010" t="s">
        <v>2611</v>
      </c>
      <c r="K238" s="1011" t="s">
        <v>264</v>
      </c>
      <c r="L238" s="1012" t="s">
        <v>423</v>
      </c>
      <c r="M238" s="1099" t="s">
        <v>2598</v>
      </c>
      <c r="N238" s="1099" t="s">
        <v>1329</v>
      </c>
      <c r="O238" s="1288" t="s">
        <v>4369</v>
      </c>
      <c r="P238" s="554" t="s">
        <v>351</v>
      </c>
      <c r="Q238" s="292"/>
      <c r="R238" s="170"/>
      <c r="S238" s="389"/>
      <c r="T238" s="501" t="s">
        <v>61</v>
      </c>
      <c r="U238" s="501" t="s">
        <v>121</v>
      </c>
      <c r="W238" s="431" t="s">
        <v>1826</v>
      </c>
      <c r="X238" s="431" t="s">
        <v>3387</v>
      </c>
      <c r="Z238" s="431"/>
      <c r="AA238" s="26"/>
      <c r="AB238" s="26"/>
      <c r="AC238" s="931"/>
      <c r="AD238" s="512"/>
    </row>
    <row r="239" spans="2:30" ht="10.5" customHeight="1">
      <c r="B239" s="283"/>
      <c r="C239" s="379" t="s">
        <v>2170</v>
      </c>
      <c r="D239" s="444">
        <v>45600</v>
      </c>
      <c r="E239" s="283"/>
      <c r="F239" s="556"/>
      <c r="G239" s="1009" t="s">
        <v>330</v>
      </c>
      <c r="H239" s="1009" t="s">
        <v>1210</v>
      </c>
      <c r="I239" s="1010" t="s">
        <v>331</v>
      </c>
      <c r="J239" s="1010" t="s">
        <v>2611</v>
      </c>
      <c r="K239" s="1011" t="s">
        <v>265</v>
      </c>
      <c r="L239" s="1012" t="s">
        <v>423</v>
      </c>
      <c r="M239" s="1099" t="s">
        <v>2598</v>
      </c>
      <c r="N239" s="1099" t="s">
        <v>1329</v>
      </c>
      <c r="O239" s="1288" t="s">
        <v>4370</v>
      </c>
      <c r="P239" s="554" t="s">
        <v>353</v>
      </c>
      <c r="Q239" s="292"/>
      <c r="R239" s="170"/>
      <c r="S239" s="389"/>
      <c r="T239" s="501" t="s">
        <v>352</v>
      </c>
      <c r="U239" s="501" t="s">
        <v>2184</v>
      </c>
      <c r="W239" s="431" t="s">
        <v>1894</v>
      </c>
      <c r="X239" s="431" t="s">
        <v>3387</v>
      </c>
      <c r="Z239" s="431"/>
      <c r="AA239" s="26"/>
      <c r="AB239" s="26"/>
      <c r="AC239" s="931"/>
      <c r="AD239" s="512"/>
    </row>
    <row r="240" spans="2:30" ht="10.5" customHeight="1">
      <c r="B240" s="283"/>
      <c r="C240" s="379" t="s">
        <v>2173</v>
      </c>
      <c r="D240" s="444">
        <v>53200</v>
      </c>
      <c r="E240" s="283"/>
      <c r="F240" s="556"/>
      <c r="G240" s="1009" t="s">
        <v>332</v>
      </c>
      <c r="H240" s="1009" t="s">
        <v>1210</v>
      </c>
      <c r="I240" s="1010" t="s">
        <v>333</v>
      </c>
      <c r="J240" s="1010" t="s">
        <v>2611</v>
      </c>
      <c r="K240" s="1011" t="s">
        <v>266</v>
      </c>
      <c r="L240" s="1012" t="s">
        <v>423</v>
      </c>
      <c r="M240" s="1099" t="s">
        <v>2598</v>
      </c>
      <c r="N240" s="1099" t="s">
        <v>1319</v>
      </c>
      <c r="O240" s="1288" t="s">
        <v>4371</v>
      </c>
      <c r="P240" s="554" t="s">
        <v>355</v>
      </c>
      <c r="Q240" s="292"/>
      <c r="R240" s="170"/>
      <c r="S240" s="389"/>
      <c r="T240" s="501" t="s">
        <v>354</v>
      </c>
      <c r="U240" s="501" t="s">
        <v>952</v>
      </c>
      <c r="W240" s="431" t="s">
        <v>2243</v>
      </c>
      <c r="X240" s="431" t="s">
        <v>3387</v>
      </c>
      <c r="Z240" s="431"/>
      <c r="AA240" s="26"/>
      <c r="AB240" s="26"/>
      <c r="AC240" s="931"/>
      <c r="AD240" s="512"/>
    </row>
    <row r="241" spans="2:30" ht="10.5" customHeight="1">
      <c r="B241" s="283"/>
      <c r="C241" s="378" t="s">
        <v>2175</v>
      </c>
      <c r="D241" s="444">
        <v>29000</v>
      </c>
      <c r="E241" s="283"/>
      <c r="F241" s="556"/>
      <c r="G241" s="1009" t="s">
        <v>428</v>
      </c>
      <c r="H241" s="1009" t="s">
        <v>1210</v>
      </c>
      <c r="I241" s="1013" t="s">
        <v>1319</v>
      </c>
      <c r="J241" s="1013" t="s">
        <v>2612</v>
      </c>
      <c r="K241" s="1011" t="s">
        <v>2578</v>
      </c>
      <c r="L241" s="1012" t="s">
        <v>424</v>
      </c>
      <c r="M241" s="1098" t="s">
        <v>2598</v>
      </c>
      <c r="N241" s="1098" t="s">
        <v>1319</v>
      </c>
      <c r="O241" s="1288" t="s">
        <v>4372</v>
      </c>
      <c r="P241" s="554" t="s">
        <v>2288</v>
      </c>
      <c r="Q241" s="292"/>
      <c r="R241" s="170"/>
      <c r="S241" s="389"/>
      <c r="T241" s="501" t="s">
        <v>356</v>
      </c>
      <c r="U241" s="501" t="s">
        <v>1090</v>
      </c>
      <c r="W241" s="431" t="s">
        <v>420</v>
      </c>
      <c r="X241" s="431" t="s">
        <v>3387</v>
      </c>
      <c r="Z241" s="431"/>
      <c r="AA241" s="26"/>
      <c r="AB241" s="26"/>
      <c r="AC241" s="931"/>
      <c r="AD241" s="512"/>
    </row>
    <row r="242" spans="2:30" ht="10.5" customHeight="1">
      <c r="B242" s="283"/>
      <c r="C242" s="378" t="s">
        <v>2177</v>
      </c>
      <c r="D242" s="444">
        <v>41200</v>
      </c>
      <c r="E242" s="283"/>
      <c r="F242" s="556"/>
      <c r="G242" s="1009" t="s">
        <v>429</v>
      </c>
      <c r="H242" s="1009" t="s">
        <v>1310</v>
      </c>
      <c r="I242" s="1013" t="s">
        <v>766</v>
      </c>
      <c r="J242" s="1013" t="s">
        <v>2612</v>
      </c>
      <c r="K242" s="1011" t="s">
        <v>267</v>
      </c>
      <c r="L242" s="1012" t="s">
        <v>424</v>
      </c>
      <c r="M242" s="1098" t="s">
        <v>2598</v>
      </c>
      <c r="N242" s="1098" t="s">
        <v>1204</v>
      </c>
      <c r="O242" s="1288" t="s">
        <v>4373</v>
      </c>
      <c r="P242" s="554" t="s">
        <v>2290</v>
      </c>
      <c r="Q242" s="292"/>
      <c r="R242" s="170"/>
      <c r="S242" s="389"/>
      <c r="T242" s="501" t="s">
        <v>629</v>
      </c>
      <c r="U242" s="501" t="s">
        <v>1452</v>
      </c>
      <c r="W242" s="431" t="s">
        <v>2280</v>
      </c>
      <c r="X242" s="431" t="s">
        <v>3387</v>
      </c>
      <c r="Z242" s="431"/>
      <c r="AA242" s="26"/>
      <c r="AB242" s="26"/>
      <c r="AC242" s="931"/>
      <c r="AD242" s="512"/>
    </row>
    <row r="243" spans="2:30" ht="10.5" customHeight="1">
      <c r="B243" s="283"/>
      <c r="C243" s="379" t="s">
        <v>2179</v>
      </c>
      <c r="D243" s="444">
        <v>45700</v>
      </c>
      <c r="E243" s="283"/>
      <c r="F243" s="556"/>
      <c r="G243" s="1009" t="s">
        <v>1451</v>
      </c>
      <c r="H243" s="1009" t="s">
        <v>1210</v>
      </c>
      <c r="I243" s="1010" t="s">
        <v>1695</v>
      </c>
      <c r="J243" s="1010" t="s">
        <v>2612</v>
      </c>
      <c r="K243" s="1011" t="s">
        <v>2581</v>
      </c>
      <c r="L243" s="1012" t="s">
        <v>424</v>
      </c>
      <c r="M243" s="1098" t="s">
        <v>2598</v>
      </c>
      <c r="N243" s="1098" t="s">
        <v>1695</v>
      </c>
      <c r="O243" s="1288" t="s">
        <v>4374</v>
      </c>
      <c r="P243" s="554" t="s">
        <v>2291</v>
      </c>
      <c r="Q243" s="292"/>
      <c r="R243" s="170"/>
      <c r="S243" s="389"/>
      <c r="T243" s="501" t="s">
        <v>2289</v>
      </c>
      <c r="U243" s="501" t="s">
        <v>668</v>
      </c>
      <c r="W243" s="431" t="s">
        <v>3377</v>
      </c>
      <c r="X243" s="431" t="s">
        <v>3387</v>
      </c>
      <c r="Z243" s="431"/>
      <c r="AA243" s="26"/>
      <c r="AB243" s="26"/>
      <c r="AC243" s="931"/>
      <c r="AD243" s="512"/>
    </row>
    <row r="244" spans="2:30" ht="10.5" customHeight="1">
      <c r="B244" s="283"/>
      <c r="C244" s="379" t="s">
        <v>2181</v>
      </c>
      <c r="D244" s="444">
        <v>39200</v>
      </c>
      <c r="E244" s="283"/>
      <c r="F244" s="556"/>
      <c r="G244" s="1009" t="s">
        <v>1452</v>
      </c>
      <c r="H244" s="1009" t="s">
        <v>1310</v>
      </c>
      <c r="I244" s="1010" t="s">
        <v>1453</v>
      </c>
      <c r="J244" s="1010" t="s">
        <v>2611</v>
      </c>
      <c r="K244" s="1011" t="s">
        <v>268</v>
      </c>
      <c r="L244" s="1012" t="s">
        <v>423</v>
      </c>
      <c r="M244" s="1099" t="s">
        <v>2598</v>
      </c>
      <c r="N244" s="1099" t="s">
        <v>1319</v>
      </c>
      <c r="O244" s="1288" t="s">
        <v>4375</v>
      </c>
      <c r="P244" s="554" t="s">
        <v>2292</v>
      </c>
      <c r="Q244" s="292"/>
      <c r="R244" s="170"/>
      <c r="S244" s="389"/>
      <c r="T244" s="501" t="s">
        <v>1331</v>
      </c>
      <c r="U244" s="501" t="s">
        <v>666</v>
      </c>
      <c r="W244" s="431" t="s">
        <v>673</v>
      </c>
      <c r="X244" s="431" t="s">
        <v>3387</v>
      </c>
      <c r="Z244" s="431"/>
      <c r="AA244" s="26"/>
      <c r="AB244" s="26"/>
      <c r="AC244" s="931"/>
      <c r="AD244" s="512"/>
    </row>
    <row r="245" spans="2:30" ht="10.5" customHeight="1">
      <c r="B245" s="283"/>
      <c r="C245" s="379" t="s">
        <v>2183</v>
      </c>
      <c r="D245" s="444">
        <v>46300</v>
      </c>
      <c r="E245" s="283"/>
      <c r="F245" s="556"/>
      <c r="G245" s="1009" t="s">
        <v>1454</v>
      </c>
      <c r="H245" s="1009" t="s">
        <v>1210</v>
      </c>
      <c r="I245" s="1013" t="s">
        <v>1781</v>
      </c>
      <c r="J245" s="1013" t="s">
        <v>2612</v>
      </c>
      <c r="K245" s="1011" t="s">
        <v>1160</v>
      </c>
      <c r="L245" s="1012" t="s">
        <v>424</v>
      </c>
      <c r="M245" s="1098" t="s">
        <v>2598</v>
      </c>
      <c r="N245" s="1098" t="s">
        <v>1781</v>
      </c>
      <c r="O245" s="1288" t="s">
        <v>4376</v>
      </c>
      <c r="P245" s="554" t="s">
        <v>1558</v>
      </c>
      <c r="Q245" s="292"/>
      <c r="R245" s="170"/>
      <c r="S245" s="389"/>
      <c r="T245" s="501" t="s">
        <v>2847</v>
      </c>
      <c r="U245" s="501" t="s">
        <v>668</v>
      </c>
      <c r="W245" s="431" t="s">
        <v>2387</v>
      </c>
      <c r="X245" s="431" t="s">
        <v>3387</v>
      </c>
      <c r="Z245" s="431"/>
      <c r="AA245" s="26"/>
      <c r="AB245" s="26"/>
      <c r="AC245" s="931"/>
      <c r="AD245" s="512"/>
    </row>
    <row r="246" spans="2:30" ht="10.5" customHeight="1">
      <c r="B246" s="283"/>
      <c r="C246" s="379" t="s">
        <v>869</v>
      </c>
      <c r="D246" s="444">
        <v>37300</v>
      </c>
      <c r="E246" s="283"/>
      <c r="F246" s="556"/>
      <c r="G246" s="1009" t="s">
        <v>1455</v>
      </c>
      <c r="H246" s="1009" t="s">
        <v>1210</v>
      </c>
      <c r="I246" s="1010" t="s">
        <v>767</v>
      </c>
      <c r="J246" s="1010" t="s">
        <v>2612</v>
      </c>
      <c r="K246" s="1011" t="s">
        <v>269</v>
      </c>
      <c r="L246" s="1012" t="s">
        <v>424</v>
      </c>
      <c r="M246" s="1099" t="s">
        <v>1195</v>
      </c>
      <c r="N246" s="1099" t="s">
        <v>1325</v>
      </c>
      <c r="O246" s="1288" t="s">
        <v>4377</v>
      </c>
      <c r="P246" s="554" t="s">
        <v>1560</v>
      </c>
      <c r="Q246" s="292"/>
      <c r="R246" s="170"/>
      <c r="S246" s="389"/>
      <c r="T246" s="501" t="s">
        <v>2293</v>
      </c>
      <c r="U246" s="501" t="s">
        <v>104</v>
      </c>
      <c r="W246" s="431" t="s">
        <v>220</v>
      </c>
      <c r="X246" s="431" t="s">
        <v>3387</v>
      </c>
      <c r="Z246" s="431"/>
      <c r="AA246" s="26"/>
      <c r="AB246" s="26"/>
      <c r="AC246" s="931"/>
      <c r="AD246" s="512"/>
    </row>
    <row r="247" spans="2:30" ht="10.5" customHeight="1">
      <c r="B247" s="283"/>
      <c r="C247" s="379" t="s">
        <v>871</v>
      </c>
      <c r="D247" s="444">
        <v>32200</v>
      </c>
      <c r="E247" s="283"/>
      <c r="F247" s="556"/>
      <c r="G247" s="1009" t="s">
        <v>1456</v>
      </c>
      <c r="H247" s="1009" t="s">
        <v>1310</v>
      </c>
      <c r="I247" s="1010" t="s">
        <v>1457</v>
      </c>
      <c r="J247" s="1010" t="s">
        <v>2612</v>
      </c>
      <c r="K247" s="1011" t="s">
        <v>3737</v>
      </c>
      <c r="L247" s="1012" t="s">
        <v>424</v>
      </c>
      <c r="M247" s="1099" t="s">
        <v>2598</v>
      </c>
      <c r="N247" s="1099" t="s">
        <v>1329</v>
      </c>
      <c r="O247" s="1288" t="s">
        <v>4378</v>
      </c>
      <c r="P247" s="554" t="s">
        <v>1562</v>
      </c>
      <c r="Q247" s="292"/>
      <c r="R247" s="170"/>
      <c r="S247" s="389"/>
      <c r="T247" s="501" t="s">
        <v>1559</v>
      </c>
      <c r="U247" s="501" t="s">
        <v>1632</v>
      </c>
      <c r="W247" s="431" t="s">
        <v>658</v>
      </c>
      <c r="X247" s="431" t="s">
        <v>3387</v>
      </c>
      <c r="Z247" s="431"/>
      <c r="AA247" s="26"/>
      <c r="AB247" s="26"/>
      <c r="AC247" s="931"/>
      <c r="AD247" s="512"/>
    </row>
    <row r="248" spans="2:30" ht="10.5" customHeight="1">
      <c r="B248" s="283"/>
      <c r="C248" s="379" t="s">
        <v>1666</v>
      </c>
      <c r="D248" s="444">
        <v>47300</v>
      </c>
      <c r="E248" s="283"/>
      <c r="F248" s="556"/>
      <c r="G248" s="1009" t="s">
        <v>1458</v>
      </c>
      <c r="H248" s="1009" t="s">
        <v>1210</v>
      </c>
      <c r="I248" s="1010" t="s">
        <v>1459</v>
      </c>
      <c r="J248" s="1010" t="s">
        <v>2612</v>
      </c>
      <c r="K248" s="1011" t="s">
        <v>692</v>
      </c>
      <c r="L248" s="1012" t="s">
        <v>424</v>
      </c>
      <c r="M248" s="1098" t="s">
        <v>2598</v>
      </c>
      <c r="N248" s="1098" t="s">
        <v>1325</v>
      </c>
      <c r="O248" s="1288" t="s">
        <v>4379</v>
      </c>
      <c r="P248" s="554" t="s">
        <v>1564</v>
      </c>
      <c r="Q248" s="292"/>
      <c r="R248" s="170"/>
      <c r="S248" s="389"/>
      <c r="T248" s="501" t="s">
        <v>2563</v>
      </c>
      <c r="U248" s="501" t="s">
        <v>627</v>
      </c>
      <c r="W248" s="431" t="s">
        <v>234</v>
      </c>
      <c r="X248" s="431" t="s">
        <v>3387</v>
      </c>
      <c r="Z248" s="431"/>
      <c r="AA248" s="26"/>
      <c r="AB248" s="26"/>
      <c r="AC248" s="931"/>
      <c r="AD248" s="512"/>
    </row>
    <row r="249" spans="2:30" ht="10.5" customHeight="1">
      <c r="B249" s="283"/>
      <c r="C249" s="379" t="s">
        <v>1907</v>
      </c>
      <c r="D249" s="444">
        <v>49900</v>
      </c>
      <c r="E249" s="283"/>
      <c r="F249" s="556"/>
      <c r="G249" s="1009" t="s">
        <v>175</v>
      </c>
      <c r="H249" s="1009" t="s">
        <v>1210</v>
      </c>
      <c r="I249" s="1010" t="s">
        <v>1695</v>
      </c>
      <c r="J249" s="1010" t="s">
        <v>2612</v>
      </c>
      <c r="K249" s="1011" t="s">
        <v>2581</v>
      </c>
      <c r="L249" s="1012" t="s">
        <v>424</v>
      </c>
      <c r="M249" s="1099" t="s">
        <v>1195</v>
      </c>
      <c r="N249" s="1099" t="s">
        <v>1695</v>
      </c>
      <c r="O249" s="1288" t="s">
        <v>4380</v>
      </c>
      <c r="P249" s="554" t="s">
        <v>1566</v>
      </c>
      <c r="Q249" s="292"/>
      <c r="R249" s="170"/>
      <c r="S249" s="389"/>
      <c r="T249" s="501" t="s">
        <v>1561</v>
      </c>
      <c r="U249" s="501" t="s">
        <v>659</v>
      </c>
      <c r="W249" s="431" t="s">
        <v>659</v>
      </c>
      <c r="X249" s="431" t="s">
        <v>3387</v>
      </c>
      <c r="Z249" s="431"/>
      <c r="AA249" s="26"/>
      <c r="AB249" s="26"/>
      <c r="AC249" s="931"/>
      <c r="AD249" s="512"/>
    </row>
    <row r="250" spans="2:30" ht="10.5" customHeight="1">
      <c r="B250" s="283"/>
      <c r="C250" s="378" t="s">
        <v>1909</v>
      </c>
      <c r="D250" s="444">
        <v>48700</v>
      </c>
      <c r="E250" s="283"/>
      <c r="F250" s="556"/>
      <c r="G250" s="1009" t="s">
        <v>176</v>
      </c>
      <c r="H250" s="1009" t="s">
        <v>1310</v>
      </c>
      <c r="I250" s="1013" t="s">
        <v>177</v>
      </c>
      <c r="J250" s="1013" t="s">
        <v>2611</v>
      </c>
      <c r="K250" s="1011" t="s">
        <v>693</v>
      </c>
      <c r="L250" s="1012" t="s">
        <v>423</v>
      </c>
      <c r="M250" s="1099" t="s">
        <v>2598</v>
      </c>
      <c r="N250" s="1099" t="s">
        <v>1204</v>
      </c>
      <c r="O250" s="1288" t="s">
        <v>4381</v>
      </c>
      <c r="P250" s="554" t="s">
        <v>1741</v>
      </c>
      <c r="Q250" s="292"/>
      <c r="R250" s="170"/>
      <c r="S250" s="389"/>
      <c r="T250" s="501" t="s">
        <v>2848</v>
      </c>
      <c r="U250" s="501" t="s">
        <v>2241</v>
      </c>
      <c r="W250" s="431" t="s">
        <v>786</v>
      </c>
      <c r="X250" s="431" t="s">
        <v>3387</v>
      </c>
      <c r="Z250" s="431"/>
      <c r="AA250" s="26"/>
      <c r="AB250" s="26"/>
      <c r="AC250" s="931"/>
      <c r="AD250" s="512"/>
    </row>
    <row r="251" spans="2:30" ht="10.5" customHeight="1">
      <c r="B251" s="283"/>
      <c r="C251" s="378" t="s">
        <v>1911</v>
      </c>
      <c r="D251" s="444">
        <v>50200</v>
      </c>
      <c r="E251" s="283"/>
      <c r="F251" s="556"/>
      <c r="G251" s="1009" t="s">
        <v>1319</v>
      </c>
      <c r="H251" s="1009" t="s">
        <v>1210</v>
      </c>
      <c r="I251" s="1010" t="s">
        <v>178</v>
      </c>
      <c r="J251" s="1010" t="s">
        <v>2611</v>
      </c>
      <c r="K251" s="1011" t="s">
        <v>694</v>
      </c>
      <c r="L251" s="1012" t="s">
        <v>423</v>
      </c>
      <c r="M251" s="1099" t="s">
        <v>2598</v>
      </c>
      <c r="N251" s="1099" t="s">
        <v>1319</v>
      </c>
      <c r="O251" s="1288" t="s">
        <v>4382</v>
      </c>
      <c r="P251" s="554" t="s">
        <v>1743</v>
      </c>
      <c r="Q251" s="292"/>
      <c r="R251" s="170"/>
      <c r="S251" s="389"/>
      <c r="T251" s="501" t="s">
        <v>1563</v>
      </c>
      <c r="U251" s="501" t="s">
        <v>164</v>
      </c>
      <c r="W251" s="431" t="s">
        <v>3378</v>
      </c>
      <c r="X251" s="431" t="s">
        <v>3387</v>
      </c>
      <c r="Z251" s="431"/>
      <c r="AA251" s="26"/>
      <c r="AB251" s="26"/>
      <c r="AC251" s="931"/>
      <c r="AD251" s="512"/>
    </row>
    <row r="252" spans="2:30" ht="10.5" customHeight="1">
      <c r="B252" s="283"/>
      <c r="C252" s="378" t="s">
        <v>1913</v>
      </c>
      <c r="D252" s="444">
        <v>55400</v>
      </c>
      <c r="E252" s="283"/>
      <c r="F252" s="556"/>
      <c r="G252" s="1009" t="s">
        <v>179</v>
      </c>
      <c r="H252" s="1009" t="s">
        <v>1310</v>
      </c>
      <c r="I252" s="1010" t="s">
        <v>2042</v>
      </c>
      <c r="J252" s="1010" t="s">
        <v>2612</v>
      </c>
      <c r="K252" s="1011" t="s">
        <v>619</v>
      </c>
      <c r="L252" s="1012" t="s">
        <v>424</v>
      </c>
      <c r="M252" s="1098" t="s">
        <v>2598</v>
      </c>
      <c r="N252" s="1098" t="s">
        <v>166</v>
      </c>
      <c r="O252" s="1288" t="s">
        <v>4383</v>
      </c>
      <c r="P252" s="554" t="s">
        <v>1745</v>
      </c>
      <c r="Q252" s="292"/>
      <c r="R252" s="170"/>
      <c r="S252" s="389"/>
      <c r="T252" s="501" t="s">
        <v>1565</v>
      </c>
      <c r="U252" s="501" t="s">
        <v>1312</v>
      </c>
      <c r="W252" s="431" t="s">
        <v>3379</v>
      </c>
      <c r="X252" s="431" t="s">
        <v>3387</v>
      </c>
      <c r="Z252" s="431"/>
      <c r="AA252" s="26"/>
      <c r="AB252" s="26"/>
      <c r="AC252" s="931"/>
      <c r="AD252" s="512"/>
    </row>
    <row r="253" spans="2:30" ht="10.5" customHeight="1">
      <c r="B253" s="283"/>
      <c r="C253" s="378" t="s">
        <v>1915</v>
      </c>
      <c r="D253" s="444">
        <v>50500</v>
      </c>
      <c r="E253" s="283"/>
      <c r="F253" s="556"/>
      <c r="G253" s="1009" t="s">
        <v>357</v>
      </c>
      <c r="H253" s="1009" t="s">
        <v>1210</v>
      </c>
      <c r="I253" s="1013" t="s">
        <v>161</v>
      </c>
      <c r="J253" s="1013" t="s">
        <v>2612</v>
      </c>
      <c r="K253" s="1011" t="s">
        <v>1681</v>
      </c>
      <c r="L253" s="1012" t="s">
        <v>424</v>
      </c>
      <c r="M253" s="1098" t="s">
        <v>2598</v>
      </c>
      <c r="N253" s="1098" t="s">
        <v>161</v>
      </c>
      <c r="O253" s="1288" t="s">
        <v>4384</v>
      </c>
      <c r="P253" s="554" t="s">
        <v>1022</v>
      </c>
      <c r="Q253" s="292"/>
      <c r="R253" s="170"/>
      <c r="S253" s="389"/>
      <c r="T253" s="501" t="s">
        <v>1567</v>
      </c>
      <c r="U253" s="501" t="s">
        <v>179</v>
      </c>
      <c r="W253" s="431" t="s">
        <v>1220</v>
      </c>
      <c r="X253" s="431" t="s">
        <v>3387</v>
      </c>
      <c r="Z253" s="431"/>
      <c r="AA253" s="26"/>
      <c r="AB253" s="26"/>
      <c r="AC253" s="931"/>
      <c r="AD253" s="512"/>
    </row>
    <row r="254" spans="2:30" ht="10.5" customHeight="1">
      <c r="B254" s="283"/>
      <c r="C254" s="378" t="s">
        <v>1917</v>
      </c>
      <c r="D254" s="444">
        <v>40200</v>
      </c>
      <c r="E254" s="283"/>
      <c r="F254" s="556"/>
      <c r="G254" s="1009" t="s">
        <v>1875</v>
      </c>
      <c r="H254" s="1009" t="s">
        <v>1310</v>
      </c>
      <c r="I254" s="1013" t="s">
        <v>764</v>
      </c>
      <c r="J254" s="1013" t="s">
        <v>2612</v>
      </c>
      <c r="K254" s="1011" t="s">
        <v>2597</v>
      </c>
      <c r="L254" s="1012" t="s">
        <v>424</v>
      </c>
      <c r="M254" s="1098" t="s">
        <v>2598</v>
      </c>
      <c r="N254" s="1098" t="s">
        <v>1329</v>
      </c>
      <c r="O254" s="1288" t="s">
        <v>4385</v>
      </c>
      <c r="P254" s="554" t="s">
        <v>1023</v>
      </c>
      <c r="Q254" s="292"/>
      <c r="R254" s="170"/>
      <c r="S254" s="389"/>
      <c r="T254" s="501" t="s">
        <v>1742</v>
      </c>
      <c r="U254" s="501" t="s">
        <v>659</v>
      </c>
      <c r="W254" s="431" t="s">
        <v>679</v>
      </c>
      <c r="X254" s="431" t="s">
        <v>3387</v>
      </c>
      <c r="Z254" s="431"/>
      <c r="AA254" s="26"/>
      <c r="AB254" s="26"/>
      <c r="AC254" s="931"/>
      <c r="AD254" s="512"/>
    </row>
    <row r="255" spans="2:30" ht="10.5" customHeight="1">
      <c r="B255" s="283"/>
      <c r="C255" s="379" t="s">
        <v>1920</v>
      </c>
      <c r="D255" s="444">
        <v>53000</v>
      </c>
      <c r="E255" s="283"/>
      <c r="F255" s="556"/>
      <c r="G255" s="1009" t="s">
        <v>1876</v>
      </c>
      <c r="H255" s="1009" t="s">
        <v>1210</v>
      </c>
      <c r="I255" s="1010" t="s">
        <v>11</v>
      </c>
      <c r="J255" s="1010" t="s">
        <v>2612</v>
      </c>
      <c r="K255" s="1011" t="s">
        <v>2580</v>
      </c>
      <c r="L255" s="1012" t="s">
        <v>424</v>
      </c>
      <c r="M255" s="1098" t="s">
        <v>2598</v>
      </c>
      <c r="N255" s="1098" t="s">
        <v>1325</v>
      </c>
      <c r="O255" s="1288" t="s">
        <v>4386</v>
      </c>
      <c r="P255" s="554" t="s">
        <v>236</v>
      </c>
      <c r="Q255" s="292"/>
      <c r="R255" s="170"/>
      <c r="S255" s="389"/>
      <c r="T255" s="501" t="s">
        <v>1744</v>
      </c>
      <c r="U255" s="501" t="s">
        <v>732</v>
      </c>
      <c r="W255" s="431" t="s">
        <v>666</v>
      </c>
      <c r="X255" s="431" t="s">
        <v>3387</v>
      </c>
      <c r="Z255" s="431"/>
      <c r="AA255" s="26"/>
      <c r="AB255" s="26"/>
      <c r="AC255" s="931"/>
      <c r="AD255" s="512"/>
    </row>
    <row r="256" spans="2:30" ht="10.5" customHeight="1">
      <c r="B256" s="283"/>
      <c r="C256" s="378" t="s">
        <v>2005</v>
      </c>
      <c r="D256" s="444">
        <v>48700</v>
      </c>
      <c r="E256" s="283"/>
      <c r="F256" s="556"/>
      <c r="G256" s="1009" t="s">
        <v>1877</v>
      </c>
      <c r="H256" s="1009" t="s">
        <v>1210</v>
      </c>
      <c r="I256" s="1013" t="s">
        <v>768</v>
      </c>
      <c r="J256" s="1013" t="s">
        <v>2612</v>
      </c>
      <c r="K256" s="1011" t="s">
        <v>695</v>
      </c>
      <c r="L256" s="1012" t="s">
        <v>424</v>
      </c>
      <c r="M256" s="1098" t="s">
        <v>2598</v>
      </c>
      <c r="N256" s="1098" t="s">
        <v>1204</v>
      </c>
      <c r="O256" s="1288" t="s">
        <v>4387</v>
      </c>
      <c r="P256" s="554" t="s">
        <v>238</v>
      </c>
      <c r="Q256" s="292"/>
      <c r="R256" s="170"/>
      <c r="S256" s="389"/>
      <c r="T256" s="501" t="s">
        <v>1021</v>
      </c>
      <c r="U256" s="501" t="s">
        <v>1313</v>
      </c>
      <c r="W256" s="431" t="s">
        <v>980</v>
      </c>
      <c r="X256" s="431" t="s">
        <v>3387</v>
      </c>
      <c r="Z256" s="431"/>
      <c r="AA256" s="26"/>
      <c r="AB256" s="26"/>
      <c r="AC256" s="931"/>
      <c r="AD256" s="512"/>
    </row>
    <row r="257" spans="2:30" ht="10.5" customHeight="1">
      <c r="B257" s="283"/>
      <c r="C257" s="378" t="s">
        <v>1695</v>
      </c>
      <c r="D257" s="444">
        <v>49500</v>
      </c>
      <c r="E257" s="283"/>
      <c r="F257" s="556"/>
      <c r="G257" s="1009" t="s">
        <v>1630</v>
      </c>
      <c r="H257" s="1009" t="s">
        <v>1210</v>
      </c>
      <c r="I257" s="1010" t="s">
        <v>1631</v>
      </c>
      <c r="J257" s="1010" t="s">
        <v>2611</v>
      </c>
      <c r="K257" s="1011" t="s">
        <v>696</v>
      </c>
      <c r="L257" s="1012" t="s">
        <v>423</v>
      </c>
      <c r="M257" s="1099" t="s">
        <v>2598</v>
      </c>
      <c r="N257" s="1099" t="s">
        <v>1781</v>
      </c>
      <c r="O257" s="1288" t="s">
        <v>4388</v>
      </c>
      <c r="P257" s="554" t="s">
        <v>1262</v>
      </c>
      <c r="Q257" s="292"/>
      <c r="R257" s="170"/>
      <c r="S257" s="389"/>
      <c r="T257" s="501" t="s">
        <v>1024</v>
      </c>
      <c r="U257" s="501" t="s">
        <v>657</v>
      </c>
      <c r="W257" s="431" t="s">
        <v>984</v>
      </c>
      <c r="X257" s="431" t="s">
        <v>3387</v>
      </c>
      <c r="Z257" s="431"/>
      <c r="AA257" s="26"/>
      <c r="AB257" s="26"/>
      <c r="AC257" s="931"/>
      <c r="AD257" s="512"/>
    </row>
    <row r="258" spans="2:30" ht="10.5" customHeight="1">
      <c r="B258" s="283"/>
      <c r="C258" s="379" t="s">
        <v>103</v>
      </c>
      <c r="D258" s="444">
        <v>45300</v>
      </c>
      <c r="E258" s="283"/>
      <c r="F258" s="556"/>
      <c r="G258" s="1009" t="s">
        <v>1632</v>
      </c>
      <c r="H258" s="1009" t="s">
        <v>1210</v>
      </c>
      <c r="I258" s="1010" t="s">
        <v>1633</v>
      </c>
      <c r="J258" s="1010" t="s">
        <v>2611</v>
      </c>
      <c r="K258" s="1011" t="s">
        <v>697</v>
      </c>
      <c r="L258" s="1012" t="s">
        <v>423</v>
      </c>
      <c r="M258" s="1099" t="s">
        <v>2598</v>
      </c>
      <c r="N258" s="1099" t="s">
        <v>1781</v>
      </c>
      <c r="O258" s="1288" t="s">
        <v>4389</v>
      </c>
      <c r="P258" s="554" t="s">
        <v>2058</v>
      </c>
      <c r="Q258" s="292"/>
      <c r="R258" s="170"/>
      <c r="S258" s="389"/>
      <c r="T258" s="501" t="s">
        <v>237</v>
      </c>
      <c r="U258" s="501" t="s">
        <v>2528</v>
      </c>
      <c r="W258" s="431" t="s">
        <v>986</v>
      </c>
      <c r="X258" s="431" t="s">
        <v>3387</v>
      </c>
      <c r="Z258" s="431"/>
      <c r="AA258" s="26"/>
      <c r="AB258" s="26"/>
      <c r="AC258" s="931"/>
      <c r="AD258" s="512"/>
    </row>
    <row r="259" spans="2:30" ht="10.5" customHeight="1">
      <c r="B259" s="283"/>
      <c r="C259" s="378" t="s">
        <v>1708</v>
      </c>
      <c r="D259" s="444">
        <v>67000</v>
      </c>
      <c r="E259" s="283"/>
      <c r="F259" s="556"/>
      <c r="G259" s="1009" t="s">
        <v>1634</v>
      </c>
      <c r="H259" s="1009" t="s">
        <v>1310</v>
      </c>
      <c r="I259" s="1013" t="s">
        <v>2041</v>
      </c>
      <c r="J259" s="1013" t="s">
        <v>2612</v>
      </c>
      <c r="K259" s="1011" t="s">
        <v>698</v>
      </c>
      <c r="L259" s="1012" t="s">
        <v>424</v>
      </c>
      <c r="M259" s="1098" t="s">
        <v>2598</v>
      </c>
      <c r="N259" s="1098" t="s">
        <v>1204</v>
      </c>
      <c r="O259" s="1288" t="s">
        <v>4390</v>
      </c>
      <c r="P259" s="554" t="s">
        <v>2060</v>
      </c>
      <c r="Q259" s="292"/>
      <c r="R259" s="170"/>
      <c r="S259" s="389"/>
      <c r="T259" s="501" t="s">
        <v>2849</v>
      </c>
      <c r="U259" s="501" t="s">
        <v>873</v>
      </c>
      <c r="W259" s="431" t="s">
        <v>573</v>
      </c>
      <c r="X259" s="431" t="s">
        <v>3387</v>
      </c>
      <c r="Z259" s="431"/>
      <c r="AA259" s="26"/>
      <c r="AB259" s="26"/>
      <c r="AC259" s="931"/>
      <c r="AD259" s="512"/>
    </row>
    <row r="260" spans="2:30" ht="10.5" customHeight="1">
      <c r="B260" s="283"/>
      <c r="C260" s="378" t="s">
        <v>105</v>
      </c>
      <c r="D260" s="444">
        <v>39700</v>
      </c>
      <c r="F260" s="556"/>
      <c r="G260" s="1009" t="s">
        <v>184</v>
      </c>
      <c r="H260" s="1009" t="s">
        <v>1210</v>
      </c>
      <c r="I260" s="1010" t="s">
        <v>185</v>
      </c>
      <c r="J260" s="1010" t="s">
        <v>2611</v>
      </c>
      <c r="K260" s="1011" t="s">
        <v>699</v>
      </c>
      <c r="L260" s="1012" t="s">
        <v>423</v>
      </c>
      <c r="M260" s="1099" t="s">
        <v>2598</v>
      </c>
      <c r="N260" s="1099" t="s">
        <v>1325</v>
      </c>
      <c r="O260" s="1288" t="s">
        <v>4391</v>
      </c>
      <c r="P260" s="554" t="s">
        <v>2062</v>
      </c>
      <c r="Q260" s="292"/>
      <c r="R260" s="170"/>
      <c r="S260" s="389"/>
      <c r="T260" s="555" t="s">
        <v>1757</v>
      </c>
      <c r="U260" s="555" t="s">
        <v>1096</v>
      </c>
      <c r="W260" s="431" t="s">
        <v>372</v>
      </c>
      <c r="X260" s="431" t="s">
        <v>3387</v>
      </c>
      <c r="Z260" s="431"/>
      <c r="AA260" s="26"/>
      <c r="AB260" s="26"/>
      <c r="AC260" s="931"/>
      <c r="AD260" s="512"/>
    </row>
    <row r="261" spans="2:30" ht="10.5" customHeight="1">
      <c r="B261" s="283"/>
      <c r="C261" s="378" t="s">
        <v>107</v>
      </c>
      <c r="D261" s="444">
        <v>49600</v>
      </c>
      <c r="F261" s="556"/>
      <c r="G261" s="1009" t="s">
        <v>2583</v>
      </c>
      <c r="H261" s="1009" t="s">
        <v>1310</v>
      </c>
      <c r="I261" s="1013" t="s">
        <v>2584</v>
      </c>
      <c r="J261" s="1010" t="s">
        <v>2612</v>
      </c>
      <c r="K261" s="1011" t="s">
        <v>3736</v>
      </c>
      <c r="L261" s="1012" t="s">
        <v>424</v>
      </c>
      <c r="M261" s="1099" t="s">
        <v>2598</v>
      </c>
      <c r="N261" s="1099" t="s">
        <v>1204</v>
      </c>
      <c r="O261" s="1288" t="s">
        <v>4392</v>
      </c>
      <c r="P261" s="554" t="s">
        <v>2064</v>
      </c>
      <c r="Q261" s="292"/>
      <c r="R261" s="170"/>
      <c r="S261" s="389"/>
      <c r="T261" s="501" t="s">
        <v>2059</v>
      </c>
      <c r="U261" s="501" t="s">
        <v>320</v>
      </c>
      <c r="W261" s="431" t="s">
        <v>1594</v>
      </c>
      <c r="X261" s="431" t="s">
        <v>3387</v>
      </c>
      <c r="Z261" s="431"/>
      <c r="AA261" s="26"/>
      <c r="AB261" s="26"/>
      <c r="AC261" s="932"/>
      <c r="AD261" s="512"/>
    </row>
    <row r="262" spans="2:30" ht="10.5" customHeight="1">
      <c r="B262" s="283"/>
      <c r="C262" s="378" t="s">
        <v>109</v>
      </c>
      <c r="D262" s="444">
        <v>51300</v>
      </c>
      <c r="F262" s="556"/>
      <c r="G262" s="1009" t="s">
        <v>2585</v>
      </c>
      <c r="H262" s="1009" t="s">
        <v>1310</v>
      </c>
      <c r="I262" s="1010" t="s">
        <v>2586</v>
      </c>
      <c r="J262" s="1010" t="s">
        <v>2612</v>
      </c>
      <c r="K262" s="1011" t="s">
        <v>1951</v>
      </c>
      <c r="L262" s="1012" t="s">
        <v>424</v>
      </c>
      <c r="M262" s="1098" t="s">
        <v>2598</v>
      </c>
      <c r="N262" s="1098" t="s">
        <v>1204</v>
      </c>
      <c r="O262" s="1288" t="s">
        <v>4393</v>
      </c>
      <c r="P262" s="554" t="s">
        <v>2066</v>
      </c>
      <c r="Q262" s="292"/>
      <c r="R262" s="170"/>
      <c r="S262" s="389"/>
      <c r="T262" s="501" t="s">
        <v>2061</v>
      </c>
      <c r="U262" s="501" t="s">
        <v>318</v>
      </c>
      <c r="W262" s="431" t="s">
        <v>1008</v>
      </c>
      <c r="X262" s="431" t="s">
        <v>3387</v>
      </c>
      <c r="Z262" s="431"/>
      <c r="AA262" s="26"/>
      <c r="AB262" s="26"/>
      <c r="AC262" s="931"/>
      <c r="AD262" s="512"/>
    </row>
    <row r="263" spans="2:30" ht="10.5" customHeight="1">
      <c r="B263" s="283"/>
      <c r="C263" s="378" t="s">
        <v>111</v>
      </c>
      <c r="D263" s="444">
        <v>51500</v>
      </c>
      <c r="F263" s="556"/>
      <c r="G263" s="1009" t="s">
        <v>2587</v>
      </c>
      <c r="H263" s="1009" t="s">
        <v>1795</v>
      </c>
      <c r="I263" s="1013" t="s">
        <v>161</v>
      </c>
      <c r="J263" s="1013" t="s">
        <v>2612</v>
      </c>
      <c r="K263" s="1011" t="s">
        <v>1681</v>
      </c>
      <c r="L263" s="1012" t="s">
        <v>424</v>
      </c>
      <c r="M263" s="1099" t="s">
        <v>1195</v>
      </c>
      <c r="N263" s="1099" t="s">
        <v>161</v>
      </c>
      <c r="O263" s="1288" t="s">
        <v>4394</v>
      </c>
      <c r="P263" s="554" t="s">
        <v>2068</v>
      </c>
      <c r="Q263" s="292"/>
      <c r="R263" s="170"/>
      <c r="S263" s="389"/>
      <c r="T263" s="501" t="s">
        <v>2063</v>
      </c>
      <c r="U263" s="501" t="s">
        <v>627</v>
      </c>
      <c r="W263" s="431" t="s">
        <v>1010</v>
      </c>
      <c r="X263" s="431" t="s">
        <v>3387</v>
      </c>
      <c r="Z263" s="431"/>
      <c r="AA263" s="26"/>
      <c r="AB263" s="26"/>
      <c r="AC263" s="931"/>
      <c r="AD263" s="512"/>
    </row>
    <row r="264" spans="2:30" ht="10.5" customHeight="1">
      <c r="B264" s="283"/>
      <c r="C264" s="378" t="s">
        <v>113</v>
      </c>
      <c r="D264" s="444">
        <v>34600</v>
      </c>
      <c r="F264" s="556"/>
      <c r="G264" s="1009" t="s">
        <v>2588</v>
      </c>
      <c r="H264" s="1009" t="s">
        <v>1310</v>
      </c>
      <c r="I264" s="1013" t="s">
        <v>763</v>
      </c>
      <c r="J264" s="1013" t="s">
        <v>2612</v>
      </c>
      <c r="K264" s="1011" t="s">
        <v>2575</v>
      </c>
      <c r="L264" s="1012" t="s">
        <v>424</v>
      </c>
      <c r="M264" s="1098" t="s">
        <v>1195</v>
      </c>
      <c r="N264" s="1098" t="s">
        <v>1204</v>
      </c>
      <c r="O264" s="1288" t="s">
        <v>4395</v>
      </c>
      <c r="P264" s="554" t="s">
        <v>674</v>
      </c>
      <c r="Q264" s="292"/>
      <c r="R264" s="170"/>
      <c r="S264" s="389"/>
      <c r="T264" s="501" t="s">
        <v>2065</v>
      </c>
      <c r="U264" s="501" t="s">
        <v>2585</v>
      </c>
      <c r="W264" s="431" t="s">
        <v>1678</v>
      </c>
      <c r="X264" s="431" t="s">
        <v>3387</v>
      </c>
      <c r="Z264" s="431"/>
      <c r="AA264" s="26"/>
      <c r="AB264" s="26"/>
      <c r="AC264" s="931"/>
      <c r="AD264" s="512"/>
    </row>
    <row r="265" spans="2:30" ht="10.5" customHeight="1">
      <c r="B265" s="283"/>
      <c r="C265" s="378" t="s">
        <v>115</v>
      </c>
      <c r="D265" s="444">
        <v>50500</v>
      </c>
      <c r="F265" s="556"/>
      <c r="G265" s="1009" t="s">
        <v>2589</v>
      </c>
      <c r="H265" s="1009" t="s">
        <v>1310</v>
      </c>
      <c r="I265" s="1010" t="s">
        <v>2042</v>
      </c>
      <c r="J265" s="1010" t="s">
        <v>2612</v>
      </c>
      <c r="K265" s="1011" t="s">
        <v>619</v>
      </c>
      <c r="L265" s="1012" t="s">
        <v>424</v>
      </c>
      <c r="M265" s="1098" t="s">
        <v>2598</v>
      </c>
      <c r="N265" s="1098" t="s">
        <v>166</v>
      </c>
      <c r="O265" s="1288" t="s">
        <v>4396</v>
      </c>
      <c r="P265" s="554" t="s">
        <v>2327</v>
      </c>
      <c r="Q265" s="292"/>
      <c r="R265" s="170"/>
      <c r="S265" s="389"/>
      <c r="T265" s="501" t="s">
        <v>4738</v>
      </c>
      <c r="U265" s="501" t="s">
        <v>1205</v>
      </c>
      <c r="W265" s="431" t="s">
        <v>865</v>
      </c>
      <c r="X265" s="431" t="s">
        <v>3387</v>
      </c>
      <c r="Z265" s="431"/>
      <c r="AA265" s="26"/>
      <c r="AB265" s="26"/>
      <c r="AC265" s="931"/>
      <c r="AD265" s="512"/>
    </row>
    <row r="266" spans="2:30" ht="10.5" customHeight="1">
      <c r="B266" s="283"/>
      <c r="C266" s="378" t="s">
        <v>2395</v>
      </c>
      <c r="D266" s="444">
        <v>43700</v>
      </c>
      <c r="F266" s="556"/>
      <c r="G266" s="1009" t="s">
        <v>2590</v>
      </c>
      <c r="H266" s="1009" t="s">
        <v>1310</v>
      </c>
      <c r="I266" s="1010" t="s">
        <v>2042</v>
      </c>
      <c r="J266" s="1010" t="s">
        <v>2612</v>
      </c>
      <c r="K266" s="1011" t="s">
        <v>619</v>
      </c>
      <c r="L266" s="1012" t="s">
        <v>424</v>
      </c>
      <c r="M266" s="1098" t="s">
        <v>2598</v>
      </c>
      <c r="N266" s="1098" t="s">
        <v>166</v>
      </c>
      <c r="O266" s="1288" t="s">
        <v>4397</v>
      </c>
      <c r="P266" s="554" t="s">
        <v>2328</v>
      </c>
      <c r="Q266" s="292"/>
      <c r="R266" s="170"/>
      <c r="S266" s="389"/>
      <c r="T266" s="501" t="s">
        <v>2564</v>
      </c>
      <c r="U266" s="501" t="s">
        <v>2006</v>
      </c>
      <c r="W266" s="431" t="s">
        <v>1739</v>
      </c>
      <c r="X266" s="431" t="s">
        <v>3387</v>
      </c>
      <c r="Z266" s="431"/>
      <c r="AA266" s="26"/>
      <c r="AB266" s="26"/>
      <c r="AC266" s="931"/>
      <c r="AD266" s="512"/>
    </row>
    <row r="267" spans="2:30" ht="10.5" customHeight="1">
      <c r="B267" s="283"/>
      <c r="C267" s="378" t="s">
        <v>2397</v>
      </c>
      <c r="D267" s="444">
        <v>46700</v>
      </c>
      <c r="F267" s="556"/>
      <c r="G267" s="1009" t="s">
        <v>2591</v>
      </c>
      <c r="H267" s="1009" t="s">
        <v>1310</v>
      </c>
      <c r="I267" s="1013" t="s">
        <v>763</v>
      </c>
      <c r="J267" s="1013" t="s">
        <v>2612</v>
      </c>
      <c r="K267" s="1011" t="s">
        <v>2575</v>
      </c>
      <c r="L267" s="1012" t="s">
        <v>424</v>
      </c>
      <c r="M267" s="1098" t="s">
        <v>1195</v>
      </c>
      <c r="N267" s="1098" t="s">
        <v>1204</v>
      </c>
      <c r="O267" s="1288" t="s">
        <v>4398</v>
      </c>
      <c r="P267" s="554" t="s">
        <v>1245</v>
      </c>
      <c r="Q267" s="292"/>
      <c r="R267" s="170"/>
      <c r="S267" s="389"/>
      <c r="T267" s="501" t="s">
        <v>2067</v>
      </c>
      <c r="U267" s="501" t="s">
        <v>199</v>
      </c>
      <c r="W267" s="431" t="s">
        <v>630</v>
      </c>
      <c r="X267" s="431" t="s">
        <v>3387</v>
      </c>
      <c r="Z267" s="431"/>
      <c r="AA267" s="26"/>
      <c r="AB267" s="26"/>
      <c r="AC267" s="931"/>
      <c r="AD267" s="512"/>
    </row>
    <row r="268" spans="2:30" ht="10.5" customHeight="1">
      <c r="B268" s="283"/>
      <c r="C268" s="378" t="s">
        <v>2399</v>
      </c>
      <c r="D268" s="444">
        <v>48000</v>
      </c>
      <c r="F268" s="556"/>
      <c r="G268" s="1009" t="s">
        <v>1090</v>
      </c>
      <c r="H268" s="1009" t="s">
        <v>1310</v>
      </c>
      <c r="I268" s="1013" t="s">
        <v>1091</v>
      </c>
      <c r="J268" s="1013" t="s">
        <v>2612</v>
      </c>
      <c r="K268" s="1011" t="s">
        <v>1952</v>
      </c>
      <c r="L268" s="1012" t="s">
        <v>424</v>
      </c>
      <c r="M268" s="1099" t="s">
        <v>2598</v>
      </c>
      <c r="N268" s="1099" t="s">
        <v>1319</v>
      </c>
      <c r="O268" s="1288" t="s">
        <v>4399</v>
      </c>
      <c r="P268" s="554" t="s">
        <v>1247</v>
      </c>
      <c r="Q268" s="292"/>
      <c r="R268" s="170"/>
      <c r="S268" s="389"/>
      <c r="T268" s="501" t="s">
        <v>2850</v>
      </c>
      <c r="U268" s="501" t="s">
        <v>661</v>
      </c>
      <c r="W268" s="431" t="s">
        <v>2287</v>
      </c>
      <c r="X268" s="431" t="s">
        <v>3387</v>
      </c>
      <c r="Z268" s="431"/>
      <c r="AA268" s="26"/>
      <c r="AB268" s="26"/>
      <c r="AC268" s="931"/>
      <c r="AD268" s="512"/>
    </row>
    <row r="269" spans="2:30" ht="10.5" customHeight="1">
      <c r="F269" s="556"/>
      <c r="G269" s="1009" t="s">
        <v>1092</v>
      </c>
      <c r="H269" s="1009" t="s">
        <v>1310</v>
      </c>
      <c r="I269" s="1013" t="s">
        <v>763</v>
      </c>
      <c r="J269" s="1013" t="s">
        <v>2612</v>
      </c>
      <c r="K269" s="1011" t="s">
        <v>2575</v>
      </c>
      <c r="L269" s="1012" t="s">
        <v>424</v>
      </c>
      <c r="M269" s="1098" t="s">
        <v>1195</v>
      </c>
      <c r="N269" s="1098" t="s">
        <v>1204</v>
      </c>
      <c r="O269" s="1288" t="s">
        <v>4400</v>
      </c>
      <c r="P269" s="554" t="s">
        <v>1249</v>
      </c>
      <c r="Q269" s="292"/>
      <c r="R269" s="170"/>
      <c r="S269" s="389"/>
      <c r="T269" s="501" t="s">
        <v>2069</v>
      </c>
      <c r="U269" s="501" t="s">
        <v>199</v>
      </c>
      <c r="W269" s="431" t="s">
        <v>1032</v>
      </c>
      <c r="X269" s="431" t="s">
        <v>3387</v>
      </c>
      <c r="AA269" s="26"/>
      <c r="AB269" s="26"/>
      <c r="AC269" s="931"/>
      <c r="AD269" s="512"/>
    </row>
    <row r="270" spans="2:30" ht="10.5" customHeight="1">
      <c r="F270" s="556"/>
      <c r="G270" s="1009" t="s">
        <v>1093</v>
      </c>
      <c r="H270" s="1009" t="s">
        <v>1210</v>
      </c>
      <c r="I270" s="1010" t="s">
        <v>1094</v>
      </c>
      <c r="J270" s="1010" t="s">
        <v>2611</v>
      </c>
      <c r="K270" s="1011" t="s">
        <v>1953</v>
      </c>
      <c r="L270" s="1012" t="s">
        <v>423</v>
      </c>
      <c r="M270" s="1099" t="s">
        <v>2598</v>
      </c>
      <c r="N270" s="1099" t="s">
        <v>1695</v>
      </c>
      <c r="O270" s="1288" t="s">
        <v>4401</v>
      </c>
      <c r="P270" s="554" t="s">
        <v>1250</v>
      </c>
      <c r="Q270" s="292"/>
      <c r="R270" s="170"/>
      <c r="S270" s="389"/>
      <c r="T270" s="501" t="s">
        <v>675</v>
      </c>
      <c r="U270" s="501" t="s">
        <v>2006</v>
      </c>
      <c r="W270" s="431" t="s">
        <v>1943</v>
      </c>
      <c r="X270" s="431" t="s">
        <v>3387</v>
      </c>
      <c r="AA270" s="26"/>
      <c r="AB270" s="26"/>
      <c r="AC270" s="931"/>
      <c r="AD270" s="512"/>
    </row>
    <row r="271" spans="2:30" ht="10.5" customHeight="1">
      <c r="F271" s="556"/>
      <c r="G271" s="1009" t="s">
        <v>1095</v>
      </c>
      <c r="H271" s="1009" t="s">
        <v>1310</v>
      </c>
      <c r="I271" s="1013" t="s">
        <v>763</v>
      </c>
      <c r="J271" s="1013" t="s">
        <v>2612</v>
      </c>
      <c r="K271" s="1011" t="s">
        <v>2575</v>
      </c>
      <c r="L271" s="1012" t="s">
        <v>424</v>
      </c>
      <c r="M271" s="1098" t="s">
        <v>1195</v>
      </c>
      <c r="N271" s="1098" t="s">
        <v>1204</v>
      </c>
      <c r="O271" s="1288" t="s">
        <v>4402</v>
      </c>
      <c r="P271" s="554" t="s">
        <v>1252</v>
      </c>
      <c r="Q271" s="292"/>
      <c r="R271" s="170"/>
      <c r="S271" s="389"/>
      <c r="T271" s="501" t="s">
        <v>2329</v>
      </c>
      <c r="U271" s="501" t="s">
        <v>122</v>
      </c>
      <c r="W271" s="431" t="s">
        <v>491</v>
      </c>
      <c r="X271" s="431" t="s">
        <v>3387</v>
      </c>
      <c r="AA271" s="26"/>
      <c r="AB271" s="26"/>
      <c r="AC271" s="931"/>
      <c r="AD271" s="512"/>
    </row>
    <row r="272" spans="2:30" ht="10.5" customHeight="1">
      <c r="F272" s="556"/>
      <c r="G272" s="1009" t="s">
        <v>1096</v>
      </c>
      <c r="H272" s="1009" t="s">
        <v>1310</v>
      </c>
      <c r="I272" s="1010" t="s">
        <v>1097</v>
      </c>
      <c r="J272" s="1010" t="s">
        <v>2611</v>
      </c>
      <c r="K272" s="1011" t="s">
        <v>1954</v>
      </c>
      <c r="L272" s="1012" t="s">
        <v>423</v>
      </c>
      <c r="M272" s="1099" t="s">
        <v>2598</v>
      </c>
      <c r="N272" s="1099" t="s">
        <v>1204</v>
      </c>
      <c r="O272" s="1288" t="s">
        <v>4403</v>
      </c>
      <c r="P272" s="554" t="s">
        <v>2493</v>
      </c>
      <c r="Q272" s="292"/>
      <c r="R272" s="170"/>
      <c r="S272" s="389"/>
      <c r="T272" s="501" t="s">
        <v>1246</v>
      </c>
      <c r="U272" s="501" t="s">
        <v>627</v>
      </c>
      <c r="W272" s="431" t="s">
        <v>1645</v>
      </c>
      <c r="X272" s="431" t="s">
        <v>3387</v>
      </c>
      <c r="AA272" s="26"/>
      <c r="AB272" s="26"/>
      <c r="AC272" s="931"/>
      <c r="AD272" s="512"/>
    </row>
    <row r="273" spans="6:30" ht="10.5" customHeight="1">
      <c r="F273" s="556"/>
      <c r="G273" s="1009" t="s">
        <v>1098</v>
      </c>
      <c r="H273" s="1009" t="s">
        <v>1210</v>
      </c>
      <c r="I273" s="1013" t="s">
        <v>1099</v>
      </c>
      <c r="J273" s="1013" t="s">
        <v>2612</v>
      </c>
      <c r="K273" s="1011" t="s">
        <v>1955</v>
      </c>
      <c r="L273" s="1012" t="s">
        <v>424</v>
      </c>
      <c r="M273" s="1099" t="s">
        <v>2598</v>
      </c>
      <c r="N273" s="1099" t="s">
        <v>1319</v>
      </c>
      <c r="O273" s="1288" t="s">
        <v>4404</v>
      </c>
      <c r="P273" s="554" t="s">
        <v>82</v>
      </c>
      <c r="Q273" s="292"/>
      <c r="R273" s="170"/>
      <c r="S273" s="389"/>
      <c r="T273" s="501" t="s">
        <v>1248</v>
      </c>
      <c r="U273" s="501" t="s">
        <v>2243</v>
      </c>
      <c r="W273" s="431" t="s">
        <v>942</v>
      </c>
      <c r="X273" s="431" t="s">
        <v>3387</v>
      </c>
      <c r="AA273" s="26"/>
      <c r="AB273" s="26"/>
      <c r="AC273" s="931"/>
      <c r="AD273" s="512"/>
    </row>
    <row r="274" spans="6:30" ht="10.5" customHeight="1">
      <c r="F274" s="556"/>
      <c r="G274" s="1009" t="s">
        <v>1100</v>
      </c>
      <c r="H274" s="1009" t="s">
        <v>1310</v>
      </c>
      <c r="I274" s="1013" t="s">
        <v>1101</v>
      </c>
      <c r="J274" s="1013" t="s">
        <v>2611</v>
      </c>
      <c r="K274" s="1011" t="s">
        <v>1956</v>
      </c>
      <c r="L274" s="1012" t="s">
        <v>423</v>
      </c>
      <c r="M274" s="1099" t="s">
        <v>2598</v>
      </c>
      <c r="N274" s="1099" t="s">
        <v>1204</v>
      </c>
      <c r="O274" s="1288" t="s">
        <v>4405</v>
      </c>
      <c r="P274" s="554" t="s">
        <v>83</v>
      </c>
      <c r="Q274" s="292"/>
      <c r="R274" s="170"/>
      <c r="S274" s="389"/>
      <c r="T274" s="501" t="s">
        <v>2482</v>
      </c>
      <c r="U274" s="501" t="s">
        <v>1104</v>
      </c>
      <c r="W274" s="431" t="s">
        <v>2306</v>
      </c>
      <c r="X274" s="431" t="s">
        <v>3387</v>
      </c>
      <c r="AA274" s="26"/>
      <c r="AB274" s="26"/>
      <c r="AC274" s="931"/>
      <c r="AD274" s="512"/>
    </row>
    <row r="275" spans="6:30" ht="10.5" customHeight="1">
      <c r="F275" s="556"/>
      <c r="G275" s="1009" t="s">
        <v>1102</v>
      </c>
      <c r="H275" s="1009" t="s">
        <v>1210</v>
      </c>
      <c r="I275" s="1010" t="s">
        <v>1103</v>
      </c>
      <c r="J275" s="1010" t="s">
        <v>2611</v>
      </c>
      <c r="K275" s="1011" t="s">
        <v>1783</v>
      </c>
      <c r="L275" s="1012" t="s">
        <v>423</v>
      </c>
      <c r="M275" s="1099" t="s">
        <v>2598</v>
      </c>
      <c r="N275" s="1099" t="s">
        <v>161</v>
      </c>
      <c r="O275" s="1288" t="s">
        <v>4406</v>
      </c>
      <c r="P275" s="554" t="s">
        <v>84</v>
      </c>
      <c r="Q275" s="292"/>
      <c r="R275" s="170"/>
      <c r="S275" s="389"/>
      <c r="T275" s="501" t="s">
        <v>1251</v>
      </c>
      <c r="U275" s="501" t="s">
        <v>311</v>
      </c>
      <c r="W275" s="431" t="s">
        <v>323</v>
      </c>
      <c r="X275" s="431" t="s">
        <v>3387</v>
      </c>
      <c r="AA275" s="26"/>
      <c r="AB275" s="26"/>
      <c r="AC275" s="931"/>
      <c r="AD275" s="512"/>
    </row>
    <row r="276" spans="6:30" ht="10.5" customHeight="1">
      <c r="F276" s="556"/>
      <c r="G276" s="1009" t="s">
        <v>1104</v>
      </c>
      <c r="H276" s="1009" t="s">
        <v>1310</v>
      </c>
      <c r="I276" s="1010" t="s">
        <v>1105</v>
      </c>
      <c r="J276" s="1010" t="s">
        <v>2611</v>
      </c>
      <c r="K276" s="1011" t="s">
        <v>1784</v>
      </c>
      <c r="L276" s="1012" t="s">
        <v>423</v>
      </c>
      <c r="M276" s="1099" t="s">
        <v>2598</v>
      </c>
      <c r="N276" s="1099" t="s">
        <v>166</v>
      </c>
      <c r="O276" s="1288" t="s">
        <v>4407</v>
      </c>
      <c r="P276" s="554" t="s">
        <v>86</v>
      </c>
      <c r="Q276" s="292"/>
      <c r="R276" s="170"/>
      <c r="S276" s="389"/>
      <c r="T276" s="501" t="s">
        <v>2492</v>
      </c>
      <c r="U276" s="501" t="s">
        <v>114</v>
      </c>
      <c r="W276" s="431" t="s">
        <v>325</v>
      </c>
      <c r="X276" s="431" t="s">
        <v>3387</v>
      </c>
      <c r="AA276" s="26"/>
      <c r="AB276" s="26"/>
      <c r="AC276" s="931"/>
      <c r="AD276" s="512"/>
    </row>
    <row r="277" spans="6:30" ht="10.5" customHeight="1">
      <c r="F277" s="556"/>
      <c r="G277" s="1009" t="s">
        <v>1106</v>
      </c>
      <c r="H277" s="1009" t="s">
        <v>1210</v>
      </c>
      <c r="I277" s="1010" t="s">
        <v>1107</v>
      </c>
      <c r="J277" s="1010" t="s">
        <v>2611</v>
      </c>
      <c r="K277" s="1011" t="s">
        <v>1785</v>
      </c>
      <c r="L277" s="1012" t="s">
        <v>423</v>
      </c>
      <c r="M277" s="1099" t="s">
        <v>2598</v>
      </c>
      <c r="N277" s="1099" t="s">
        <v>1781</v>
      </c>
      <c r="O277" s="1288" t="s">
        <v>4408</v>
      </c>
      <c r="P277" s="554" t="s">
        <v>1226</v>
      </c>
      <c r="Q277" s="292"/>
      <c r="R277" s="170"/>
      <c r="S277" s="389"/>
      <c r="T277" s="501" t="s">
        <v>81</v>
      </c>
      <c r="U277" s="501" t="s">
        <v>196</v>
      </c>
      <c r="W277" s="431" t="s">
        <v>328</v>
      </c>
      <c r="X277" s="431" t="s">
        <v>3387</v>
      </c>
      <c r="AA277" s="26"/>
      <c r="AB277" s="26"/>
      <c r="AC277" s="931"/>
      <c r="AD277" s="512"/>
    </row>
    <row r="278" spans="6:30" ht="10.5" customHeight="1">
      <c r="F278" s="556"/>
      <c r="G278" s="1009" t="s">
        <v>1108</v>
      </c>
      <c r="H278" s="1009" t="s">
        <v>1795</v>
      </c>
      <c r="I278" s="1013" t="s">
        <v>764</v>
      </c>
      <c r="J278" s="1013" t="s">
        <v>2612</v>
      </c>
      <c r="K278" s="1011" t="s">
        <v>2597</v>
      </c>
      <c r="L278" s="1012" t="s">
        <v>424</v>
      </c>
      <c r="M278" s="1099" t="s">
        <v>1195</v>
      </c>
      <c r="N278" s="1099" t="s">
        <v>1329</v>
      </c>
      <c r="O278" s="1288" t="s">
        <v>4409</v>
      </c>
      <c r="P278" s="554" t="s">
        <v>1228</v>
      </c>
      <c r="Q278" s="292"/>
      <c r="R278" s="170"/>
      <c r="S278" s="389"/>
      <c r="T278" s="501" t="s">
        <v>85</v>
      </c>
      <c r="U278" s="501" t="s">
        <v>2182</v>
      </c>
      <c r="W278" s="431" t="s">
        <v>1755</v>
      </c>
      <c r="X278" s="431" t="s">
        <v>3387</v>
      </c>
      <c r="AA278" s="26"/>
      <c r="AB278" s="26"/>
      <c r="AC278" s="931"/>
      <c r="AD278" s="512"/>
    </row>
    <row r="279" spans="6:30" ht="10.5" customHeight="1">
      <c r="F279" s="556"/>
      <c r="G279" s="1009" t="s">
        <v>1109</v>
      </c>
      <c r="H279" s="1009" t="s">
        <v>1310</v>
      </c>
      <c r="I279" s="1013" t="s">
        <v>763</v>
      </c>
      <c r="J279" s="1013" t="s">
        <v>2612</v>
      </c>
      <c r="K279" s="1011" t="s">
        <v>2575</v>
      </c>
      <c r="L279" s="1012" t="s">
        <v>424</v>
      </c>
      <c r="M279" s="1098" t="s">
        <v>1195</v>
      </c>
      <c r="N279" s="1098" t="s">
        <v>1204</v>
      </c>
      <c r="O279" s="1288" t="s">
        <v>4410</v>
      </c>
      <c r="P279" s="554" t="s">
        <v>1230</v>
      </c>
      <c r="Q279" s="292"/>
      <c r="R279" s="170"/>
      <c r="S279" s="389"/>
      <c r="T279" s="501" t="s">
        <v>87</v>
      </c>
      <c r="U279" s="501" t="s">
        <v>1320</v>
      </c>
      <c r="W279" s="431" t="s">
        <v>690</v>
      </c>
      <c r="X279" s="431" t="s">
        <v>3387</v>
      </c>
      <c r="AA279" s="26"/>
      <c r="AB279" s="26"/>
      <c r="AC279" s="931"/>
      <c r="AD279" s="512"/>
    </row>
    <row r="280" spans="6:30" ht="10.5" customHeight="1">
      <c r="F280" s="556"/>
      <c r="G280" s="1009" t="s">
        <v>1110</v>
      </c>
      <c r="H280" s="1009" t="s">
        <v>1210</v>
      </c>
      <c r="I280" s="1010" t="s">
        <v>2166</v>
      </c>
      <c r="J280" s="1010" t="s">
        <v>2611</v>
      </c>
      <c r="K280" s="1011" t="s">
        <v>1786</v>
      </c>
      <c r="L280" s="1012" t="s">
        <v>423</v>
      </c>
      <c r="M280" s="1099" t="s">
        <v>2598</v>
      </c>
      <c r="N280" s="1099" t="s">
        <v>161</v>
      </c>
      <c r="O280" s="1288" t="s">
        <v>4411</v>
      </c>
      <c r="P280" s="554" t="s">
        <v>1232</v>
      </c>
      <c r="Q280" s="292"/>
      <c r="R280" s="170"/>
      <c r="S280" s="389"/>
      <c r="T280" s="501" t="s">
        <v>1227</v>
      </c>
      <c r="U280" s="501" t="s">
        <v>1949</v>
      </c>
      <c r="W280" s="431" t="s">
        <v>2352</v>
      </c>
      <c r="X280" s="431" t="s">
        <v>3387</v>
      </c>
      <c r="AA280" s="26"/>
      <c r="AB280" s="26"/>
      <c r="AC280" s="931"/>
      <c r="AD280" s="512"/>
    </row>
    <row r="281" spans="6:30" ht="10.5" customHeight="1">
      <c r="F281" s="556"/>
      <c r="G281" s="1009" t="s">
        <v>2167</v>
      </c>
      <c r="H281" s="1009" t="s">
        <v>1210</v>
      </c>
      <c r="I281" s="1010" t="s">
        <v>2168</v>
      </c>
      <c r="J281" s="1010" t="s">
        <v>2611</v>
      </c>
      <c r="K281" s="1011" t="s">
        <v>1787</v>
      </c>
      <c r="L281" s="1012" t="s">
        <v>423</v>
      </c>
      <c r="M281" s="1099" t="s">
        <v>2598</v>
      </c>
      <c r="N281" s="1099" t="s">
        <v>1325</v>
      </c>
      <c r="O281" s="1288" t="s">
        <v>4412</v>
      </c>
      <c r="P281" s="554" t="s">
        <v>1234</v>
      </c>
      <c r="Q281" s="292"/>
      <c r="R281" s="170"/>
      <c r="S281" s="389"/>
      <c r="T281" s="501" t="s">
        <v>1229</v>
      </c>
      <c r="U281" s="501" t="s">
        <v>179</v>
      </c>
      <c r="W281" s="431" t="s">
        <v>475</v>
      </c>
      <c r="X281" s="431" t="s">
        <v>3387</v>
      </c>
      <c r="AA281" s="26"/>
      <c r="AB281" s="26"/>
      <c r="AC281" s="931"/>
      <c r="AD281" s="512"/>
    </row>
    <row r="282" spans="6:30" ht="10.5" customHeight="1">
      <c r="F282" s="556"/>
      <c r="G282" s="1009" t="s">
        <v>1607</v>
      </c>
      <c r="H282" s="1009" t="s">
        <v>1607</v>
      </c>
      <c r="I282" s="1009" t="s">
        <v>1607</v>
      </c>
      <c r="J282" s="1010"/>
      <c r="K282" s="1011"/>
      <c r="L282" s="1012"/>
      <c r="M282" s="1009" t="s">
        <v>1607</v>
      </c>
      <c r="N282" s="1009" t="s">
        <v>1607</v>
      </c>
      <c r="O282" s="1288" t="s">
        <v>4413</v>
      </c>
      <c r="P282" s="554" t="s">
        <v>1236</v>
      </c>
      <c r="Q282" s="292"/>
      <c r="R282" s="170"/>
      <c r="S282" s="389"/>
      <c r="T282" s="501" t="s">
        <v>1231</v>
      </c>
      <c r="U282" s="501" t="s">
        <v>1106</v>
      </c>
      <c r="W282" s="431" t="s">
        <v>3380</v>
      </c>
      <c r="X282" s="431" t="s">
        <v>3387</v>
      </c>
      <c r="AA282" s="26"/>
      <c r="AB282" s="26"/>
      <c r="AC282" s="931"/>
      <c r="AD282" s="512"/>
    </row>
    <row r="283" spans="6:30" ht="10.5" customHeight="1">
      <c r="F283" s="556"/>
      <c r="G283" s="1009" t="s">
        <v>2169</v>
      </c>
      <c r="H283" s="1009" t="s">
        <v>1210</v>
      </c>
      <c r="I283" s="1013" t="s">
        <v>2170</v>
      </c>
      <c r="J283" s="1010" t="s">
        <v>2611</v>
      </c>
      <c r="K283" s="1011" t="s">
        <v>456</v>
      </c>
      <c r="L283" s="1012" t="s">
        <v>423</v>
      </c>
      <c r="M283" s="1099" t="s">
        <v>2598</v>
      </c>
      <c r="N283" s="1099" t="s">
        <v>1781</v>
      </c>
      <c r="O283" s="1288" t="s">
        <v>4414</v>
      </c>
      <c r="P283" s="554" t="s">
        <v>890</v>
      </c>
      <c r="Q283" s="292"/>
      <c r="R283" s="170"/>
      <c r="S283" s="389"/>
      <c r="T283" s="555" t="s">
        <v>1233</v>
      </c>
      <c r="U283" s="555" t="s">
        <v>1205</v>
      </c>
      <c r="W283" s="431" t="s">
        <v>3381</v>
      </c>
      <c r="X283" s="431" t="s">
        <v>3387</v>
      </c>
      <c r="AA283" s="26"/>
      <c r="AB283" s="26"/>
      <c r="AC283" s="931"/>
      <c r="AD283" s="512"/>
    </row>
    <row r="284" spans="6:30" ht="10.5" customHeight="1">
      <c r="F284" s="556"/>
      <c r="G284" s="1009" t="s">
        <v>2171</v>
      </c>
      <c r="H284" s="1009" t="s">
        <v>1210</v>
      </c>
      <c r="I284" s="1013" t="s">
        <v>763</v>
      </c>
      <c r="J284" s="1013" t="s">
        <v>2612</v>
      </c>
      <c r="K284" s="1011" t="s">
        <v>2575</v>
      </c>
      <c r="L284" s="1012" t="s">
        <v>424</v>
      </c>
      <c r="M284" s="1098" t="s">
        <v>1195</v>
      </c>
      <c r="N284" s="1099" t="s">
        <v>1204</v>
      </c>
      <c r="O284" s="1288" t="s">
        <v>4415</v>
      </c>
      <c r="P284" s="554" t="s">
        <v>891</v>
      </c>
      <c r="Q284" s="292"/>
      <c r="R284" s="170"/>
      <c r="S284" s="389"/>
      <c r="T284" s="501" t="s">
        <v>1235</v>
      </c>
      <c r="U284" s="501" t="s">
        <v>2182</v>
      </c>
      <c r="W284" s="431" t="s">
        <v>78</v>
      </c>
      <c r="X284" s="431" t="s">
        <v>3387</v>
      </c>
      <c r="AA284" s="26"/>
      <c r="AB284" s="26"/>
      <c r="AC284" s="932"/>
      <c r="AD284" s="512"/>
    </row>
    <row r="285" spans="6:30" ht="10.5" customHeight="1">
      <c r="F285" s="556"/>
      <c r="G285" s="1009" t="s">
        <v>2172</v>
      </c>
      <c r="H285" s="1009" t="s">
        <v>1310</v>
      </c>
      <c r="I285" s="1013" t="s">
        <v>2173</v>
      </c>
      <c r="J285" s="1013" t="s">
        <v>2611</v>
      </c>
      <c r="K285" s="1011" t="s">
        <v>221</v>
      </c>
      <c r="L285" s="1012" t="s">
        <v>423</v>
      </c>
      <c r="M285" s="1099" t="s">
        <v>2598</v>
      </c>
      <c r="N285" s="1098" t="s">
        <v>166</v>
      </c>
      <c r="O285" s="1288" t="s">
        <v>4416</v>
      </c>
      <c r="P285" s="554" t="s">
        <v>893</v>
      </c>
      <c r="Q285" s="292"/>
      <c r="R285" s="170"/>
      <c r="S285" s="389"/>
      <c r="T285" s="501" t="s">
        <v>2488</v>
      </c>
      <c r="U285" s="501" t="s">
        <v>1630</v>
      </c>
      <c r="W285" s="431" t="s">
        <v>2412</v>
      </c>
      <c r="X285" s="431" t="s">
        <v>3387</v>
      </c>
      <c r="AA285" s="26"/>
      <c r="AB285" s="26"/>
      <c r="AC285" s="931"/>
      <c r="AD285" s="512"/>
    </row>
    <row r="286" spans="6:30" ht="10.5" customHeight="1">
      <c r="F286" s="556"/>
      <c r="G286" s="1009" t="s">
        <v>2174</v>
      </c>
      <c r="H286" s="1009" t="s">
        <v>1210</v>
      </c>
      <c r="I286" s="1010" t="s">
        <v>2175</v>
      </c>
      <c r="J286" s="1013" t="s">
        <v>2611</v>
      </c>
      <c r="K286" s="1011" t="s">
        <v>1420</v>
      </c>
      <c r="L286" s="1012" t="s">
        <v>423</v>
      </c>
      <c r="M286" s="1099" t="s">
        <v>2598</v>
      </c>
      <c r="N286" s="1099" t="s">
        <v>161</v>
      </c>
      <c r="O286" s="1288" t="s">
        <v>4417</v>
      </c>
      <c r="P286" s="554" t="s">
        <v>895</v>
      </c>
      <c r="Q286" s="292"/>
      <c r="R286" s="170"/>
      <c r="S286" s="389"/>
      <c r="T286" s="501" t="s">
        <v>161</v>
      </c>
      <c r="U286" s="501" t="s">
        <v>2587</v>
      </c>
      <c r="W286" s="431" t="s">
        <v>612</v>
      </c>
      <c r="X286" s="431" t="s">
        <v>3387</v>
      </c>
      <c r="AA286" s="26"/>
      <c r="AB286" s="26"/>
      <c r="AC286" s="931"/>
      <c r="AD286" s="512"/>
    </row>
    <row r="287" spans="6:30" ht="10.5" customHeight="1">
      <c r="F287" s="556"/>
      <c r="G287" s="1009" t="s">
        <v>2176</v>
      </c>
      <c r="H287" s="1009" t="s">
        <v>1795</v>
      </c>
      <c r="I287" s="1010" t="s">
        <v>2177</v>
      </c>
      <c r="J287" s="1010" t="s">
        <v>2611</v>
      </c>
      <c r="K287" s="1011" t="s">
        <v>1421</v>
      </c>
      <c r="L287" s="1012" t="s">
        <v>423</v>
      </c>
      <c r="M287" s="1099" t="s">
        <v>2598</v>
      </c>
      <c r="N287" s="1099" t="s">
        <v>1781</v>
      </c>
      <c r="O287" s="1288" t="s">
        <v>4418</v>
      </c>
      <c r="P287" s="554" t="s">
        <v>2137</v>
      </c>
      <c r="Q287" s="292"/>
      <c r="R287" s="170"/>
      <c r="S287" s="389"/>
      <c r="T287" s="501" t="s">
        <v>892</v>
      </c>
      <c r="U287" s="501" t="s">
        <v>179</v>
      </c>
      <c r="W287" s="431" t="s">
        <v>966</v>
      </c>
      <c r="X287" s="431" t="s">
        <v>3387</v>
      </c>
      <c r="AA287" s="26"/>
      <c r="AB287" s="26"/>
      <c r="AC287" s="931"/>
      <c r="AD287" s="512"/>
    </row>
    <row r="288" spans="6:30" ht="10.5" customHeight="1">
      <c r="F288" s="556"/>
      <c r="G288" s="1009" t="s">
        <v>2178</v>
      </c>
      <c r="H288" s="1009" t="s">
        <v>1210</v>
      </c>
      <c r="I288" s="1010" t="s">
        <v>2179</v>
      </c>
      <c r="J288" s="1010" t="s">
        <v>2611</v>
      </c>
      <c r="K288" s="1011" t="s">
        <v>1422</v>
      </c>
      <c r="L288" s="1012" t="s">
        <v>423</v>
      </c>
      <c r="M288" s="1099" t="s">
        <v>2598</v>
      </c>
      <c r="N288" s="1099" t="s">
        <v>161</v>
      </c>
      <c r="O288" s="1288" t="s">
        <v>4419</v>
      </c>
      <c r="P288" s="554" t="s">
        <v>2138</v>
      </c>
      <c r="Q288" s="292"/>
      <c r="R288" s="170"/>
      <c r="S288" s="389"/>
      <c r="T288" s="501" t="s">
        <v>894</v>
      </c>
      <c r="U288" s="501" t="s">
        <v>323</v>
      </c>
      <c r="W288" s="431" t="s">
        <v>1491</v>
      </c>
      <c r="X288" s="431" t="s">
        <v>3387</v>
      </c>
      <c r="AA288" s="26"/>
      <c r="AB288" s="26"/>
      <c r="AC288" s="931"/>
      <c r="AD288" s="512"/>
    </row>
    <row r="289" spans="6:30" ht="10.5" customHeight="1">
      <c r="F289" s="556"/>
      <c r="G289" s="1009" t="s">
        <v>2180</v>
      </c>
      <c r="H289" s="1009" t="s">
        <v>1310</v>
      </c>
      <c r="I289" s="1010" t="s">
        <v>2181</v>
      </c>
      <c r="J289" s="1010" t="s">
        <v>2611</v>
      </c>
      <c r="K289" s="1011" t="s">
        <v>2011</v>
      </c>
      <c r="L289" s="1012" t="s">
        <v>423</v>
      </c>
      <c r="M289" s="1099" t="s">
        <v>2598</v>
      </c>
      <c r="N289" s="1099" t="s">
        <v>166</v>
      </c>
      <c r="O289" s="1288" t="s">
        <v>4420</v>
      </c>
      <c r="P289" s="554" t="s">
        <v>2054</v>
      </c>
      <c r="Q289" s="292"/>
      <c r="R289" s="170"/>
      <c r="S289" s="389"/>
      <c r="T289" s="555" t="s">
        <v>896</v>
      </c>
      <c r="U289" s="555" t="s">
        <v>1095</v>
      </c>
      <c r="W289" s="431" t="s">
        <v>2336</v>
      </c>
      <c r="X289" s="431" t="s">
        <v>3387</v>
      </c>
      <c r="AA289" s="26"/>
      <c r="AB289" s="26"/>
      <c r="AC289" s="931"/>
      <c r="AD289" s="512"/>
    </row>
    <row r="290" spans="6:30" ht="10.5" customHeight="1">
      <c r="F290" s="556"/>
      <c r="G290" s="1009" t="s">
        <v>2182</v>
      </c>
      <c r="H290" s="1009" t="s">
        <v>1210</v>
      </c>
      <c r="I290" s="1010" t="s">
        <v>2183</v>
      </c>
      <c r="J290" s="1010" t="s">
        <v>2611</v>
      </c>
      <c r="K290" s="1011" t="s">
        <v>2012</v>
      </c>
      <c r="L290" s="1012" t="s">
        <v>423</v>
      </c>
      <c r="M290" s="1099" t="s">
        <v>2598</v>
      </c>
      <c r="N290" s="1099" t="s">
        <v>1325</v>
      </c>
      <c r="O290" s="1288" t="s">
        <v>4421</v>
      </c>
      <c r="P290" s="554" t="s">
        <v>2056</v>
      </c>
      <c r="Q290" s="292"/>
      <c r="R290" s="170"/>
      <c r="S290" s="389"/>
      <c r="T290" s="501" t="s">
        <v>2565</v>
      </c>
      <c r="U290" s="501" t="s">
        <v>2482</v>
      </c>
      <c r="W290" s="431" t="s">
        <v>820</v>
      </c>
      <c r="X290" s="431" t="s">
        <v>3387</v>
      </c>
      <c r="AA290" s="26"/>
      <c r="AB290" s="26"/>
      <c r="AC290" s="932"/>
      <c r="AD290" s="512"/>
    </row>
    <row r="291" spans="6:30" ht="10.5" customHeight="1">
      <c r="F291" s="556"/>
      <c r="G291" s="1009" t="s">
        <v>2184</v>
      </c>
      <c r="H291" s="1009" t="s">
        <v>1210</v>
      </c>
      <c r="I291" s="1010" t="s">
        <v>869</v>
      </c>
      <c r="J291" s="1010" t="s">
        <v>2611</v>
      </c>
      <c r="K291" s="1011" t="s">
        <v>2013</v>
      </c>
      <c r="L291" s="1012" t="s">
        <v>423</v>
      </c>
      <c r="M291" s="1099" t="s">
        <v>2598</v>
      </c>
      <c r="N291" s="1099" t="s">
        <v>161</v>
      </c>
      <c r="O291" s="1288" t="s">
        <v>4422</v>
      </c>
      <c r="P291" s="554" t="s">
        <v>596</v>
      </c>
      <c r="Q291" s="292"/>
      <c r="R291" s="170"/>
      <c r="S291" s="389"/>
      <c r="T291" s="501" t="s">
        <v>2139</v>
      </c>
      <c r="U291" s="501" t="s">
        <v>1109</v>
      </c>
      <c r="W291" s="431" t="s">
        <v>823</v>
      </c>
      <c r="X291" s="431" t="s">
        <v>3387</v>
      </c>
      <c r="AA291" s="26"/>
      <c r="AB291" s="26"/>
      <c r="AC291" s="931"/>
      <c r="AD291" s="512"/>
    </row>
    <row r="292" spans="6:30" ht="10.5" customHeight="1">
      <c r="F292" s="556"/>
      <c r="G292" s="1009" t="s">
        <v>870</v>
      </c>
      <c r="H292" s="1009" t="s">
        <v>1210</v>
      </c>
      <c r="I292" s="1010" t="s">
        <v>871</v>
      </c>
      <c r="J292" s="1010" t="s">
        <v>2611</v>
      </c>
      <c r="K292" s="1011" t="s">
        <v>2014</v>
      </c>
      <c r="L292" s="1012" t="s">
        <v>423</v>
      </c>
      <c r="M292" s="1099" t="s">
        <v>2598</v>
      </c>
      <c r="N292" s="1099" t="s">
        <v>1781</v>
      </c>
      <c r="O292" s="1288" t="s">
        <v>4423</v>
      </c>
      <c r="P292" s="554" t="s">
        <v>597</v>
      </c>
      <c r="Q292" s="292"/>
      <c r="R292" s="170"/>
      <c r="S292" s="389"/>
      <c r="T292" s="501" t="s">
        <v>2055</v>
      </c>
      <c r="U292" s="501" t="s">
        <v>1665</v>
      </c>
      <c r="W292" s="431" t="s">
        <v>1508</v>
      </c>
      <c r="X292" s="431" t="s">
        <v>3387</v>
      </c>
      <c r="AA292" s="26"/>
      <c r="AB292" s="26"/>
      <c r="AC292" s="931"/>
      <c r="AD292" s="512"/>
    </row>
    <row r="293" spans="6:30" ht="10.5" customHeight="1">
      <c r="F293" s="556"/>
      <c r="G293" s="1009" t="s">
        <v>1664</v>
      </c>
      <c r="H293" s="1009" t="s">
        <v>1210</v>
      </c>
      <c r="I293" s="1013" t="s">
        <v>1781</v>
      </c>
      <c r="J293" s="1010" t="s">
        <v>2612</v>
      </c>
      <c r="K293" s="1011" t="s">
        <v>1160</v>
      </c>
      <c r="L293" s="1012" t="s">
        <v>424</v>
      </c>
      <c r="M293" s="1098" t="s">
        <v>2598</v>
      </c>
      <c r="N293" s="1099" t="s">
        <v>1781</v>
      </c>
      <c r="O293" s="1288" t="s">
        <v>4424</v>
      </c>
      <c r="P293" s="554" t="s">
        <v>599</v>
      </c>
      <c r="Q293" s="292"/>
      <c r="R293" s="170"/>
      <c r="S293" s="389"/>
      <c r="T293" s="501" t="s">
        <v>2057</v>
      </c>
      <c r="U293" s="501" t="s">
        <v>2532</v>
      </c>
      <c r="W293" s="431" t="s">
        <v>483</v>
      </c>
      <c r="X293" s="431" t="s">
        <v>3387</v>
      </c>
      <c r="AA293" s="26"/>
      <c r="AB293" s="26"/>
      <c r="AC293" s="931"/>
      <c r="AD293" s="512"/>
    </row>
    <row r="294" spans="6:30" ht="10.5" customHeight="1">
      <c r="F294" s="556"/>
      <c r="G294" s="1009" t="s">
        <v>1665</v>
      </c>
      <c r="H294" s="1009" t="s">
        <v>1210</v>
      </c>
      <c r="I294" s="1013" t="s">
        <v>1666</v>
      </c>
      <c r="J294" s="1013" t="s">
        <v>2611</v>
      </c>
      <c r="K294" s="1011" t="s">
        <v>2015</v>
      </c>
      <c r="L294" s="1012" t="s">
        <v>423</v>
      </c>
      <c r="M294" s="1099" t="s">
        <v>2598</v>
      </c>
      <c r="N294" s="1098" t="s">
        <v>1695</v>
      </c>
      <c r="O294" s="1288" t="s">
        <v>4425</v>
      </c>
      <c r="P294" s="554" t="s">
        <v>601</v>
      </c>
      <c r="Q294" s="292"/>
      <c r="R294" s="170"/>
      <c r="S294" s="389"/>
      <c r="T294" s="501" t="s">
        <v>825</v>
      </c>
      <c r="U294" s="501" t="s">
        <v>318</v>
      </c>
      <c r="W294" s="431" t="s">
        <v>1392</v>
      </c>
      <c r="X294" s="431" t="s">
        <v>3387</v>
      </c>
      <c r="AA294" s="26"/>
      <c r="AB294" s="26"/>
      <c r="AC294" s="931"/>
      <c r="AD294" s="512"/>
    </row>
    <row r="295" spans="6:30" ht="10.5" customHeight="1">
      <c r="F295" s="556"/>
      <c r="G295" s="1009" t="s">
        <v>1667</v>
      </c>
      <c r="H295" s="1009" t="s">
        <v>1210</v>
      </c>
      <c r="I295" s="1013" t="s">
        <v>1907</v>
      </c>
      <c r="J295" s="1013" t="s">
        <v>2611</v>
      </c>
      <c r="K295" s="1011" t="s">
        <v>1164</v>
      </c>
      <c r="L295" s="1012" t="s">
        <v>423</v>
      </c>
      <c r="M295" s="1099" t="s">
        <v>2598</v>
      </c>
      <c r="N295" s="1099" t="s">
        <v>1781</v>
      </c>
      <c r="O295" s="1288" t="s">
        <v>4426</v>
      </c>
      <c r="P295" s="554" t="s">
        <v>602</v>
      </c>
      <c r="Q295" s="292"/>
      <c r="R295" s="170"/>
      <c r="S295" s="389"/>
      <c r="T295" s="501" t="s">
        <v>598</v>
      </c>
      <c r="U295" s="501" t="s">
        <v>122</v>
      </c>
      <c r="W295" s="431" t="s">
        <v>1394</v>
      </c>
      <c r="X295" s="431" t="s">
        <v>3387</v>
      </c>
      <c r="AA295" s="26"/>
      <c r="AB295" s="26"/>
      <c r="AC295" s="931"/>
      <c r="AD295" s="935"/>
    </row>
    <row r="296" spans="6:30" ht="10.5" customHeight="1">
      <c r="F296" s="556"/>
      <c r="G296" s="1009" t="s">
        <v>1908</v>
      </c>
      <c r="H296" s="1009" t="s">
        <v>1210</v>
      </c>
      <c r="I296" s="1013" t="s">
        <v>1909</v>
      </c>
      <c r="J296" s="1013" t="s">
        <v>2611</v>
      </c>
      <c r="K296" s="1011" t="s">
        <v>1165</v>
      </c>
      <c r="L296" s="1012" t="s">
        <v>423</v>
      </c>
      <c r="M296" s="1099" t="s">
        <v>2598</v>
      </c>
      <c r="N296" s="1099" t="s">
        <v>1325</v>
      </c>
      <c r="O296" s="1288" t="s">
        <v>4427</v>
      </c>
      <c r="P296" s="554" t="s">
        <v>603</v>
      </c>
      <c r="Q296" s="292"/>
      <c r="R296" s="170"/>
      <c r="S296" s="389"/>
      <c r="T296" s="501" t="s">
        <v>2566</v>
      </c>
      <c r="U296" s="501" t="s">
        <v>1326</v>
      </c>
      <c r="W296" s="431" t="s">
        <v>2491</v>
      </c>
      <c r="X296" s="431" t="s">
        <v>3387</v>
      </c>
      <c r="AA296" s="26"/>
      <c r="AB296" s="26"/>
      <c r="AC296" s="931"/>
      <c r="AD296" s="512"/>
    </row>
    <row r="297" spans="6:30" ht="10.5" customHeight="1">
      <c r="F297" s="556"/>
      <c r="G297" s="1009" t="s">
        <v>1910</v>
      </c>
      <c r="H297" s="1009" t="s">
        <v>1310</v>
      </c>
      <c r="I297" s="1013" t="s">
        <v>1911</v>
      </c>
      <c r="J297" s="1013" t="s">
        <v>2611</v>
      </c>
      <c r="K297" s="1011" t="s">
        <v>1166</v>
      </c>
      <c r="L297" s="1012" t="s">
        <v>423</v>
      </c>
      <c r="M297" s="1099" t="s">
        <v>2598</v>
      </c>
      <c r="N297" s="1099" t="s">
        <v>166</v>
      </c>
      <c r="O297" s="1288" t="s">
        <v>4428</v>
      </c>
      <c r="P297" s="554" t="s">
        <v>605</v>
      </c>
      <c r="Q297" s="292"/>
      <c r="R297" s="170"/>
      <c r="S297" s="389"/>
      <c r="T297" s="501" t="s">
        <v>600</v>
      </c>
      <c r="U297" s="501" t="s">
        <v>2588</v>
      </c>
      <c r="W297" s="431" t="s">
        <v>1056</v>
      </c>
      <c r="X297" s="431" t="s">
        <v>3387</v>
      </c>
      <c r="AA297" s="26"/>
      <c r="AB297" s="26"/>
      <c r="AC297" s="931"/>
      <c r="AD297" s="512"/>
    </row>
    <row r="298" spans="6:30" ht="10.5" customHeight="1">
      <c r="F298" s="556"/>
      <c r="G298" s="1009" t="s">
        <v>1912</v>
      </c>
      <c r="H298" s="1009" t="s">
        <v>1210</v>
      </c>
      <c r="I298" s="1013" t="s">
        <v>1913</v>
      </c>
      <c r="J298" s="1013" t="s">
        <v>2611</v>
      </c>
      <c r="K298" s="1011" t="s">
        <v>1167</v>
      </c>
      <c r="L298" s="1012" t="s">
        <v>423</v>
      </c>
      <c r="M298" s="1099" t="s">
        <v>2598</v>
      </c>
      <c r="N298" s="1099" t="s">
        <v>1319</v>
      </c>
      <c r="O298" s="1288" t="s">
        <v>4429</v>
      </c>
      <c r="P298" s="554" t="s">
        <v>607</v>
      </c>
      <c r="Q298" s="292"/>
      <c r="R298" s="170"/>
      <c r="S298" s="389"/>
      <c r="T298" s="501" t="s">
        <v>2531</v>
      </c>
      <c r="U298" s="501" t="s">
        <v>2590</v>
      </c>
      <c r="W298" s="431" t="s">
        <v>1319</v>
      </c>
      <c r="X298" s="431" t="s">
        <v>3387</v>
      </c>
      <c r="AA298" s="26"/>
      <c r="AB298" s="26"/>
      <c r="AC298" s="931"/>
      <c r="AD298" s="512"/>
    </row>
    <row r="299" spans="6:30" ht="10.5" customHeight="1">
      <c r="F299" s="556"/>
      <c r="G299" s="1009" t="s">
        <v>1914</v>
      </c>
      <c r="H299" s="1009" t="s">
        <v>1210</v>
      </c>
      <c r="I299" s="1010" t="s">
        <v>1915</v>
      </c>
      <c r="J299" s="1013" t="s">
        <v>2611</v>
      </c>
      <c r="K299" s="1011" t="s">
        <v>1168</v>
      </c>
      <c r="L299" s="1012" t="s">
        <v>423</v>
      </c>
      <c r="M299" s="1099" t="s">
        <v>2598</v>
      </c>
      <c r="N299" s="1099" t="s">
        <v>1204</v>
      </c>
      <c r="O299" s="1288" t="s">
        <v>4430</v>
      </c>
      <c r="P299" s="554" t="s">
        <v>546</v>
      </c>
      <c r="Q299" s="292"/>
      <c r="R299" s="170"/>
      <c r="S299" s="389"/>
      <c r="T299" s="501" t="s">
        <v>604</v>
      </c>
      <c r="U299" s="501" t="s">
        <v>2180</v>
      </c>
      <c r="W299" s="431" t="s">
        <v>179</v>
      </c>
      <c r="X299" s="431" t="s">
        <v>3387</v>
      </c>
      <c r="AA299" s="26"/>
      <c r="AB299" s="26"/>
      <c r="AC299" s="931"/>
      <c r="AD299" s="512"/>
    </row>
    <row r="300" spans="6:30" ht="10.5" customHeight="1">
      <c r="F300" s="556"/>
      <c r="G300" s="1009" t="s">
        <v>1916</v>
      </c>
      <c r="H300" s="1009" t="s">
        <v>1210</v>
      </c>
      <c r="I300" s="1013" t="s">
        <v>1917</v>
      </c>
      <c r="J300" s="1010" t="s">
        <v>2611</v>
      </c>
      <c r="K300" s="1011" t="s">
        <v>1169</v>
      </c>
      <c r="L300" s="1012" t="s">
        <v>423</v>
      </c>
      <c r="M300" s="1099" t="s">
        <v>2598</v>
      </c>
      <c r="N300" s="1099" t="s">
        <v>1781</v>
      </c>
      <c r="O300" s="1288" t="s">
        <v>4431</v>
      </c>
      <c r="P300" s="554" t="s">
        <v>1155</v>
      </c>
      <c r="Q300" s="292"/>
      <c r="R300" s="170"/>
      <c r="S300" s="389"/>
      <c r="T300" s="501" t="s">
        <v>2851</v>
      </c>
      <c r="U300" s="501" t="s">
        <v>1100</v>
      </c>
      <c r="W300" s="431" t="s">
        <v>1574</v>
      </c>
      <c r="X300" s="431" t="s">
        <v>3387</v>
      </c>
      <c r="AA300" s="26"/>
      <c r="AB300" s="26"/>
      <c r="AC300" s="931"/>
      <c r="AD300" s="512"/>
    </row>
    <row r="301" spans="6:30" ht="10.5" customHeight="1">
      <c r="F301" s="556"/>
      <c r="G301" s="1009" t="s">
        <v>1918</v>
      </c>
      <c r="H301" s="1009" t="s">
        <v>1210</v>
      </c>
      <c r="I301" s="1013" t="s">
        <v>1319</v>
      </c>
      <c r="J301" s="1013" t="s">
        <v>2612</v>
      </c>
      <c r="K301" s="1011" t="s">
        <v>2578</v>
      </c>
      <c r="L301" s="1012" t="s">
        <v>424</v>
      </c>
      <c r="M301" s="1098" t="s">
        <v>2598</v>
      </c>
      <c r="N301" s="1099" t="s">
        <v>1319</v>
      </c>
      <c r="O301" s="1288" t="s">
        <v>4432</v>
      </c>
      <c r="P301" s="554" t="s">
        <v>746</v>
      </c>
      <c r="Q301" s="292"/>
      <c r="R301" s="170"/>
      <c r="S301" s="389"/>
      <c r="T301" s="501" t="s">
        <v>606</v>
      </c>
      <c r="U301" s="501" t="s">
        <v>1634</v>
      </c>
      <c r="W301" s="431" t="s">
        <v>377</v>
      </c>
      <c r="X301" s="431" t="s">
        <v>3387</v>
      </c>
      <c r="AA301" s="26"/>
      <c r="AB301" s="26"/>
      <c r="AC301" s="931"/>
      <c r="AD301" s="512"/>
    </row>
    <row r="302" spans="6:30" ht="10.5" customHeight="1">
      <c r="F302" s="556"/>
      <c r="G302" s="1009" t="s">
        <v>1919</v>
      </c>
      <c r="H302" s="1009" t="s">
        <v>1310</v>
      </c>
      <c r="I302" s="1013" t="s">
        <v>1920</v>
      </c>
      <c r="J302" s="1013" t="s">
        <v>2611</v>
      </c>
      <c r="K302" s="1011" t="s">
        <v>1170</v>
      </c>
      <c r="L302" s="1012" t="s">
        <v>423</v>
      </c>
      <c r="M302" s="1099" t="s">
        <v>2598</v>
      </c>
      <c r="N302" s="1098" t="s">
        <v>166</v>
      </c>
      <c r="O302" s="1288" t="s">
        <v>4433</v>
      </c>
      <c r="P302" s="554" t="s">
        <v>36</v>
      </c>
      <c r="Q302" s="292"/>
      <c r="R302" s="170"/>
      <c r="S302" s="389"/>
      <c r="T302" s="501" t="s">
        <v>545</v>
      </c>
      <c r="U302" s="501" t="s">
        <v>658</v>
      </c>
      <c r="W302" s="431" t="s">
        <v>379</v>
      </c>
      <c r="X302" s="431" t="s">
        <v>3387</v>
      </c>
      <c r="AA302" s="26"/>
      <c r="AB302" s="26"/>
      <c r="AC302" s="931"/>
      <c r="AD302" s="512"/>
    </row>
    <row r="303" spans="6:30" ht="10.5" customHeight="1">
      <c r="F303" s="556"/>
      <c r="G303" s="1009" t="s">
        <v>2004</v>
      </c>
      <c r="H303" s="1009" t="s">
        <v>1210</v>
      </c>
      <c r="I303" s="1010" t="s">
        <v>2005</v>
      </c>
      <c r="J303" s="1013" t="s">
        <v>2611</v>
      </c>
      <c r="K303" s="1011" t="s">
        <v>1171</v>
      </c>
      <c r="L303" s="1012" t="s">
        <v>423</v>
      </c>
      <c r="M303" s="1099" t="s">
        <v>2598</v>
      </c>
      <c r="N303" s="1099" t="s">
        <v>1204</v>
      </c>
      <c r="O303" s="1288" t="s">
        <v>4434</v>
      </c>
      <c r="P303" s="554" t="s">
        <v>1963</v>
      </c>
      <c r="Q303" s="292"/>
      <c r="R303" s="170"/>
      <c r="S303" s="389"/>
      <c r="T303" s="501" t="s">
        <v>547</v>
      </c>
      <c r="U303" s="501" t="s">
        <v>160</v>
      </c>
      <c r="W303" s="431" t="s">
        <v>1606</v>
      </c>
      <c r="X303" s="431" t="s">
        <v>3387</v>
      </c>
      <c r="AA303" s="26"/>
      <c r="AB303" s="26"/>
      <c r="AC303" s="931"/>
      <c r="AD303" s="512"/>
    </row>
    <row r="304" spans="6:30" ht="10.5" customHeight="1">
      <c r="F304" s="556"/>
      <c r="G304" s="1009" t="s">
        <v>2006</v>
      </c>
      <c r="H304" s="1009" t="s">
        <v>1310</v>
      </c>
      <c r="I304" s="1013" t="s">
        <v>1520</v>
      </c>
      <c r="J304" s="1010" t="s">
        <v>2612</v>
      </c>
      <c r="K304" s="1011" t="s">
        <v>1679</v>
      </c>
      <c r="L304" s="1012" t="s">
        <v>424</v>
      </c>
      <c r="M304" s="1098" t="s">
        <v>2598</v>
      </c>
      <c r="N304" s="1099" t="s">
        <v>1520</v>
      </c>
      <c r="O304" s="1288" t="s">
        <v>4435</v>
      </c>
      <c r="P304" s="554" t="s">
        <v>1965</v>
      </c>
      <c r="Q304" s="292"/>
      <c r="R304" s="170"/>
      <c r="S304" s="389"/>
      <c r="T304" s="501" t="s">
        <v>745</v>
      </c>
      <c r="U304" s="501" t="s">
        <v>1106</v>
      </c>
      <c r="W304" s="431" t="s">
        <v>1087</v>
      </c>
      <c r="X304" s="431" t="s">
        <v>3387</v>
      </c>
      <c r="AA304" s="26"/>
      <c r="AB304" s="26"/>
      <c r="AC304" s="931"/>
      <c r="AD304" s="512"/>
    </row>
    <row r="305" spans="6:30" ht="10.5" customHeight="1">
      <c r="F305" s="556"/>
      <c r="G305" s="1009" t="s">
        <v>2007</v>
      </c>
      <c r="H305" s="1009" t="s">
        <v>1310</v>
      </c>
      <c r="I305" s="1013" t="s">
        <v>763</v>
      </c>
      <c r="J305" s="1013" t="s">
        <v>2612</v>
      </c>
      <c r="K305" s="1011" t="s">
        <v>2575</v>
      </c>
      <c r="L305" s="1012" t="s">
        <v>424</v>
      </c>
      <c r="M305" s="1098" t="s">
        <v>1195</v>
      </c>
      <c r="N305" s="1098" t="s">
        <v>1204</v>
      </c>
      <c r="O305" s="1288" t="s">
        <v>4436</v>
      </c>
      <c r="P305" s="554" t="s">
        <v>334</v>
      </c>
      <c r="Q305" s="292"/>
      <c r="R305" s="170"/>
      <c r="S305" s="389"/>
      <c r="T305" s="501" t="s">
        <v>747</v>
      </c>
      <c r="U305" s="501" t="s">
        <v>121</v>
      </c>
      <c r="W305" s="431" t="s">
        <v>3382</v>
      </c>
      <c r="X305" s="431" t="s">
        <v>3387</v>
      </c>
      <c r="AA305" s="26"/>
      <c r="AB305" s="26"/>
      <c r="AC305" s="931"/>
      <c r="AD305" s="512"/>
    </row>
    <row r="306" spans="6:30" ht="10.5" customHeight="1">
      <c r="F306" s="556"/>
      <c r="G306" s="1009" t="s">
        <v>2008</v>
      </c>
      <c r="H306" s="1009" t="s">
        <v>1210</v>
      </c>
      <c r="I306" s="1013" t="s">
        <v>103</v>
      </c>
      <c r="J306" s="1013" t="s">
        <v>2611</v>
      </c>
      <c r="K306" s="1011" t="s">
        <v>1172</v>
      </c>
      <c r="L306" s="1012" t="s">
        <v>423</v>
      </c>
      <c r="M306" s="1099" t="s">
        <v>2598</v>
      </c>
      <c r="N306" s="1098" t="s">
        <v>1695</v>
      </c>
      <c r="O306" s="1288" t="s">
        <v>4437</v>
      </c>
      <c r="P306" s="554" t="s">
        <v>336</v>
      </c>
      <c r="Q306" s="292"/>
      <c r="R306" s="170"/>
      <c r="S306" s="389"/>
      <c r="T306" s="501" t="s">
        <v>37</v>
      </c>
      <c r="U306" s="501" t="s">
        <v>176</v>
      </c>
      <c r="W306" s="431" t="s">
        <v>3383</v>
      </c>
      <c r="X306" s="431" t="s">
        <v>3387</v>
      </c>
      <c r="AA306" s="26"/>
      <c r="AB306" s="26"/>
      <c r="AC306" s="931"/>
      <c r="AD306" s="512"/>
    </row>
    <row r="307" spans="6:30" ht="10.5" customHeight="1">
      <c r="F307" s="556"/>
      <c r="G307" s="1009" t="s">
        <v>104</v>
      </c>
      <c r="H307" s="1009" t="s">
        <v>1310</v>
      </c>
      <c r="I307" s="1013" t="s">
        <v>105</v>
      </c>
      <c r="J307" s="1013" t="s">
        <v>2611</v>
      </c>
      <c r="K307" s="1011" t="s">
        <v>1173</v>
      </c>
      <c r="L307" s="1012" t="s">
        <v>423</v>
      </c>
      <c r="M307" s="1099" t="s">
        <v>2598</v>
      </c>
      <c r="N307" s="1099" t="s">
        <v>1329</v>
      </c>
      <c r="O307" s="1288" t="s">
        <v>4438</v>
      </c>
      <c r="P307" s="554" t="s">
        <v>338</v>
      </c>
      <c r="Q307" s="292"/>
      <c r="R307" s="170"/>
      <c r="S307" s="389"/>
      <c r="T307" s="501" t="s">
        <v>1964</v>
      </c>
      <c r="U307" s="501" t="s">
        <v>2243</v>
      </c>
      <c r="W307" s="431" t="s">
        <v>520</v>
      </c>
      <c r="X307" s="431" t="s">
        <v>3387</v>
      </c>
      <c r="AA307" s="26"/>
      <c r="AB307" s="26"/>
      <c r="AC307" s="931"/>
      <c r="AD307" s="512"/>
    </row>
    <row r="308" spans="6:30" ht="10.5" customHeight="1">
      <c r="F308" s="556"/>
      <c r="G308" s="1009" t="s">
        <v>106</v>
      </c>
      <c r="H308" s="1009" t="s">
        <v>1210</v>
      </c>
      <c r="I308" s="1013" t="s">
        <v>107</v>
      </c>
      <c r="J308" s="1013" t="s">
        <v>2611</v>
      </c>
      <c r="K308" s="1011" t="s">
        <v>1174</v>
      </c>
      <c r="L308" s="1012" t="s">
        <v>423</v>
      </c>
      <c r="M308" s="1099" t="s">
        <v>2598</v>
      </c>
      <c r="N308" s="1099" t="s">
        <v>1319</v>
      </c>
      <c r="O308" s="1288" t="s">
        <v>4439</v>
      </c>
      <c r="P308" s="554" t="s">
        <v>340</v>
      </c>
      <c r="Q308" s="292"/>
      <c r="R308" s="170"/>
      <c r="S308" s="389"/>
      <c r="T308" s="501" t="s">
        <v>1966</v>
      </c>
      <c r="U308" s="501" t="s">
        <v>2591</v>
      </c>
      <c r="W308" s="431" t="s">
        <v>522</v>
      </c>
      <c r="X308" s="431" t="s">
        <v>3387</v>
      </c>
      <c r="AA308" s="26"/>
      <c r="AB308" s="26"/>
      <c r="AC308" s="931"/>
      <c r="AD308" s="512"/>
    </row>
    <row r="309" spans="6:30" ht="10.5" customHeight="1">
      <c r="F309" s="556"/>
      <c r="G309" s="1009" t="s">
        <v>108</v>
      </c>
      <c r="H309" s="1009" t="s">
        <v>1210</v>
      </c>
      <c r="I309" s="1013" t="s">
        <v>109</v>
      </c>
      <c r="J309" s="1013" t="s">
        <v>2611</v>
      </c>
      <c r="K309" s="1011" t="s">
        <v>1175</v>
      </c>
      <c r="L309" s="1012" t="s">
        <v>423</v>
      </c>
      <c r="M309" s="1099" t="s">
        <v>2598</v>
      </c>
      <c r="N309" s="1099" t="s">
        <v>1325</v>
      </c>
      <c r="O309" s="1288" t="s">
        <v>4440</v>
      </c>
      <c r="P309" s="554" t="s">
        <v>342</v>
      </c>
      <c r="Q309" s="292"/>
      <c r="R309" s="170"/>
      <c r="S309" s="389"/>
      <c r="T309" s="501" t="s">
        <v>335</v>
      </c>
      <c r="U309" s="501" t="s">
        <v>1949</v>
      </c>
      <c r="W309" s="431" t="s">
        <v>528</v>
      </c>
      <c r="X309" s="431" t="s">
        <v>3387</v>
      </c>
      <c r="AA309" s="26"/>
      <c r="AB309" s="26"/>
      <c r="AC309" s="931"/>
      <c r="AD309" s="512"/>
    </row>
    <row r="310" spans="6:30" ht="10.5" customHeight="1">
      <c r="F310" s="556"/>
      <c r="G310" s="1009" t="s">
        <v>110</v>
      </c>
      <c r="H310" s="1009" t="s">
        <v>1210</v>
      </c>
      <c r="I310" s="1013" t="s">
        <v>111</v>
      </c>
      <c r="J310" s="1013" t="s">
        <v>2611</v>
      </c>
      <c r="K310" s="1011" t="s">
        <v>1176</v>
      </c>
      <c r="L310" s="1012" t="s">
        <v>423</v>
      </c>
      <c r="M310" s="1099" t="s">
        <v>2598</v>
      </c>
      <c r="N310" s="1099" t="s">
        <v>161</v>
      </c>
      <c r="O310" s="1288" t="s">
        <v>4441</v>
      </c>
      <c r="P310" s="554" t="s">
        <v>344</v>
      </c>
      <c r="Q310" s="292"/>
      <c r="R310" s="170"/>
      <c r="S310" s="389"/>
      <c r="T310" s="501" t="s">
        <v>337</v>
      </c>
      <c r="U310" s="501" t="s">
        <v>873</v>
      </c>
      <c r="W310" s="431" t="s">
        <v>541</v>
      </c>
      <c r="X310" s="431" t="s">
        <v>3387</v>
      </c>
      <c r="AA310" s="26"/>
      <c r="AB310" s="26"/>
      <c r="AC310" s="931"/>
      <c r="AD310" s="512"/>
    </row>
    <row r="311" spans="6:30" ht="10.5" customHeight="1">
      <c r="F311" s="556"/>
      <c r="G311" s="1009" t="s">
        <v>112</v>
      </c>
      <c r="H311" s="1009" t="s">
        <v>1210</v>
      </c>
      <c r="I311" s="1013" t="s">
        <v>113</v>
      </c>
      <c r="J311" s="1013" t="s">
        <v>2611</v>
      </c>
      <c r="K311" s="1011" t="s">
        <v>2356</v>
      </c>
      <c r="L311" s="1012" t="s">
        <v>423</v>
      </c>
      <c r="M311" s="1099" t="s">
        <v>2598</v>
      </c>
      <c r="N311" s="1099" t="s">
        <v>1319</v>
      </c>
      <c r="O311" s="1288" t="s">
        <v>4442</v>
      </c>
      <c r="P311" s="554" t="s">
        <v>1939</v>
      </c>
      <c r="Q311" s="292"/>
      <c r="R311" s="170"/>
      <c r="S311" s="389"/>
      <c r="T311" s="501" t="s">
        <v>339</v>
      </c>
      <c r="U311" s="501" t="s">
        <v>179</v>
      </c>
      <c r="W311" s="431" t="s">
        <v>1634</v>
      </c>
      <c r="X311" s="431" t="s">
        <v>3387</v>
      </c>
      <c r="AA311" s="26"/>
      <c r="AB311" s="26"/>
      <c r="AC311" s="931"/>
      <c r="AD311" s="512"/>
    </row>
    <row r="312" spans="6:30" ht="10.5" customHeight="1">
      <c r="F312" s="556"/>
      <c r="G312" s="1009" t="s">
        <v>114</v>
      </c>
      <c r="H312" s="1009" t="s">
        <v>1310</v>
      </c>
      <c r="I312" s="1013" t="s">
        <v>115</v>
      </c>
      <c r="J312" s="1013" t="s">
        <v>2611</v>
      </c>
      <c r="K312" s="1011" t="s">
        <v>2357</v>
      </c>
      <c r="L312" s="1012" t="s">
        <v>423</v>
      </c>
      <c r="M312" s="1099" t="s">
        <v>2598</v>
      </c>
      <c r="N312" s="1099" t="s">
        <v>166</v>
      </c>
      <c r="O312" s="1288" t="s">
        <v>4443</v>
      </c>
      <c r="P312" s="554" t="s">
        <v>1941</v>
      </c>
      <c r="Q312" s="292"/>
      <c r="R312" s="170"/>
      <c r="S312" s="389"/>
      <c r="T312" s="501" t="s">
        <v>341</v>
      </c>
      <c r="U312" s="501" t="s">
        <v>2398</v>
      </c>
      <c r="W312" s="431" t="s">
        <v>2094</v>
      </c>
      <c r="X312" s="431" t="s">
        <v>3387</v>
      </c>
      <c r="AA312" s="26"/>
      <c r="AB312" s="26"/>
      <c r="AC312" s="931"/>
      <c r="AD312" s="512"/>
    </row>
    <row r="313" spans="6:30" ht="10.5" customHeight="1">
      <c r="F313" s="556"/>
      <c r="G313" s="1009" t="s">
        <v>1949</v>
      </c>
      <c r="H313" s="1009" t="s">
        <v>1310</v>
      </c>
      <c r="I313" s="1010" t="s">
        <v>335</v>
      </c>
      <c r="J313" s="1013" t="s">
        <v>2612</v>
      </c>
      <c r="K313" s="1011" t="s">
        <v>2358</v>
      </c>
      <c r="L313" s="1012" t="s">
        <v>424</v>
      </c>
      <c r="M313" s="1099" t="s">
        <v>1195</v>
      </c>
      <c r="N313" s="1099" t="s">
        <v>1520</v>
      </c>
      <c r="O313" s="1288" t="s">
        <v>4444</v>
      </c>
      <c r="P313" s="554" t="s">
        <v>2153</v>
      </c>
      <c r="Q313" s="292"/>
      <c r="R313" s="170"/>
      <c r="S313" s="389"/>
      <c r="T313" s="555" t="s">
        <v>343</v>
      </c>
      <c r="U313" s="555" t="s">
        <v>1876</v>
      </c>
      <c r="W313" s="431" t="s">
        <v>3384</v>
      </c>
      <c r="X313" s="431" t="s">
        <v>3387</v>
      </c>
      <c r="AA313" s="26"/>
      <c r="AB313" s="26"/>
      <c r="AC313" s="931"/>
      <c r="AD313" s="512"/>
    </row>
    <row r="314" spans="6:30" ht="10.5" customHeight="1">
      <c r="F314" s="556"/>
      <c r="G314" s="1009" t="s">
        <v>1950</v>
      </c>
      <c r="H314" s="1009" t="s">
        <v>1210</v>
      </c>
      <c r="I314" s="1013" t="s">
        <v>2395</v>
      </c>
      <c r="J314" s="1010" t="s">
        <v>2611</v>
      </c>
      <c r="K314" s="1011" t="s">
        <v>2359</v>
      </c>
      <c r="L314" s="1012" t="s">
        <v>423</v>
      </c>
      <c r="M314" s="1099" t="s">
        <v>2598</v>
      </c>
      <c r="N314" s="1099" t="s">
        <v>1781</v>
      </c>
      <c r="O314" s="1288" t="s">
        <v>4445</v>
      </c>
      <c r="P314" s="554" t="s">
        <v>153</v>
      </c>
      <c r="Q314" s="292"/>
      <c r="R314" s="170"/>
      <c r="S314" s="389"/>
      <c r="T314" s="501" t="s">
        <v>345</v>
      </c>
      <c r="U314" s="501" t="s">
        <v>175</v>
      </c>
      <c r="W314" s="431" t="s">
        <v>2247</v>
      </c>
      <c r="X314" s="431" t="s">
        <v>3387</v>
      </c>
      <c r="AA314" s="26"/>
      <c r="AB314" s="26"/>
      <c r="AC314" s="932"/>
      <c r="AD314" s="512"/>
    </row>
    <row r="315" spans="6:30" ht="10.5" customHeight="1">
      <c r="F315" s="556"/>
      <c r="G315" s="1009" t="s">
        <v>2396</v>
      </c>
      <c r="H315" s="1009" t="s">
        <v>1310</v>
      </c>
      <c r="I315" s="1013" t="s">
        <v>2397</v>
      </c>
      <c r="J315" s="1013" t="s">
        <v>2611</v>
      </c>
      <c r="K315" s="1011" t="s">
        <v>421</v>
      </c>
      <c r="L315" s="1012" t="s">
        <v>423</v>
      </c>
      <c r="M315" s="1099" t="s">
        <v>2598</v>
      </c>
      <c r="N315" s="1099" t="s">
        <v>1329</v>
      </c>
      <c r="O315" s="1288" t="s">
        <v>4446</v>
      </c>
      <c r="P315" s="554" t="s">
        <v>154</v>
      </c>
      <c r="Q315" s="292"/>
      <c r="R315" s="170"/>
      <c r="S315" s="389"/>
      <c r="T315" s="501" t="s">
        <v>1940</v>
      </c>
      <c r="U315" s="501" t="s">
        <v>106</v>
      </c>
      <c r="W315" s="431" t="s">
        <v>398</v>
      </c>
      <c r="X315" s="431" t="s">
        <v>3387</v>
      </c>
      <c r="AA315" s="26"/>
      <c r="AB315" s="26"/>
      <c r="AC315" s="931"/>
      <c r="AD315" s="512"/>
    </row>
    <row r="316" spans="6:30" ht="10.5" customHeight="1">
      <c r="F316" s="556"/>
      <c r="G316" s="1009" t="s">
        <v>2398</v>
      </c>
      <c r="H316" s="1009" t="s">
        <v>1210</v>
      </c>
      <c r="I316" s="1013" t="s">
        <v>2399</v>
      </c>
      <c r="J316" s="1013" t="s">
        <v>2611</v>
      </c>
      <c r="K316" s="1011" t="s">
        <v>422</v>
      </c>
      <c r="L316" s="1012" t="s">
        <v>423</v>
      </c>
      <c r="M316" s="1099" t="s">
        <v>2598</v>
      </c>
      <c r="N316" s="1099" t="s">
        <v>1319</v>
      </c>
      <c r="O316" s="1288" t="s">
        <v>4447</v>
      </c>
      <c r="P316" s="554" t="s">
        <v>1579</v>
      </c>
      <c r="Q316" s="292"/>
      <c r="R316" s="170"/>
      <c r="S316" s="389"/>
      <c r="T316" s="501" t="s">
        <v>195</v>
      </c>
      <c r="U316" s="501" t="s">
        <v>1664</v>
      </c>
      <c r="W316" s="431" t="s">
        <v>1839</v>
      </c>
      <c r="X316" s="431" t="s">
        <v>3387</v>
      </c>
      <c r="AA316" s="26"/>
      <c r="AB316" s="26"/>
      <c r="AC316" s="931"/>
      <c r="AD316" s="512"/>
    </row>
    <row r="317" spans="6:30" ht="10.5" customHeight="1">
      <c r="F317" s="332"/>
      <c r="G317" s="1009" t="s">
        <v>2400</v>
      </c>
      <c r="H317" s="1009" t="s">
        <v>1210</v>
      </c>
      <c r="I317" s="1013" t="s">
        <v>1781</v>
      </c>
      <c r="J317" s="1013" t="s">
        <v>2612</v>
      </c>
      <c r="K317" s="1011" t="s">
        <v>1160</v>
      </c>
      <c r="L317" s="1012" t="s">
        <v>424</v>
      </c>
      <c r="M317" s="1098" t="s">
        <v>2598</v>
      </c>
      <c r="N317" s="1099" t="s">
        <v>1781</v>
      </c>
      <c r="O317" s="1288" t="s">
        <v>4448</v>
      </c>
      <c r="P317" s="554" t="s">
        <v>789</v>
      </c>
      <c r="Q317" s="292"/>
      <c r="R317" s="170"/>
      <c r="S317" s="389"/>
      <c r="T317" s="501" t="s">
        <v>2154</v>
      </c>
      <c r="U317" s="501" t="s">
        <v>195</v>
      </c>
      <c r="W317" s="431" t="s">
        <v>2271</v>
      </c>
      <c r="X317" s="431" t="s">
        <v>3387</v>
      </c>
      <c r="AA317" s="26"/>
      <c r="AB317" s="26"/>
      <c r="AC317" s="931"/>
      <c r="AD317" s="512"/>
    </row>
    <row r="318" spans="6:30" ht="10.5" customHeight="1">
      <c r="F318" s="332"/>
      <c r="G318" s="312"/>
      <c r="H318" s="312"/>
      <c r="I318" s="312"/>
      <c r="J318" s="378"/>
      <c r="K318" s="312"/>
      <c r="L318" s="312"/>
      <c r="M318" s="366"/>
      <c r="N318" s="366"/>
      <c r="O318" s="366"/>
      <c r="P318" s="554" t="s">
        <v>791</v>
      </c>
      <c r="Q318" s="292"/>
      <c r="R318" s="170"/>
      <c r="S318" s="389"/>
      <c r="T318" s="501" t="s">
        <v>688</v>
      </c>
      <c r="U318" s="501" t="s">
        <v>2176</v>
      </c>
      <c r="W318" s="431" t="s">
        <v>561</v>
      </c>
      <c r="X318" s="431" t="s">
        <v>3387</v>
      </c>
      <c r="AA318" s="26"/>
      <c r="AB318" s="26"/>
      <c r="AC318" s="931"/>
      <c r="AD318" s="512"/>
    </row>
    <row r="319" spans="6:30" ht="10.5" customHeight="1">
      <c r="F319" s="332"/>
      <c r="G319" s="312"/>
      <c r="H319" s="312"/>
      <c r="I319" s="312"/>
      <c r="J319" s="312"/>
      <c r="K319" s="312"/>
      <c r="L319" s="312"/>
      <c r="M319" s="312"/>
      <c r="N319" s="366"/>
      <c r="O319" s="366"/>
      <c r="P319" s="554" t="s">
        <v>793</v>
      </c>
      <c r="Q319" s="292"/>
      <c r="R319" s="170"/>
      <c r="S319" s="389"/>
      <c r="T319" s="555" t="s">
        <v>155</v>
      </c>
      <c r="U319" s="555" t="s">
        <v>1875</v>
      </c>
      <c r="W319" s="431" t="s">
        <v>1450</v>
      </c>
      <c r="X319" s="431" t="s">
        <v>3387</v>
      </c>
      <c r="AA319" s="26"/>
      <c r="AB319" s="26"/>
      <c r="AC319" s="931"/>
      <c r="AD319" s="512"/>
    </row>
    <row r="320" spans="6:30" ht="10.5" customHeight="1">
      <c r="F320" s="332"/>
      <c r="G320" s="312"/>
      <c r="H320" s="312"/>
      <c r="I320" s="312"/>
      <c r="J320" s="312"/>
      <c r="K320" s="312"/>
      <c r="L320" s="312"/>
      <c r="M320" s="312"/>
      <c r="N320" s="312"/>
      <c r="O320" s="312"/>
      <c r="P320" s="554" t="s">
        <v>2421</v>
      </c>
      <c r="Q320" s="292"/>
      <c r="R320" s="170"/>
      <c r="S320" s="389"/>
      <c r="T320" s="501" t="s">
        <v>196</v>
      </c>
      <c r="U320" s="501" t="s">
        <v>627</v>
      </c>
      <c r="W320" s="431" t="s">
        <v>1581</v>
      </c>
      <c r="X320" s="431" t="s">
        <v>3387</v>
      </c>
      <c r="AA320" s="26"/>
      <c r="AB320" s="26"/>
      <c r="AC320" s="932"/>
      <c r="AD320" s="512"/>
    </row>
    <row r="321" spans="6:30" ht="10.5" customHeight="1">
      <c r="F321" s="332"/>
      <c r="G321" s="312"/>
      <c r="H321" s="312"/>
      <c r="I321" s="312"/>
      <c r="J321" s="312"/>
      <c r="K321" s="312"/>
      <c r="L321" s="312"/>
      <c r="M321" s="312"/>
      <c r="N321" s="312"/>
      <c r="O321" s="312"/>
      <c r="P321" s="554" t="s">
        <v>2422</v>
      </c>
      <c r="Q321" s="292"/>
      <c r="R321" s="170"/>
      <c r="S321" s="389"/>
      <c r="T321" s="501" t="s">
        <v>2567</v>
      </c>
      <c r="U321" s="501" t="s">
        <v>2008</v>
      </c>
      <c r="W321" s="431" t="s">
        <v>2119</v>
      </c>
      <c r="X321" s="431" t="s">
        <v>3387</v>
      </c>
      <c r="AA321" s="26"/>
      <c r="AB321" s="26"/>
      <c r="AC321" s="931"/>
      <c r="AD321" s="512"/>
    </row>
    <row r="322" spans="6:30" ht="10.5" customHeight="1">
      <c r="F322" s="332"/>
      <c r="G322" s="312"/>
      <c r="H322" s="312"/>
      <c r="I322" s="312"/>
      <c r="J322" s="312"/>
      <c r="K322" s="312"/>
      <c r="L322" s="312"/>
      <c r="M322" s="312"/>
      <c r="N322" s="312"/>
      <c r="O322" s="312"/>
      <c r="P322" s="554" t="s">
        <v>2424</v>
      </c>
      <c r="Q322" s="292"/>
      <c r="R322" s="170"/>
      <c r="S322" s="389"/>
      <c r="T322" s="501" t="s">
        <v>790</v>
      </c>
      <c r="U322" s="501" t="s">
        <v>106</v>
      </c>
      <c r="W322" s="431" t="s">
        <v>2121</v>
      </c>
      <c r="X322" s="431" t="s">
        <v>3387</v>
      </c>
      <c r="AA322" s="26"/>
      <c r="AB322" s="26"/>
      <c r="AC322" s="931"/>
      <c r="AD322" s="512"/>
    </row>
    <row r="323" spans="6:30" ht="10.5" customHeight="1">
      <c r="F323" s="332"/>
      <c r="G323" s="312"/>
      <c r="H323" s="312"/>
      <c r="I323" s="312"/>
      <c r="J323" s="312"/>
      <c r="K323" s="312"/>
      <c r="L323" s="312"/>
      <c r="M323" s="312"/>
      <c r="N323" s="312"/>
      <c r="O323" s="312"/>
      <c r="P323" s="554" t="s">
        <v>2426</v>
      </c>
      <c r="Q323" s="292"/>
      <c r="R323" s="170"/>
      <c r="S323" s="389"/>
      <c r="T323" s="501" t="s">
        <v>792</v>
      </c>
      <c r="U323" s="501" t="s">
        <v>122</v>
      </c>
      <c r="W323" s="431" t="s">
        <v>1440</v>
      </c>
      <c r="X323" s="431" t="s">
        <v>3387</v>
      </c>
      <c r="AA323" s="26"/>
      <c r="AB323" s="26"/>
      <c r="AC323" s="931"/>
      <c r="AD323" s="512"/>
    </row>
    <row r="324" spans="6:30" ht="10.5" customHeight="1">
      <c r="F324" s="332"/>
      <c r="G324" s="312"/>
      <c r="H324" s="312"/>
      <c r="I324" s="312"/>
      <c r="J324" s="312"/>
      <c r="K324" s="312"/>
      <c r="L324" s="312"/>
      <c r="M324" s="312"/>
      <c r="N324" s="312"/>
      <c r="O324" s="312"/>
      <c r="P324" s="554" t="s">
        <v>2427</v>
      </c>
      <c r="Q324" s="292"/>
      <c r="R324" s="170"/>
      <c r="S324" s="389"/>
      <c r="T324" s="501" t="s">
        <v>794</v>
      </c>
      <c r="U324" s="501" t="s">
        <v>326</v>
      </c>
      <c r="W324" s="431" t="s">
        <v>1555</v>
      </c>
      <c r="X324" s="431" t="s">
        <v>3387</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2852</v>
      </c>
      <c r="U325" s="501" t="s">
        <v>877</v>
      </c>
      <c r="W325" s="431" t="s">
        <v>1182</v>
      </c>
      <c r="X325" s="431" t="s">
        <v>3387</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2423</v>
      </c>
      <c r="U326" s="555" t="s">
        <v>1452</v>
      </c>
      <c r="W326" s="431" t="s">
        <v>1749</v>
      </c>
      <c r="X326" s="431" t="s">
        <v>3387</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2425</v>
      </c>
      <c r="U327" s="501" t="s">
        <v>1104</v>
      </c>
      <c r="W327" s="431" t="s">
        <v>1814</v>
      </c>
      <c r="X327" s="431" t="s">
        <v>3387</v>
      </c>
      <c r="AA327" s="26"/>
      <c r="AB327" s="26"/>
      <c r="AC327" s="932"/>
      <c r="AD327" s="512"/>
    </row>
    <row r="328" spans="6:30" ht="10.5" customHeight="1">
      <c r="F328" s="332"/>
      <c r="G328" s="312"/>
      <c r="H328" s="312"/>
      <c r="I328" s="312"/>
      <c r="J328" s="312"/>
      <c r="K328" s="312"/>
      <c r="L328" s="312"/>
      <c r="M328" s="312"/>
      <c r="N328" s="312"/>
      <c r="O328" s="312"/>
      <c r="P328" s="554" t="s">
        <v>1921</v>
      </c>
      <c r="Q328" s="292"/>
      <c r="R328" s="170"/>
      <c r="S328" s="389"/>
      <c r="T328" s="501" t="s">
        <v>2568</v>
      </c>
      <c r="U328" s="501" t="s">
        <v>665</v>
      </c>
      <c r="W328" s="431" t="s">
        <v>1102</v>
      </c>
      <c r="X328" s="431" t="s">
        <v>3387</v>
      </c>
      <c r="AA328" s="26"/>
      <c r="AB328" s="26"/>
      <c r="AC328" s="931"/>
      <c r="AD328" s="512"/>
    </row>
    <row r="329" spans="6:30" ht="10.5" customHeight="1">
      <c r="F329" s="332"/>
      <c r="G329" s="312"/>
      <c r="H329" s="312"/>
      <c r="I329" s="312"/>
      <c r="J329" s="312"/>
      <c r="K329" s="312"/>
      <c r="L329" s="312"/>
      <c r="M329" s="312"/>
      <c r="N329" s="312"/>
      <c r="O329" s="312"/>
      <c r="P329" s="554" t="s">
        <v>1922</v>
      </c>
      <c r="Q329" s="292"/>
      <c r="R329" s="170"/>
      <c r="S329" s="389"/>
      <c r="T329" s="501" t="s">
        <v>380</v>
      </c>
      <c r="U329" s="501" t="s">
        <v>2488</v>
      </c>
      <c r="W329" s="431" t="s">
        <v>3385</v>
      </c>
      <c r="X329" s="431" t="s">
        <v>3387</v>
      </c>
      <c r="AA329" s="26"/>
      <c r="AB329" s="26"/>
      <c r="AC329" s="931"/>
      <c r="AD329" s="512"/>
    </row>
    <row r="330" spans="6:30" ht="10.5" customHeight="1">
      <c r="F330" s="332"/>
      <c r="G330" s="312"/>
      <c r="H330" s="312"/>
      <c r="I330" s="312"/>
      <c r="J330" s="312"/>
      <c r="K330" s="312"/>
      <c r="L330" s="312"/>
      <c r="M330" s="312"/>
      <c r="N330" s="312"/>
      <c r="O330" s="312"/>
      <c r="P330" s="554" t="s">
        <v>1924</v>
      </c>
      <c r="Q330" s="292"/>
      <c r="R330" s="170"/>
      <c r="S330" s="389"/>
      <c r="T330" s="557" t="s">
        <v>382</v>
      </c>
      <c r="U330" s="501" t="s">
        <v>2169</v>
      </c>
      <c r="W330" s="431" t="s">
        <v>2143</v>
      </c>
      <c r="X330" s="431" t="s">
        <v>3387</v>
      </c>
      <c r="AA330" s="26"/>
      <c r="AB330" s="26"/>
      <c r="AC330" s="931"/>
      <c r="AD330" s="512"/>
    </row>
    <row r="331" spans="6:30" ht="10.5" customHeight="1">
      <c r="F331" s="332"/>
      <c r="G331" s="312"/>
      <c r="H331" s="312"/>
      <c r="I331" s="312"/>
      <c r="J331" s="312"/>
      <c r="K331" s="312"/>
      <c r="L331" s="312"/>
      <c r="M331" s="312"/>
      <c r="N331" s="312"/>
      <c r="O331" s="312"/>
      <c r="P331" s="554" t="s">
        <v>1925</v>
      </c>
      <c r="Q331" s="292"/>
      <c r="R331" s="170"/>
      <c r="S331" s="389"/>
      <c r="T331" s="501" t="s">
        <v>48</v>
      </c>
      <c r="U331" s="501" t="s">
        <v>952</v>
      </c>
      <c r="W331" s="431" t="s">
        <v>1518</v>
      </c>
      <c r="X331" s="431" t="s">
        <v>3387</v>
      </c>
      <c r="AA331" s="26"/>
      <c r="AB331" s="26"/>
      <c r="AC331" s="933"/>
      <c r="AD331" s="512"/>
    </row>
    <row r="332" spans="6:30" ht="10.5" customHeight="1">
      <c r="F332" s="332"/>
      <c r="G332" s="312"/>
      <c r="H332" s="312"/>
      <c r="I332" s="312"/>
      <c r="J332" s="312"/>
      <c r="K332" s="312"/>
      <c r="L332" s="312"/>
      <c r="M332" s="312"/>
      <c r="N332" s="312"/>
      <c r="O332" s="312"/>
      <c r="P332" s="554" t="s">
        <v>1926</v>
      </c>
      <c r="Q332" s="292"/>
      <c r="R332" s="170"/>
      <c r="S332" s="389"/>
      <c r="T332" s="501" t="s">
        <v>50</v>
      </c>
      <c r="U332" s="501" t="s">
        <v>627</v>
      </c>
      <c r="W332" s="431" t="s">
        <v>63</v>
      </c>
      <c r="X332" s="431" t="s">
        <v>3387</v>
      </c>
      <c r="AA332" s="26"/>
      <c r="AB332" s="26"/>
      <c r="AC332" s="931"/>
      <c r="AD332" s="512"/>
    </row>
    <row r="333" spans="6:30" ht="10.5" customHeight="1">
      <c r="F333" s="332"/>
      <c r="G333" s="312"/>
      <c r="H333" s="312"/>
      <c r="I333" s="312"/>
      <c r="J333" s="312"/>
      <c r="K333" s="312"/>
      <c r="L333" s="312"/>
      <c r="M333" s="312"/>
      <c r="N333" s="312"/>
      <c r="O333" s="312"/>
      <c r="P333" s="554" t="s">
        <v>1928</v>
      </c>
      <c r="Q333" s="292"/>
      <c r="R333" s="170"/>
      <c r="S333" s="389"/>
      <c r="T333" s="501" t="s">
        <v>872</v>
      </c>
      <c r="U333" s="501" t="s">
        <v>2486</v>
      </c>
      <c r="W333" s="431" t="s">
        <v>67</v>
      </c>
      <c r="X333" s="431" t="s">
        <v>3387</v>
      </c>
      <c r="AA333" s="26"/>
      <c r="AB333" s="26"/>
      <c r="AC333" s="931"/>
      <c r="AD333" s="512"/>
    </row>
    <row r="334" spans="6:30" ht="10.5" customHeight="1">
      <c r="F334" s="332"/>
      <c r="G334" s="312"/>
      <c r="H334" s="312"/>
      <c r="I334" s="312"/>
      <c r="J334" s="312"/>
      <c r="K334" s="312"/>
      <c r="L334" s="312"/>
      <c r="M334" s="312"/>
      <c r="N334" s="312"/>
      <c r="O334" s="312"/>
      <c r="P334" s="554" t="s">
        <v>715</v>
      </c>
      <c r="Q334" s="292"/>
      <c r="R334" s="170"/>
      <c r="S334" s="389"/>
      <c r="T334" s="555" t="s">
        <v>1923</v>
      </c>
      <c r="U334" s="555" t="s">
        <v>872</v>
      </c>
      <c r="W334" s="431" t="s">
        <v>69</v>
      </c>
      <c r="X334" s="431" t="s">
        <v>3387</v>
      </c>
      <c r="AA334" s="26"/>
      <c r="AB334" s="26"/>
      <c r="AC334" s="931"/>
      <c r="AD334" s="512"/>
    </row>
    <row r="335" spans="6:30" ht="10.5" customHeight="1">
      <c r="F335" s="332"/>
      <c r="G335" s="312"/>
      <c r="H335" s="312"/>
      <c r="I335" s="312"/>
      <c r="J335" s="312"/>
      <c r="K335" s="312"/>
      <c r="L335" s="312"/>
      <c r="M335" s="312"/>
      <c r="N335" s="312"/>
      <c r="O335" s="312"/>
      <c r="P335" s="554" t="s">
        <v>1138</v>
      </c>
      <c r="Q335" s="292"/>
      <c r="R335" s="170"/>
      <c r="S335" s="389"/>
      <c r="T335" s="555" t="s">
        <v>2569</v>
      </c>
      <c r="U335" s="555" t="s">
        <v>627</v>
      </c>
      <c r="W335" s="431" t="s">
        <v>776</v>
      </c>
      <c r="X335" s="431" t="s">
        <v>3387</v>
      </c>
      <c r="AA335" s="26"/>
      <c r="AB335" s="26"/>
      <c r="AC335" s="932"/>
      <c r="AD335" s="512"/>
    </row>
    <row r="336" spans="6:30" ht="10.5" customHeight="1">
      <c r="F336" s="332"/>
      <c r="G336" s="312"/>
      <c r="H336" s="312"/>
      <c r="I336" s="312"/>
      <c r="J336" s="312"/>
      <c r="K336" s="312"/>
      <c r="L336" s="312"/>
      <c r="M336" s="312"/>
      <c r="N336" s="312"/>
      <c r="O336" s="312"/>
      <c r="P336" s="554" t="s">
        <v>1140</v>
      </c>
      <c r="Q336" s="292"/>
      <c r="R336" s="170"/>
      <c r="S336" s="389"/>
      <c r="T336" s="501" t="s">
        <v>2853</v>
      </c>
      <c r="U336" s="501" t="s">
        <v>2483</v>
      </c>
      <c r="W336" s="431" t="s">
        <v>940</v>
      </c>
      <c r="X336" s="431" t="s">
        <v>3387</v>
      </c>
      <c r="AA336" s="26"/>
      <c r="AB336" s="26"/>
      <c r="AC336" s="932"/>
      <c r="AD336" s="512"/>
    </row>
    <row r="337" spans="6:30" ht="10.5" customHeight="1">
      <c r="F337" s="332"/>
      <c r="G337" s="312"/>
      <c r="H337" s="312"/>
      <c r="I337" s="312"/>
      <c r="J337" s="312"/>
      <c r="K337" s="312"/>
      <c r="L337" s="312"/>
      <c r="M337" s="312"/>
      <c r="N337" s="312"/>
      <c r="O337" s="312"/>
      <c r="P337" s="554" t="s">
        <v>1142</v>
      </c>
      <c r="Q337" s="292"/>
      <c r="R337" s="170"/>
      <c r="S337" s="389"/>
      <c r="T337" s="501" t="s">
        <v>1927</v>
      </c>
      <c r="U337" s="501" t="s">
        <v>1452</v>
      </c>
      <c r="W337" s="431" t="s">
        <v>1042</v>
      </c>
      <c r="X337" s="431" t="s">
        <v>3387</v>
      </c>
      <c r="AA337" s="26"/>
      <c r="AB337" s="26"/>
      <c r="AC337" s="931"/>
      <c r="AD337" s="512"/>
    </row>
    <row r="338" spans="6:30" ht="10.5" customHeight="1">
      <c r="F338" s="332"/>
      <c r="G338" s="312"/>
      <c r="H338" s="312"/>
      <c r="I338" s="312"/>
      <c r="J338" s="312"/>
      <c r="K338" s="312"/>
      <c r="L338" s="312"/>
      <c r="M338" s="312"/>
      <c r="N338" s="312"/>
      <c r="O338" s="312"/>
      <c r="P338" s="554" t="s">
        <v>2512</v>
      </c>
      <c r="Q338" s="292"/>
      <c r="R338" s="170"/>
      <c r="S338" s="389"/>
      <c r="T338" s="501" t="s">
        <v>1929</v>
      </c>
      <c r="U338" s="501" t="s">
        <v>1452</v>
      </c>
      <c r="W338" s="431" t="s">
        <v>2267</v>
      </c>
      <c r="X338" s="431" t="s">
        <v>3387</v>
      </c>
      <c r="AA338" s="26"/>
      <c r="AB338" s="26"/>
      <c r="AC338" s="931"/>
      <c r="AD338" s="512"/>
    </row>
    <row r="339" spans="6:30" ht="10.5" customHeight="1">
      <c r="F339" s="332"/>
      <c r="G339" s="312"/>
      <c r="H339" s="312"/>
      <c r="I339" s="312"/>
      <c r="J339" s="312"/>
      <c r="K339" s="312"/>
      <c r="L339" s="312"/>
      <c r="M339" s="312"/>
      <c r="N339" s="312"/>
      <c r="O339" s="312"/>
      <c r="P339" s="554" t="s">
        <v>2514</v>
      </c>
      <c r="Q339" s="292"/>
      <c r="R339" s="170"/>
      <c r="S339" s="389"/>
      <c r="T339" s="501" t="s">
        <v>716</v>
      </c>
      <c r="U339" s="501" t="s">
        <v>121</v>
      </c>
      <c r="W339" s="431" t="s">
        <v>2520</v>
      </c>
      <c r="X339" s="431" t="s">
        <v>3387</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689</v>
      </c>
      <c r="U340" s="501" t="s">
        <v>627</v>
      </c>
      <c r="W340" s="431" t="s">
        <v>2163</v>
      </c>
      <c r="X340" s="431" t="s">
        <v>3387</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2854</v>
      </c>
      <c r="U341" s="501" t="s">
        <v>159</v>
      </c>
      <c r="W341" s="431" t="s">
        <v>1613</v>
      </c>
      <c r="X341" s="431" t="s">
        <v>3387</v>
      </c>
      <c r="AA341" s="26"/>
      <c r="AB341" s="26"/>
      <c r="AC341" s="931"/>
      <c r="AD341" s="512"/>
    </row>
    <row r="342" spans="6:30" ht="10.5" customHeight="1">
      <c r="F342" s="332"/>
      <c r="G342" s="312"/>
      <c r="H342" s="312"/>
      <c r="I342" s="312"/>
      <c r="J342" s="312"/>
      <c r="K342" s="312"/>
      <c r="L342" s="312"/>
      <c r="M342" s="312"/>
      <c r="N342" s="312"/>
      <c r="O342" s="312"/>
      <c r="P342" s="554" t="s">
        <v>1823</v>
      </c>
      <c r="Q342" s="292"/>
      <c r="R342" s="170"/>
      <c r="S342" s="389"/>
      <c r="T342" s="501" t="s">
        <v>2855</v>
      </c>
      <c r="U342" s="501" t="s">
        <v>316</v>
      </c>
      <c r="W342" s="431" t="s">
        <v>2415</v>
      </c>
      <c r="X342" s="431" t="s">
        <v>3387</v>
      </c>
      <c r="AA342" s="26"/>
      <c r="AB342" s="26"/>
      <c r="AC342" s="931"/>
      <c r="AD342" s="512"/>
    </row>
    <row r="343" spans="6:30" ht="10.5" customHeight="1">
      <c r="F343" s="332"/>
      <c r="G343" s="312"/>
      <c r="H343" s="312"/>
      <c r="I343" s="312"/>
      <c r="J343" s="312"/>
      <c r="K343" s="312"/>
      <c r="L343" s="312"/>
      <c r="M343" s="312"/>
      <c r="N343" s="312"/>
      <c r="O343" s="312"/>
      <c r="P343" s="554" t="s">
        <v>1825</v>
      </c>
      <c r="Q343" s="292"/>
      <c r="R343" s="170"/>
      <c r="S343" s="389"/>
      <c r="T343" s="501" t="s">
        <v>1139</v>
      </c>
      <c r="U343" s="501" t="s">
        <v>1452</v>
      </c>
      <c r="W343" s="431" t="s">
        <v>814</v>
      </c>
      <c r="X343" s="431" t="s">
        <v>3387</v>
      </c>
      <c r="AA343" s="26"/>
      <c r="AB343" s="26"/>
      <c r="AC343" s="931"/>
      <c r="AD343" s="512"/>
    </row>
    <row r="344" spans="6:30" ht="10.5" customHeight="1">
      <c r="F344" s="332"/>
      <c r="G344" s="312"/>
      <c r="H344" s="312"/>
      <c r="I344" s="312"/>
      <c r="J344" s="312"/>
      <c r="K344" s="312"/>
      <c r="L344" s="312"/>
      <c r="M344" s="312"/>
      <c r="N344" s="312"/>
      <c r="O344" s="312"/>
      <c r="P344" s="554" t="s">
        <v>1890</v>
      </c>
      <c r="Q344" s="292"/>
      <c r="R344" s="170"/>
      <c r="S344" s="389"/>
      <c r="T344" s="501" t="s">
        <v>1141</v>
      </c>
      <c r="U344" s="501" t="s">
        <v>661</v>
      </c>
      <c r="W344" s="431" t="s">
        <v>168</v>
      </c>
      <c r="X344" s="431" t="s">
        <v>3387</v>
      </c>
      <c r="AA344" s="26"/>
      <c r="AB344" s="26"/>
      <c r="AC344" s="931"/>
      <c r="AD344" s="512"/>
    </row>
    <row r="345" spans="6:30" ht="10.5" customHeight="1">
      <c r="F345" s="332"/>
      <c r="G345" s="312"/>
      <c r="H345" s="312"/>
      <c r="I345" s="312"/>
      <c r="J345" s="312"/>
      <c r="K345" s="312"/>
      <c r="L345" s="312"/>
      <c r="M345" s="312"/>
      <c r="N345" s="312"/>
      <c r="O345" s="312"/>
      <c r="P345" s="554" t="s">
        <v>1892</v>
      </c>
      <c r="Q345" s="292"/>
      <c r="R345" s="170"/>
      <c r="S345" s="389"/>
      <c r="T345" s="501" t="s">
        <v>2570</v>
      </c>
      <c r="U345" s="501" t="s">
        <v>2171</v>
      </c>
      <c r="W345" s="431" t="s">
        <v>1325</v>
      </c>
      <c r="X345" s="431" t="s">
        <v>3387</v>
      </c>
      <c r="AA345" s="26"/>
      <c r="AB345" s="26"/>
      <c r="AC345" s="931"/>
      <c r="AD345" s="512"/>
    </row>
    <row r="346" spans="6:30" ht="10.5" customHeight="1">
      <c r="F346" s="332"/>
      <c r="G346" s="312"/>
      <c r="H346" s="312"/>
      <c r="I346" s="312"/>
      <c r="J346" s="312"/>
      <c r="K346" s="312"/>
      <c r="L346" s="312"/>
      <c r="M346" s="312"/>
      <c r="N346" s="312"/>
      <c r="O346" s="312"/>
      <c r="P346" s="554" t="s">
        <v>1893</v>
      </c>
      <c r="Q346" s="292"/>
      <c r="R346" s="170"/>
      <c r="S346" s="389"/>
      <c r="T346" s="501" t="s">
        <v>2571</v>
      </c>
      <c r="U346" s="501" t="s">
        <v>2530</v>
      </c>
      <c r="W346" s="431" t="s">
        <v>1071</v>
      </c>
      <c r="X346" s="431" t="s">
        <v>3387</v>
      </c>
      <c r="AA346" s="26"/>
      <c r="AB346" s="26"/>
      <c r="AC346" s="931"/>
      <c r="AD346" s="512"/>
    </row>
    <row r="347" spans="6:30" ht="10.5" customHeight="1">
      <c r="F347" s="332"/>
      <c r="G347" s="312"/>
      <c r="H347" s="312"/>
      <c r="I347" s="312"/>
      <c r="J347" s="312"/>
      <c r="K347" s="312"/>
      <c r="L347" s="312"/>
      <c r="M347" s="312"/>
      <c r="N347" s="312"/>
      <c r="O347" s="312"/>
      <c r="P347" s="554" t="s">
        <v>1895</v>
      </c>
      <c r="Q347" s="292"/>
      <c r="R347" s="170"/>
      <c r="S347" s="389"/>
      <c r="T347" s="501" t="s">
        <v>1143</v>
      </c>
      <c r="U347" s="501" t="s">
        <v>1205</v>
      </c>
      <c r="W347" s="431" t="s">
        <v>1991</v>
      </c>
      <c r="X347" s="431" t="s">
        <v>3387</v>
      </c>
      <c r="AA347" s="26"/>
      <c r="AB347" s="26"/>
      <c r="AC347" s="931"/>
      <c r="AD347" s="512"/>
    </row>
    <row r="348" spans="6:30" ht="10.5" customHeight="1">
      <c r="F348" s="332"/>
      <c r="G348" s="312"/>
      <c r="H348" s="312"/>
      <c r="I348" s="312"/>
      <c r="J348" s="312"/>
      <c r="K348" s="312"/>
      <c r="L348" s="312"/>
      <c r="M348" s="312"/>
      <c r="N348" s="312"/>
      <c r="O348" s="312"/>
      <c r="P348" s="554" t="s">
        <v>1897</v>
      </c>
      <c r="Q348" s="292"/>
      <c r="R348" s="170"/>
      <c r="S348" s="389"/>
      <c r="T348" s="501" t="s">
        <v>2513</v>
      </c>
      <c r="U348" s="501" t="s">
        <v>199</v>
      </c>
      <c r="W348" s="431" t="s">
        <v>1887</v>
      </c>
      <c r="X348" s="431" t="s">
        <v>3387</v>
      </c>
      <c r="AA348" s="26"/>
      <c r="AB348" s="26"/>
      <c r="AC348" s="931"/>
      <c r="AD348" s="512"/>
    </row>
    <row r="349" spans="6:30" ht="10.5" customHeight="1">
      <c r="F349" s="332"/>
      <c r="G349" s="312"/>
      <c r="H349" s="312"/>
      <c r="I349" s="312"/>
      <c r="J349" s="312"/>
      <c r="K349" s="312"/>
      <c r="L349" s="312"/>
      <c r="M349" s="312"/>
      <c r="N349" s="312"/>
      <c r="O349" s="312"/>
      <c r="P349" s="554" t="s">
        <v>1931</v>
      </c>
      <c r="Q349" s="292"/>
      <c r="R349" s="170"/>
      <c r="S349" s="389"/>
      <c r="T349" s="501" t="s">
        <v>455</v>
      </c>
      <c r="U349" s="501" t="s">
        <v>1100</v>
      </c>
      <c r="W349" s="431" t="s">
        <v>2535</v>
      </c>
      <c r="X349" s="431" t="s">
        <v>3387</v>
      </c>
      <c r="AA349" s="26"/>
      <c r="AB349" s="26"/>
      <c r="AC349" s="931"/>
      <c r="AD349" s="512"/>
    </row>
    <row r="350" spans="6:30" ht="10.5" customHeight="1">
      <c r="F350" s="332"/>
      <c r="G350" s="312"/>
      <c r="H350" s="312"/>
      <c r="I350" s="312"/>
      <c r="J350" s="312"/>
      <c r="K350" s="312"/>
      <c r="L350" s="312"/>
      <c r="M350" s="312"/>
      <c r="N350" s="312"/>
      <c r="O350" s="312"/>
      <c r="P350" s="554" t="s">
        <v>1933</v>
      </c>
      <c r="Q350" s="292"/>
      <c r="R350" s="170"/>
      <c r="S350" s="389"/>
      <c r="T350" s="555" t="s">
        <v>4739</v>
      </c>
      <c r="U350" s="555" t="s">
        <v>663</v>
      </c>
      <c r="W350" s="431" t="s">
        <v>1154</v>
      </c>
      <c r="X350" s="431" t="s">
        <v>3387</v>
      </c>
      <c r="AA350" s="26"/>
      <c r="AB350" s="26"/>
      <c r="AC350" s="931"/>
      <c r="AD350" s="512"/>
    </row>
    <row r="351" spans="6:30" ht="10.5" customHeight="1">
      <c r="F351" s="332"/>
      <c r="G351" s="312"/>
      <c r="H351" s="312"/>
      <c r="I351" s="312"/>
      <c r="J351" s="312"/>
      <c r="K351" s="312"/>
      <c r="L351" s="312"/>
      <c r="M351" s="312"/>
      <c r="N351" s="312"/>
      <c r="O351" s="312"/>
      <c r="P351" s="554" t="s">
        <v>1934</v>
      </c>
      <c r="Q351" s="292"/>
      <c r="R351" s="170"/>
      <c r="S351" s="389"/>
      <c r="T351" s="555" t="s">
        <v>301</v>
      </c>
      <c r="U351" s="555" t="s">
        <v>1331</v>
      </c>
      <c r="W351" s="431" t="s">
        <v>2516</v>
      </c>
      <c r="X351" s="431" t="s">
        <v>3387</v>
      </c>
      <c r="AA351" s="26"/>
      <c r="AB351" s="26"/>
      <c r="AC351" s="932"/>
      <c r="AD351" s="512"/>
    </row>
    <row r="352" spans="6:30" ht="10.5" customHeight="1">
      <c r="F352" s="332"/>
      <c r="G352" s="312"/>
      <c r="H352" s="312"/>
      <c r="I352" s="312"/>
      <c r="J352" s="312"/>
      <c r="K352" s="312"/>
      <c r="L352" s="312"/>
      <c r="M352" s="312"/>
      <c r="N352" s="312"/>
      <c r="O352" s="312"/>
      <c r="P352" s="554" t="s">
        <v>1936</v>
      </c>
      <c r="Q352" s="292"/>
      <c r="R352" s="170"/>
      <c r="S352" s="389"/>
      <c r="T352" s="555" t="s">
        <v>1824</v>
      </c>
      <c r="U352" s="555" t="s">
        <v>877</v>
      </c>
      <c r="W352" s="431" t="s">
        <v>815</v>
      </c>
      <c r="X352" s="431" t="s">
        <v>3387</v>
      </c>
      <c r="AA352" s="26"/>
      <c r="AB352" s="26"/>
      <c r="AC352" s="932"/>
      <c r="AD352" s="512"/>
    </row>
    <row r="353" spans="6:30" ht="10.5" customHeight="1">
      <c r="F353" s="332"/>
      <c r="G353" s="312"/>
      <c r="H353" s="312"/>
      <c r="I353" s="312"/>
      <c r="J353" s="312"/>
      <c r="K353" s="312"/>
      <c r="L353" s="312"/>
      <c r="M353" s="312"/>
      <c r="N353" s="312"/>
      <c r="O353" s="312"/>
      <c r="P353" s="554" t="s">
        <v>1938</v>
      </c>
      <c r="Q353" s="292"/>
      <c r="R353" s="170"/>
      <c r="S353" s="389"/>
      <c r="T353" s="501" t="s">
        <v>1826</v>
      </c>
      <c r="U353" s="501" t="s">
        <v>1110</v>
      </c>
      <c r="W353" s="431" t="s">
        <v>2101</v>
      </c>
      <c r="X353" s="431" t="s">
        <v>3387</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1891</v>
      </c>
      <c r="U354" s="501" t="s">
        <v>2488</v>
      </c>
      <c r="W354" s="431" t="s">
        <v>938</v>
      </c>
      <c r="X354" s="431" t="s">
        <v>3387</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1894</v>
      </c>
      <c r="U355" s="555" t="s">
        <v>661</v>
      </c>
      <c r="W355" s="431" t="s">
        <v>2501</v>
      </c>
      <c r="X355" s="431" t="s">
        <v>3387</v>
      </c>
      <c r="AA355" s="26"/>
      <c r="AB355" s="26"/>
      <c r="AC355" s="931"/>
      <c r="AD355" s="512"/>
    </row>
    <row r="356" spans="6:30" ht="10.5" customHeight="1">
      <c r="F356" s="332"/>
      <c r="G356" s="312"/>
      <c r="H356" s="312"/>
      <c r="I356" s="312"/>
      <c r="J356" s="312"/>
      <c r="K356" s="312"/>
      <c r="L356" s="312"/>
      <c r="M356" s="312"/>
      <c r="N356" s="312"/>
      <c r="O356" s="312"/>
      <c r="P356" s="554" t="s">
        <v>1673</v>
      </c>
      <c r="Q356" s="292"/>
      <c r="R356" s="170"/>
      <c r="S356" s="389"/>
      <c r="T356" s="501" t="s">
        <v>1896</v>
      </c>
      <c r="U356" s="501" t="s">
        <v>1313</v>
      </c>
      <c r="W356" s="431" t="s">
        <v>1904</v>
      </c>
      <c r="X356" s="431" t="s">
        <v>3387</v>
      </c>
      <c r="AA356" s="26"/>
      <c r="AB356" s="26"/>
      <c r="AC356" s="932"/>
      <c r="AD356" s="512"/>
    </row>
    <row r="357" spans="6:30" ht="10.5" customHeight="1">
      <c r="F357" s="332"/>
      <c r="G357" s="312"/>
      <c r="H357" s="312"/>
      <c r="I357" s="312"/>
      <c r="J357" s="312"/>
      <c r="K357" s="312"/>
      <c r="L357" s="312"/>
      <c r="M357" s="312"/>
      <c r="N357" s="312"/>
      <c r="O357" s="312"/>
      <c r="P357" s="554" t="s">
        <v>1747</v>
      </c>
      <c r="Q357" s="292"/>
      <c r="R357" s="170"/>
      <c r="S357" s="389"/>
      <c r="T357" s="501" t="s">
        <v>2856</v>
      </c>
      <c r="U357" s="501" t="s">
        <v>199</v>
      </c>
      <c r="W357" s="431" t="s">
        <v>1412</v>
      </c>
      <c r="X357" s="431" t="s">
        <v>3387</v>
      </c>
      <c r="AA357" s="26"/>
      <c r="AB357" s="26"/>
      <c r="AC357" s="931"/>
      <c r="AD357" s="512"/>
    </row>
    <row r="358" spans="6:30" ht="10.5" customHeight="1">
      <c r="F358" s="332"/>
      <c r="G358" s="312"/>
      <c r="H358" s="312"/>
      <c r="I358" s="312"/>
      <c r="J358" s="312"/>
      <c r="K358" s="312"/>
      <c r="L358" s="312"/>
      <c r="M358" s="312"/>
      <c r="N358" s="312"/>
      <c r="O358" s="312"/>
      <c r="P358" s="554" t="s">
        <v>2277</v>
      </c>
      <c r="Q358" s="292"/>
      <c r="R358" s="170"/>
      <c r="S358" s="389"/>
      <c r="T358" s="501" t="s">
        <v>1898</v>
      </c>
      <c r="U358" s="501" t="s">
        <v>1316</v>
      </c>
      <c r="W358" s="431" t="s">
        <v>2257</v>
      </c>
      <c r="X358" s="431" t="s">
        <v>3387</v>
      </c>
      <c r="AA358" s="26"/>
      <c r="AB358" s="26"/>
      <c r="AC358" s="931"/>
      <c r="AD358" s="512"/>
    </row>
    <row r="359" spans="6:30" ht="10.5" customHeight="1">
      <c r="F359" s="332"/>
      <c r="G359" s="312"/>
      <c r="H359" s="312"/>
      <c r="I359" s="312"/>
      <c r="J359" s="312"/>
      <c r="K359" s="312"/>
      <c r="L359" s="312"/>
      <c r="M359" s="312"/>
      <c r="N359" s="312"/>
      <c r="O359" s="312"/>
      <c r="P359" s="554" t="s">
        <v>2279</v>
      </c>
      <c r="Q359" s="292"/>
      <c r="R359" s="170"/>
      <c r="S359" s="389"/>
      <c r="T359" s="501" t="s">
        <v>1932</v>
      </c>
      <c r="U359" s="501" t="s">
        <v>318</v>
      </c>
      <c r="W359" s="431" t="s">
        <v>2259</v>
      </c>
      <c r="X359" s="431" t="s">
        <v>3387</v>
      </c>
      <c r="AA359" s="26"/>
      <c r="AB359" s="26"/>
      <c r="AC359" s="931"/>
      <c r="AD359" s="512"/>
    </row>
    <row r="360" spans="6:30" ht="10.5" customHeight="1">
      <c r="F360" s="332"/>
      <c r="G360" s="312"/>
      <c r="H360" s="312"/>
      <c r="I360" s="312"/>
      <c r="J360" s="312"/>
      <c r="K360" s="312"/>
      <c r="L360" s="312"/>
      <c r="M360" s="312"/>
      <c r="N360" s="312"/>
      <c r="O360" s="312"/>
      <c r="P360" s="554" t="s">
        <v>991</v>
      </c>
      <c r="Q360" s="292"/>
      <c r="R360" s="170"/>
      <c r="S360" s="389"/>
      <c r="T360" s="501" t="s">
        <v>2857</v>
      </c>
      <c r="U360" s="501" t="s">
        <v>654</v>
      </c>
      <c r="W360" s="431" t="s">
        <v>1115</v>
      </c>
      <c r="X360" s="431" t="s">
        <v>3387</v>
      </c>
      <c r="AA360" s="26"/>
      <c r="AB360" s="26"/>
      <c r="AC360" s="931"/>
      <c r="AD360" s="512"/>
    </row>
    <row r="361" spans="6:30" ht="10.5" customHeight="1">
      <c r="F361" s="332"/>
      <c r="G361" s="312"/>
      <c r="H361" s="312"/>
      <c r="I361" s="312"/>
      <c r="J361" s="312"/>
      <c r="K361" s="312"/>
      <c r="L361" s="312"/>
      <c r="M361" s="312"/>
      <c r="N361" s="312"/>
      <c r="O361" s="312"/>
      <c r="P361" s="554" t="s">
        <v>676</v>
      </c>
      <c r="Q361" s="292"/>
      <c r="R361" s="170"/>
      <c r="S361" s="389"/>
      <c r="T361" s="501" t="s">
        <v>1935</v>
      </c>
      <c r="U361" s="501" t="s">
        <v>2585</v>
      </c>
      <c r="W361" s="431" t="s">
        <v>2124</v>
      </c>
      <c r="X361" s="431" t="s">
        <v>3387</v>
      </c>
      <c r="AA361" s="26"/>
      <c r="AB361" s="26"/>
      <c r="AC361" s="931"/>
      <c r="AD361" s="512"/>
    </row>
    <row r="362" spans="6:30" ht="10.5" customHeight="1">
      <c r="F362" s="332"/>
      <c r="G362" s="312"/>
      <c r="H362" s="312"/>
      <c r="I362" s="312"/>
      <c r="J362" s="312"/>
      <c r="K362" s="312"/>
      <c r="L362" s="312"/>
      <c r="M362" s="312"/>
      <c r="N362" s="312"/>
      <c r="O362" s="312"/>
      <c r="P362" s="554" t="s">
        <v>568</v>
      </c>
      <c r="Q362" s="292"/>
      <c r="R362" s="170"/>
      <c r="S362" s="389"/>
      <c r="T362" s="501" t="s">
        <v>1937</v>
      </c>
      <c r="U362" s="501" t="s">
        <v>1313</v>
      </c>
      <c r="W362" s="431" t="s">
        <v>2125</v>
      </c>
      <c r="X362" s="431" t="s">
        <v>3387</v>
      </c>
      <c r="AA362" s="26"/>
      <c r="AB362" s="26"/>
      <c r="AC362" s="931"/>
      <c r="AD362" s="512"/>
    </row>
    <row r="363" spans="6:30" ht="10.5" customHeight="1">
      <c r="F363" s="332"/>
      <c r="G363" s="312"/>
      <c r="H363" s="312"/>
      <c r="I363" s="312"/>
      <c r="J363" s="312"/>
      <c r="K363" s="312"/>
      <c r="L363" s="312"/>
      <c r="M363" s="312"/>
      <c r="N363" s="312"/>
      <c r="O363" s="312"/>
      <c r="P363" s="554" t="s">
        <v>672</v>
      </c>
      <c r="Q363" s="292"/>
      <c r="R363" s="170"/>
      <c r="S363" s="389"/>
      <c r="T363" s="501" t="s">
        <v>2243</v>
      </c>
      <c r="U363" s="501" t="s">
        <v>2527</v>
      </c>
      <c r="W363" s="431" t="s">
        <v>2126</v>
      </c>
      <c r="X363" s="431" t="s">
        <v>3387</v>
      </c>
      <c r="AA363" s="26"/>
      <c r="AB363" s="26"/>
      <c r="AC363" s="931"/>
      <c r="AD363" s="512"/>
    </row>
    <row r="364" spans="6:30" ht="10.5" customHeight="1">
      <c r="F364" s="332"/>
      <c r="G364" s="312"/>
      <c r="H364" s="312"/>
      <c r="I364" s="312"/>
      <c r="J364" s="312"/>
      <c r="K364" s="312"/>
      <c r="L364" s="312"/>
      <c r="M364" s="312"/>
      <c r="N364" s="312"/>
      <c r="O364" s="312"/>
      <c r="P364" s="554" t="s">
        <v>2386</v>
      </c>
      <c r="Q364" s="292"/>
      <c r="R364" s="170"/>
      <c r="S364" s="389"/>
      <c r="T364" s="501" t="s">
        <v>2572</v>
      </c>
      <c r="U364" s="501" t="s">
        <v>2171</v>
      </c>
      <c r="W364" s="431" t="s">
        <v>2331</v>
      </c>
      <c r="X364" s="431" t="s">
        <v>3387</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2573</v>
      </c>
      <c r="U365" s="501" t="s">
        <v>2485</v>
      </c>
      <c r="W365" s="431" t="s">
        <v>2333</v>
      </c>
      <c r="X365" s="431" t="s">
        <v>3387</v>
      </c>
      <c r="AA365" s="26"/>
      <c r="AB365" s="26"/>
      <c r="AC365" s="931"/>
      <c r="AD365" s="512"/>
    </row>
    <row r="366" spans="6:30" ht="10.5" customHeight="1">
      <c r="F366" s="332"/>
      <c r="G366" s="312"/>
      <c r="H366" s="312"/>
      <c r="I366" s="312"/>
      <c r="J366" s="312"/>
      <c r="K366" s="312"/>
      <c r="L366" s="312"/>
      <c r="M366" s="312"/>
      <c r="N366" s="312"/>
      <c r="O366" s="312"/>
      <c r="P366" s="554" t="s">
        <v>780</v>
      </c>
      <c r="Q366" s="292"/>
      <c r="R366" s="170"/>
      <c r="S366" s="389"/>
      <c r="T366" s="501" t="s">
        <v>420</v>
      </c>
      <c r="U366" s="501" t="s">
        <v>1205</v>
      </c>
      <c r="W366" s="431" t="s">
        <v>2260</v>
      </c>
      <c r="X366" s="431" t="s">
        <v>3387</v>
      </c>
      <c r="AA366" s="26"/>
      <c r="AB366" s="26"/>
      <c r="AC366" s="931"/>
      <c r="AD366" s="512"/>
    </row>
    <row r="367" spans="6:30" ht="10.5" customHeight="1">
      <c r="F367" s="332"/>
      <c r="G367" s="312"/>
      <c r="H367" s="312"/>
      <c r="I367" s="312"/>
      <c r="J367" s="312"/>
      <c r="K367" s="312"/>
      <c r="L367" s="312"/>
      <c r="M367" s="312"/>
      <c r="N367" s="312"/>
      <c r="O367" s="312"/>
      <c r="P367" s="554" t="s">
        <v>781</v>
      </c>
      <c r="Q367" s="292"/>
      <c r="R367" s="170"/>
      <c r="S367" s="389"/>
      <c r="T367" s="555" t="s">
        <v>227</v>
      </c>
      <c r="U367" s="555" t="s">
        <v>666</v>
      </c>
      <c r="W367" s="431" t="s">
        <v>1626</v>
      </c>
      <c r="X367" s="431" t="s">
        <v>3387</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2574</v>
      </c>
      <c r="U368" s="501" t="s">
        <v>2006</v>
      </c>
      <c r="W368" s="431" t="s">
        <v>1685</v>
      </c>
      <c r="X368" s="431" t="s">
        <v>3387</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1674</v>
      </c>
      <c r="U369" s="501" t="s">
        <v>2483</v>
      </c>
      <c r="W369" s="431" t="s">
        <v>1076</v>
      </c>
      <c r="X369" s="431" t="s">
        <v>3387</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2278</v>
      </c>
      <c r="U370" s="501" t="s">
        <v>656</v>
      </c>
      <c r="W370" s="431" t="s">
        <v>1692</v>
      </c>
      <c r="X370" s="431" t="s">
        <v>3387</v>
      </c>
      <c r="AA370" s="26"/>
      <c r="AB370" s="26"/>
      <c r="AC370" s="931"/>
      <c r="AD370" s="512"/>
    </row>
    <row r="371" spans="6:30" ht="10.5" customHeight="1">
      <c r="F371" s="332"/>
      <c r="G371" s="312"/>
      <c r="H371" s="312"/>
      <c r="I371" s="312"/>
      <c r="J371" s="312"/>
      <c r="K371" s="312"/>
      <c r="L371" s="312"/>
      <c r="M371" s="312"/>
      <c r="N371" s="312"/>
      <c r="O371" s="312"/>
      <c r="P371" s="554" t="s">
        <v>784</v>
      </c>
      <c r="Q371" s="292"/>
      <c r="R371" s="170"/>
      <c r="S371" s="389"/>
      <c r="T371" s="501" t="s">
        <v>2280</v>
      </c>
      <c r="U371" s="501" t="s">
        <v>1314</v>
      </c>
      <c r="W371" s="431" t="s">
        <v>1693</v>
      </c>
      <c r="X371" s="431" t="s">
        <v>3387</v>
      </c>
      <c r="AA371" s="26"/>
      <c r="AB371" s="26"/>
      <c r="AC371" s="931"/>
      <c r="AD371" s="512"/>
    </row>
    <row r="372" spans="6:30" ht="10.5" customHeight="1">
      <c r="F372" s="332"/>
      <c r="G372" s="312"/>
      <c r="H372" s="312"/>
      <c r="I372" s="312"/>
      <c r="J372" s="312"/>
      <c r="K372" s="312"/>
      <c r="L372" s="312"/>
      <c r="M372" s="312"/>
      <c r="N372" s="312"/>
      <c r="O372" s="312"/>
      <c r="P372" s="554" t="s">
        <v>785</v>
      </c>
      <c r="Q372" s="292"/>
      <c r="R372" s="170"/>
      <c r="S372" s="389"/>
      <c r="T372" s="501" t="s">
        <v>992</v>
      </c>
      <c r="U372" s="501" t="s">
        <v>1455</v>
      </c>
      <c r="W372" s="431" t="s">
        <v>1695</v>
      </c>
      <c r="X372" s="431" t="s">
        <v>3387</v>
      </c>
      <c r="AA372" s="26"/>
      <c r="AB372" s="26"/>
      <c r="AC372" s="931"/>
      <c r="AD372" s="512"/>
    </row>
    <row r="373" spans="6:30" ht="10.5" customHeight="1">
      <c r="F373" s="332"/>
      <c r="G373" s="312"/>
      <c r="H373" s="312"/>
      <c r="I373" s="312"/>
      <c r="J373" s="312"/>
      <c r="K373" s="312"/>
      <c r="L373" s="312"/>
      <c r="M373" s="312"/>
      <c r="N373" s="312"/>
      <c r="O373" s="312"/>
      <c r="P373" s="554" t="s">
        <v>787</v>
      </c>
      <c r="Q373" s="292"/>
      <c r="R373" s="170"/>
      <c r="S373" s="389"/>
      <c r="T373" s="501" t="s">
        <v>569</v>
      </c>
      <c r="U373" s="501" t="s">
        <v>1330</v>
      </c>
      <c r="W373" s="431" t="s">
        <v>1698</v>
      </c>
      <c r="X373" s="431" t="s">
        <v>3387</v>
      </c>
      <c r="AA373" s="26"/>
      <c r="AB373" s="26"/>
      <c r="AC373" s="931"/>
      <c r="AD373" s="512"/>
    </row>
    <row r="374" spans="6:30" ht="10.5" customHeight="1">
      <c r="F374" s="332"/>
      <c r="G374" s="312"/>
      <c r="H374" s="312"/>
      <c r="I374" s="312"/>
      <c r="J374" s="312"/>
      <c r="K374" s="312"/>
      <c r="L374" s="312"/>
      <c r="M374" s="312"/>
      <c r="N374" s="312"/>
      <c r="O374" s="312"/>
      <c r="P374" s="554" t="s">
        <v>1553</v>
      </c>
      <c r="Q374" s="292"/>
      <c r="R374" s="170"/>
      <c r="S374" s="389"/>
      <c r="T374" s="501" t="s">
        <v>673</v>
      </c>
      <c r="U374" s="501" t="s">
        <v>311</v>
      </c>
      <c r="W374" s="431" t="s">
        <v>1700</v>
      </c>
      <c r="X374" s="431" t="s">
        <v>3387</v>
      </c>
      <c r="AA374" s="26"/>
      <c r="AB374" s="26"/>
      <c r="AC374" s="931"/>
      <c r="AD374" s="512"/>
    </row>
    <row r="375" spans="6:30" ht="10.5" customHeight="1">
      <c r="F375" s="332"/>
      <c r="G375" s="312"/>
      <c r="H375" s="312"/>
      <c r="I375" s="312"/>
      <c r="J375" s="312"/>
      <c r="K375" s="312"/>
      <c r="L375" s="312"/>
      <c r="M375" s="312"/>
      <c r="N375" s="312"/>
      <c r="O375" s="312"/>
      <c r="P375" s="554" t="s">
        <v>1219</v>
      </c>
      <c r="Q375" s="292"/>
      <c r="R375" s="170"/>
      <c r="S375" s="389"/>
      <c r="T375" s="501" t="s">
        <v>2387</v>
      </c>
      <c r="U375" s="501" t="s">
        <v>157</v>
      </c>
      <c r="W375" s="431" t="s">
        <v>1701</v>
      </c>
      <c r="X375" s="431" t="s">
        <v>3387</v>
      </c>
      <c r="AA375" s="26"/>
      <c r="AB375" s="26"/>
      <c r="AC375" s="931"/>
      <c r="AD375" s="512"/>
    </row>
    <row r="376" spans="6:30" ht="10.5" customHeight="1">
      <c r="F376" s="332"/>
      <c r="G376" s="312"/>
      <c r="H376" s="312"/>
      <c r="I376" s="312"/>
      <c r="J376" s="312"/>
      <c r="K376" s="312"/>
      <c r="L376" s="312"/>
      <c r="M376" s="312"/>
      <c r="N376" s="312"/>
      <c r="O376" s="312"/>
      <c r="P376" s="554" t="s">
        <v>1221</v>
      </c>
      <c r="Q376" s="292"/>
      <c r="R376" s="170"/>
      <c r="S376" s="389"/>
      <c r="T376" s="501" t="s">
        <v>220</v>
      </c>
      <c r="U376" s="501" t="s">
        <v>2482</v>
      </c>
      <c r="W376" s="431" t="s">
        <v>1703</v>
      </c>
      <c r="X376" s="431" t="s">
        <v>3387</v>
      </c>
      <c r="AA376" s="26"/>
      <c r="AB376" s="26"/>
      <c r="AC376" s="931"/>
      <c r="AD376" s="512"/>
    </row>
    <row r="377" spans="6:30" ht="10.5" customHeight="1">
      <c r="F377" s="332"/>
      <c r="G377" s="312"/>
      <c r="H377" s="312"/>
      <c r="I377" s="312"/>
      <c r="J377" s="312"/>
      <c r="K377" s="312"/>
      <c r="L377" s="312"/>
      <c r="M377" s="312"/>
      <c r="N377" s="312"/>
      <c r="O377" s="312"/>
      <c r="P377" s="554" t="s">
        <v>897</v>
      </c>
      <c r="Q377" s="292"/>
      <c r="R377" s="170"/>
      <c r="S377" s="389"/>
      <c r="T377" s="501" t="s">
        <v>658</v>
      </c>
      <c r="U377" s="501" t="s">
        <v>1634</v>
      </c>
      <c r="W377" s="431" t="s">
        <v>1707</v>
      </c>
      <c r="X377" s="431" t="s">
        <v>3387</v>
      </c>
      <c r="AA377" s="26"/>
      <c r="AB377" s="26"/>
      <c r="AC377" s="931"/>
      <c r="AD377" s="512"/>
    </row>
    <row r="378" spans="6:30" ht="10.5" customHeight="1">
      <c r="F378" s="332"/>
      <c r="G378" s="312"/>
      <c r="H378" s="312"/>
      <c r="I378" s="312"/>
      <c r="J378" s="312"/>
      <c r="K378" s="312"/>
      <c r="L378" s="312"/>
      <c r="M378" s="312"/>
      <c r="N378" s="312"/>
      <c r="O378" s="312"/>
      <c r="P378" s="554" t="s">
        <v>2460</v>
      </c>
      <c r="Q378" s="292"/>
      <c r="R378" s="170"/>
      <c r="S378" s="389"/>
      <c r="T378" s="501" t="s">
        <v>2362</v>
      </c>
      <c r="U378" s="501" t="s">
        <v>2480</v>
      </c>
      <c r="W378" s="431" t="s">
        <v>1708</v>
      </c>
      <c r="X378" s="431" t="s">
        <v>3387</v>
      </c>
      <c r="AA378" s="26"/>
      <c r="AB378" s="26"/>
      <c r="AC378" s="931"/>
      <c r="AD378" s="512"/>
    </row>
    <row r="379" spans="6:30" ht="10.5" customHeight="1">
      <c r="F379" s="332"/>
      <c r="G379" s="312"/>
      <c r="H379" s="312"/>
      <c r="I379" s="312"/>
      <c r="J379" s="312"/>
      <c r="K379" s="312"/>
      <c r="L379" s="312"/>
      <c r="M379" s="312"/>
      <c r="N379" s="312"/>
      <c r="O379" s="312"/>
      <c r="P379" s="554" t="s">
        <v>3725</v>
      </c>
      <c r="Q379" s="292"/>
      <c r="R379" s="170"/>
      <c r="S379" s="389"/>
      <c r="T379" s="501" t="s">
        <v>232</v>
      </c>
      <c r="U379" s="501" t="s">
        <v>1519</v>
      </c>
      <c r="W379" s="431" t="s">
        <v>1709</v>
      </c>
      <c r="X379" s="431" t="s">
        <v>3387</v>
      </c>
      <c r="AA379" s="26"/>
      <c r="AB379" s="26"/>
      <c r="AC379" s="931"/>
      <c r="AD379" s="512"/>
    </row>
    <row r="380" spans="6:30" ht="10.5" customHeight="1">
      <c r="F380" s="332"/>
      <c r="G380" s="312"/>
      <c r="H380" s="312"/>
      <c r="I380" s="312"/>
      <c r="J380" s="312"/>
      <c r="K380" s="312"/>
      <c r="L380" s="312"/>
      <c r="M380" s="312"/>
      <c r="N380" s="312"/>
      <c r="O380" s="312"/>
      <c r="P380" s="554" t="s">
        <v>900</v>
      </c>
      <c r="Q380" s="292"/>
      <c r="R380" s="170"/>
      <c r="S380" s="389"/>
      <c r="T380" s="501" t="s">
        <v>1044</v>
      </c>
      <c r="U380" s="501" t="s">
        <v>1455</v>
      </c>
      <c r="W380" s="431" t="s">
        <v>106</v>
      </c>
      <c r="X380" s="431" t="s">
        <v>3387</v>
      </c>
      <c r="AA380" s="26"/>
      <c r="AB380" s="26"/>
      <c r="AC380" s="931"/>
      <c r="AD380" s="512"/>
    </row>
    <row r="381" spans="6:30" ht="10.5" customHeight="1">
      <c r="F381" s="332"/>
      <c r="G381" s="312"/>
      <c r="H381" s="312"/>
      <c r="I381" s="312"/>
      <c r="J381" s="312"/>
      <c r="K381" s="312"/>
      <c r="L381" s="312"/>
      <c r="M381" s="312"/>
      <c r="N381" s="312"/>
      <c r="O381" s="312"/>
      <c r="P381" s="554" t="s">
        <v>902</v>
      </c>
      <c r="Q381" s="292"/>
      <c r="R381" s="170"/>
      <c r="S381" s="389"/>
      <c r="T381" s="501" t="s">
        <v>234</v>
      </c>
      <c r="U381" s="501" t="s">
        <v>1090</v>
      </c>
      <c r="W381" s="431" t="s">
        <v>296</v>
      </c>
      <c r="X381" s="431" t="s">
        <v>3387</v>
      </c>
      <c r="AA381" s="26"/>
      <c r="AB381" s="26"/>
      <c r="AC381" s="931"/>
      <c r="AD381" s="512"/>
    </row>
    <row r="382" spans="6:30" ht="10.5" customHeight="1">
      <c r="F382" s="332"/>
      <c r="G382" s="312"/>
      <c r="H382" s="312"/>
      <c r="I382" s="312"/>
      <c r="J382" s="312"/>
      <c r="K382" s="312"/>
      <c r="L382" s="312"/>
      <c r="M382" s="312"/>
      <c r="N382" s="312"/>
      <c r="O382" s="312"/>
      <c r="P382" s="554" t="s">
        <v>904</v>
      </c>
      <c r="Q382" s="292"/>
      <c r="R382" s="170"/>
      <c r="S382" s="389"/>
      <c r="T382" s="501" t="s">
        <v>659</v>
      </c>
      <c r="U382" s="501" t="s">
        <v>318</v>
      </c>
      <c r="W382" s="431" t="s">
        <v>297</v>
      </c>
      <c r="X382" s="431" t="s">
        <v>3387</v>
      </c>
      <c r="AA382" s="26"/>
      <c r="AB382" s="26"/>
      <c r="AC382" s="931"/>
      <c r="AD382" s="512"/>
    </row>
    <row r="383" spans="6:30" ht="10.5" customHeight="1">
      <c r="F383" s="332"/>
      <c r="G383" s="312"/>
      <c r="H383" s="312"/>
      <c r="I383" s="312"/>
      <c r="J383" s="312"/>
      <c r="K383" s="312"/>
      <c r="L383" s="312"/>
      <c r="M383" s="312"/>
      <c r="N383" s="312"/>
      <c r="O383" s="312"/>
      <c r="P383" s="554" t="s">
        <v>906</v>
      </c>
      <c r="Q383" s="292"/>
      <c r="R383" s="170"/>
      <c r="S383" s="389"/>
      <c r="T383" s="501" t="s">
        <v>786</v>
      </c>
      <c r="U383" s="501" t="s">
        <v>659</v>
      </c>
      <c r="W383" s="431" t="s">
        <v>298</v>
      </c>
      <c r="X383" s="431" t="s">
        <v>3387</v>
      </c>
      <c r="AA383" s="26"/>
      <c r="AB383" s="26"/>
      <c r="AC383" s="931"/>
      <c r="AD383" s="512"/>
    </row>
    <row r="384" spans="6:30" ht="10.5" customHeight="1">
      <c r="F384" s="332"/>
      <c r="G384" s="312"/>
      <c r="H384" s="312"/>
      <c r="I384" s="312"/>
      <c r="J384" s="312"/>
      <c r="K384" s="312"/>
      <c r="L384" s="312"/>
      <c r="M384" s="312"/>
      <c r="N384" s="312"/>
      <c r="O384" s="312"/>
      <c r="P384" s="554" t="s">
        <v>908</v>
      </c>
      <c r="Q384" s="292"/>
      <c r="R384" s="170"/>
      <c r="S384" s="389"/>
      <c r="T384" s="501" t="s">
        <v>1218</v>
      </c>
      <c r="U384" s="501" t="s">
        <v>2488</v>
      </c>
      <c r="W384" s="431" t="s">
        <v>1540</v>
      </c>
      <c r="X384" s="431" t="s">
        <v>3387</v>
      </c>
      <c r="AA384" s="26"/>
      <c r="AB384" s="26"/>
      <c r="AC384" s="931"/>
      <c r="AD384" s="512"/>
    </row>
    <row r="385" spans="6:30" ht="10.5" customHeight="1">
      <c r="F385" s="332"/>
      <c r="G385" s="312"/>
      <c r="H385" s="312"/>
      <c r="I385" s="312"/>
      <c r="J385" s="312"/>
      <c r="K385" s="312"/>
      <c r="L385" s="312"/>
      <c r="M385" s="312"/>
      <c r="N385" s="312"/>
      <c r="O385" s="312"/>
      <c r="P385" s="554" t="s">
        <v>678</v>
      </c>
      <c r="Q385" s="292"/>
      <c r="R385" s="170"/>
      <c r="S385" s="389"/>
      <c r="T385" s="501" t="s">
        <v>1220</v>
      </c>
      <c r="U385" s="501" t="s">
        <v>311</v>
      </c>
      <c r="W385" s="431" t="s">
        <v>1541</v>
      </c>
      <c r="X385" s="431" t="s">
        <v>3387</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1222</v>
      </c>
      <c r="U386" s="501" t="s">
        <v>159</v>
      </c>
      <c r="W386" s="431" t="s">
        <v>1542</v>
      </c>
      <c r="X386" s="431" t="s">
        <v>3387</v>
      </c>
      <c r="AA386" s="26"/>
      <c r="AB386" s="26"/>
      <c r="AC386" s="931"/>
      <c r="AD386" s="512"/>
    </row>
    <row r="387" spans="6:30" ht="10.5" customHeight="1">
      <c r="F387" s="332"/>
      <c r="G387" s="312"/>
      <c r="H387" s="312"/>
      <c r="I387" s="312"/>
      <c r="J387" s="312"/>
      <c r="K387" s="312"/>
      <c r="L387" s="312"/>
      <c r="M387" s="312"/>
      <c r="N387" s="312"/>
      <c r="O387" s="312"/>
      <c r="P387" s="554" t="s">
        <v>960</v>
      </c>
      <c r="Q387" s="292"/>
      <c r="R387" s="170"/>
      <c r="S387" s="389"/>
      <c r="T387" s="501" t="s">
        <v>898</v>
      </c>
      <c r="U387" s="501" t="s">
        <v>2241</v>
      </c>
      <c r="W387" s="431" t="s">
        <v>1547</v>
      </c>
      <c r="X387" s="431" t="s">
        <v>3387</v>
      </c>
      <c r="AA387" s="26"/>
      <c r="AB387" s="26"/>
      <c r="AC387" s="931"/>
      <c r="AD387" s="512"/>
    </row>
    <row r="388" spans="6:30" ht="10.5" customHeight="1">
      <c r="F388" s="332"/>
      <c r="G388" s="312"/>
      <c r="H388" s="312"/>
      <c r="I388" s="312"/>
      <c r="J388" s="312"/>
      <c r="K388" s="312"/>
      <c r="L388" s="312"/>
      <c r="M388" s="312"/>
      <c r="N388" s="312"/>
      <c r="O388" s="312"/>
      <c r="P388" s="554" t="s">
        <v>1740</v>
      </c>
      <c r="Q388" s="292"/>
      <c r="R388" s="170"/>
      <c r="S388" s="389"/>
      <c r="T388" s="501" t="s">
        <v>2461</v>
      </c>
      <c r="U388" s="501" t="s">
        <v>1877</v>
      </c>
      <c r="W388" s="431" t="s">
        <v>2382</v>
      </c>
      <c r="X388" s="431" t="s">
        <v>3387</v>
      </c>
      <c r="AA388" s="26"/>
      <c r="AB388" s="26"/>
      <c r="AC388" s="931"/>
      <c r="AD388" s="512"/>
    </row>
    <row r="389" spans="6:30" ht="10.5" customHeight="1">
      <c r="F389" s="332"/>
      <c r="G389" s="312"/>
      <c r="H389" s="312"/>
      <c r="I389" s="312"/>
      <c r="J389" s="312"/>
      <c r="K389" s="312"/>
      <c r="L389" s="312"/>
      <c r="M389" s="312"/>
      <c r="N389" s="312"/>
      <c r="O389" s="312"/>
      <c r="P389" s="554" t="s">
        <v>997</v>
      </c>
      <c r="Q389" s="292"/>
      <c r="R389" s="170"/>
      <c r="S389" s="389"/>
      <c r="T389" s="501" t="s">
        <v>901</v>
      </c>
      <c r="U389" s="501" t="s">
        <v>2178</v>
      </c>
      <c r="W389" s="431" t="s">
        <v>833</v>
      </c>
      <c r="X389" s="431" t="s">
        <v>3387</v>
      </c>
      <c r="AA389" s="26"/>
      <c r="AB389" s="26"/>
      <c r="AC389" s="931"/>
      <c r="AD389" s="512"/>
    </row>
    <row r="390" spans="6:30" ht="10.5" customHeight="1">
      <c r="F390" s="332"/>
      <c r="G390" s="312"/>
      <c r="H390" s="312"/>
      <c r="I390" s="312"/>
      <c r="J390" s="312"/>
      <c r="K390" s="312"/>
      <c r="L390" s="312"/>
      <c r="M390" s="312"/>
      <c r="N390" s="312"/>
      <c r="O390" s="312"/>
      <c r="P390" s="554" t="s">
        <v>998</v>
      </c>
      <c r="Q390" s="292"/>
      <c r="R390" s="170"/>
      <c r="S390" s="389"/>
      <c r="T390" s="555" t="s">
        <v>903</v>
      </c>
      <c r="U390" s="555" t="s">
        <v>1102</v>
      </c>
      <c r="W390" s="431" t="s">
        <v>835</v>
      </c>
      <c r="X390" s="431" t="s">
        <v>3387</v>
      </c>
      <c r="AA390" s="26"/>
      <c r="AB390" s="26"/>
      <c r="AC390" s="931"/>
      <c r="AD390" s="512"/>
    </row>
    <row r="391" spans="6:30" ht="10.5" customHeight="1">
      <c r="F391" s="332"/>
      <c r="G391" s="312"/>
      <c r="H391" s="312"/>
      <c r="I391" s="312"/>
      <c r="J391" s="312"/>
      <c r="K391" s="312"/>
      <c r="L391" s="312"/>
      <c r="M391" s="312"/>
      <c r="N391" s="312"/>
      <c r="O391" s="312"/>
      <c r="P391" s="554" t="s">
        <v>1000</v>
      </c>
      <c r="Q391" s="292"/>
      <c r="R391" s="170"/>
      <c r="S391" s="389"/>
      <c r="T391" s="501" t="s">
        <v>905</v>
      </c>
      <c r="U391" s="501" t="s">
        <v>663</v>
      </c>
      <c r="AA391" s="26"/>
      <c r="AB391" s="26"/>
      <c r="AC391" s="932"/>
      <c r="AD391" s="512"/>
    </row>
    <row r="392" spans="6:30" ht="10.5" customHeight="1">
      <c r="F392" s="332"/>
      <c r="G392" s="312"/>
      <c r="H392" s="312"/>
      <c r="I392" s="312"/>
      <c r="J392" s="312"/>
      <c r="K392" s="312"/>
      <c r="L392" s="312"/>
      <c r="M392" s="312"/>
      <c r="N392" s="312"/>
      <c r="O392" s="312"/>
      <c r="P392" s="554" t="s">
        <v>979</v>
      </c>
      <c r="Q392" s="292"/>
      <c r="R392" s="170"/>
      <c r="S392" s="389"/>
      <c r="T392" s="501" t="s">
        <v>907</v>
      </c>
      <c r="U392" s="501" t="s">
        <v>311</v>
      </c>
      <c r="AA392" s="26"/>
      <c r="AB392" s="26"/>
      <c r="AC392" s="931"/>
      <c r="AD392" s="512"/>
    </row>
    <row r="393" spans="6:30" ht="10.5" customHeight="1">
      <c r="F393" s="332"/>
      <c r="G393" s="312"/>
      <c r="H393" s="312"/>
      <c r="I393" s="312"/>
      <c r="J393" s="312"/>
      <c r="K393" s="312"/>
      <c r="L393" s="312"/>
      <c r="M393" s="312"/>
      <c r="N393" s="312"/>
      <c r="O393" s="312"/>
      <c r="P393" s="554" t="s">
        <v>981</v>
      </c>
      <c r="Q393" s="292"/>
      <c r="R393" s="170"/>
      <c r="S393" s="389"/>
      <c r="T393" s="501" t="s">
        <v>909</v>
      </c>
      <c r="U393" s="501" t="s">
        <v>1328</v>
      </c>
      <c r="AA393" s="26"/>
      <c r="AB393" s="26"/>
      <c r="AC393" s="931"/>
      <c r="AD393" s="512"/>
    </row>
    <row r="394" spans="6:30" ht="10.5" customHeight="1">
      <c r="F394" s="332"/>
      <c r="G394" s="312"/>
      <c r="H394" s="312"/>
      <c r="I394" s="312"/>
      <c r="J394" s="312"/>
      <c r="K394" s="312"/>
      <c r="L394" s="312"/>
      <c r="M394" s="312"/>
      <c r="N394" s="312"/>
      <c r="O394" s="312"/>
      <c r="P394" s="554" t="s">
        <v>983</v>
      </c>
      <c r="Q394" s="292"/>
      <c r="R394" s="170"/>
      <c r="S394" s="389"/>
      <c r="T394" s="555" t="s">
        <v>679</v>
      </c>
      <c r="U394" s="555" t="s">
        <v>2182</v>
      </c>
      <c r="AA394" s="26"/>
      <c r="AB394" s="26"/>
      <c r="AC394" s="931"/>
      <c r="AD394" s="512"/>
    </row>
    <row r="395" spans="6:30" ht="10.5" customHeight="1">
      <c r="F395" s="332"/>
      <c r="G395" s="312"/>
      <c r="H395" s="312"/>
      <c r="I395" s="312"/>
      <c r="J395" s="312"/>
      <c r="K395" s="312"/>
      <c r="L395" s="312"/>
      <c r="M395" s="312"/>
      <c r="N395" s="312"/>
      <c r="O395" s="312"/>
      <c r="P395" s="554" t="s">
        <v>985</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572</v>
      </c>
      <c r="Q396" s="292"/>
      <c r="R396" s="170"/>
      <c r="S396" s="389"/>
      <c r="T396" s="501" t="s">
        <v>961</v>
      </c>
      <c r="U396" s="501" t="s">
        <v>2007</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666</v>
      </c>
      <c r="U397" s="501" t="s">
        <v>2398</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999</v>
      </c>
      <c r="U398" s="501" t="s">
        <v>1209</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1001</v>
      </c>
      <c r="U399" s="501" t="s">
        <v>2530</v>
      </c>
      <c r="AA399" s="26"/>
      <c r="AB399" s="26"/>
      <c r="AC399" s="931"/>
      <c r="AD399" s="512"/>
    </row>
    <row r="400" spans="6:30" ht="10.5" customHeight="1">
      <c r="F400" s="332"/>
      <c r="G400" s="312"/>
      <c r="H400" s="312"/>
      <c r="I400" s="312"/>
      <c r="J400" s="312"/>
      <c r="K400" s="312"/>
      <c r="L400" s="312"/>
      <c r="M400" s="312"/>
      <c r="N400" s="312"/>
      <c r="O400" s="312"/>
      <c r="P400" s="554" t="s">
        <v>595</v>
      </c>
      <c r="Q400" s="292"/>
      <c r="R400" s="170"/>
      <c r="S400" s="389"/>
      <c r="T400" s="555" t="s">
        <v>980</v>
      </c>
      <c r="U400" s="555" t="s">
        <v>428</v>
      </c>
      <c r="AA400" s="26"/>
      <c r="AB400" s="26"/>
      <c r="AC400" s="931"/>
      <c r="AD400" s="512"/>
    </row>
    <row r="401" spans="6:30" ht="10.5" customHeight="1">
      <c r="F401" s="332"/>
      <c r="G401" s="312"/>
      <c r="H401" s="312"/>
      <c r="I401" s="312"/>
      <c r="J401" s="312"/>
      <c r="K401" s="312"/>
      <c r="L401" s="312"/>
      <c r="M401" s="312"/>
      <c r="N401" s="312"/>
      <c r="O401" s="312"/>
      <c r="P401" s="554" t="s">
        <v>1415</v>
      </c>
      <c r="Q401" s="292"/>
      <c r="R401" s="170"/>
      <c r="S401" s="389"/>
      <c r="T401" s="501" t="s">
        <v>982</v>
      </c>
      <c r="U401" s="501" t="s">
        <v>121</v>
      </c>
      <c r="AA401" s="26"/>
      <c r="AB401" s="26"/>
      <c r="AC401" s="932"/>
      <c r="AD401" s="512"/>
    </row>
    <row r="402" spans="6:30" ht="10.5" customHeight="1">
      <c r="F402" s="332"/>
      <c r="G402" s="312"/>
      <c r="H402" s="312"/>
      <c r="I402" s="312"/>
      <c r="J402" s="312"/>
      <c r="K402" s="312"/>
      <c r="L402" s="312"/>
      <c r="M402" s="312"/>
      <c r="N402" s="312"/>
      <c r="O402" s="312"/>
      <c r="P402" s="554" t="s">
        <v>1593</v>
      </c>
      <c r="Q402" s="292"/>
      <c r="R402" s="170"/>
      <c r="S402" s="389"/>
      <c r="T402" s="501" t="s">
        <v>984</v>
      </c>
      <c r="U402" s="501" t="s">
        <v>670</v>
      </c>
      <c r="AA402" s="26"/>
      <c r="AB402" s="26"/>
      <c r="AC402" s="931"/>
      <c r="AD402" s="512"/>
    </row>
    <row r="403" spans="6:30" ht="10.5" customHeight="1">
      <c r="F403" s="332"/>
      <c r="G403" s="312"/>
      <c r="H403" s="312"/>
      <c r="I403" s="312"/>
      <c r="J403" s="312"/>
      <c r="K403" s="312"/>
      <c r="L403" s="312"/>
      <c r="M403" s="312"/>
      <c r="N403" s="312"/>
      <c r="O403" s="312"/>
      <c r="P403" s="554" t="s">
        <v>1007</v>
      </c>
      <c r="Q403" s="292"/>
      <c r="R403" s="170"/>
      <c r="S403" s="389"/>
      <c r="T403" s="501" t="s">
        <v>986</v>
      </c>
      <c r="U403" s="501" t="s">
        <v>1877</v>
      </c>
      <c r="AA403" s="26"/>
      <c r="AB403" s="26"/>
      <c r="AC403" s="931"/>
      <c r="AD403" s="512"/>
    </row>
    <row r="404" spans="6:30" ht="10.5" customHeight="1">
      <c r="F404" s="332"/>
      <c r="G404" s="312"/>
      <c r="H404" s="312"/>
      <c r="I404" s="312"/>
      <c r="J404" s="312"/>
      <c r="K404" s="312"/>
      <c r="L404" s="312"/>
      <c r="M404" s="312"/>
      <c r="N404" s="312"/>
      <c r="O404" s="312"/>
      <c r="P404" s="554" t="s">
        <v>1009</v>
      </c>
      <c r="Q404" s="292"/>
      <c r="R404" s="170"/>
      <c r="S404" s="389"/>
      <c r="T404" s="501" t="s">
        <v>1045</v>
      </c>
      <c r="U404" s="501" t="s">
        <v>627</v>
      </c>
      <c r="AA404" s="26"/>
      <c r="AB404" s="26"/>
      <c r="AC404" s="931"/>
      <c r="AD404" s="512"/>
    </row>
    <row r="405" spans="6:30" ht="10.5" customHeight="1">
      <c r="F405" s="332"/>
      <c r="G405" s="312"/>
      <c r="H405" s="312"/>
      <c r="I405" s="312"/>
      <c r="J405" s="312"/>
      <c r="K405" s="312"/>
      <c r="L405" s="312"/>
      <c r="M405" s="312"/>
      <c r="N405" s="312"/>
      <c r="O405" s="312"/>
      <c r="P405" s="554" t="s">
        <v>1011</v>
      </c>
      <c r="Q405" s="292"/>
      <c r="R405" s="170"/>
      <c r="S405" s="389"/>
      <c r="T405" s="501" t="s">
        <v>573</v>
      </c>
      <c r="U405" s="501" t="s">
        <v>2171</v>
      </c>
      <c r="AA405" s="26"/>
      <c r="AB405" s="26"/>
      <c r="AC405" s="931"/>
      <c r="AD405" s="512"/>
    </row>
    <row r="406" spans="6:30" ht="10.5" customHeight="1">
      <c r="F406" s="332"/>
      <c r="G406" s="312"/>
      <c r="H406" s="312"/>
      <c r="I406" s="312"/>
      <c r="J406" s="312"/>
      <c r="K406" s="312"/>
      <c r="L406" s="312"/>
      <c r="M406" s="312"/>
      <c r="N406" s="312"/>
      <c r="O406" s="312"/>
      <c r="P406" s="554" t="s">
        <v>1675</v>
      </c>
      <c r="Q406" s="292"/>
      <c r="R406" s="170"/>
      <c r="S406" s="389"/>
      <c r="T406" s="501" t="s">
        <v>372</v>
      </c>
      <c r="U406" s="501" t="s">
        <v>2527</v>
      </c>
      <c r="AA406" s="26"/>
      <c r="AB406" s="26"/>
      <c r="AC406" s="931"/>
      <c r="AD406" s="512"/>
    </row>
    <row r="407" spans="6:30" ht="10.5" customHeight="1">
      <c r="F407" s="332"/>
      <c r="G407" s="312"/>
      <c r="H407" s="312"/>
      <c r="I407" s="312"/>
      <c r="J407" s="312"/>
      <c r="K407" s="312"/>
      <c r="L407" s="312"/>
      <c r="M407" s="312"/>
      <c r="N407" s="312"/>
      <c r="O407" s="312"/>
      <c r="P407" s="554" t="s">
        <v>1676</v>
      </c>
      <c r="Q407" s="292"/>
      <c r="R407" s="170"/>
      <c r="S407" s="389"/>
      <c r="T407" s="501" t="s">
        <v>374</v>
      </c>
      <c r="U407" s="501" t="s">
        <v>1455</v>
      </c>
      <c r="AA407" s="26"/>
      <c r="AB407" s="26"/>
      <c r="AC407" s="931"/>
      <c r="AD407" s="512"/>
    </row>
    <row r="408" spans="6:30" ht="10.5" customHeight="1">
      <c r="F408" s="332"/>
      <c r="G408" s="312"/>
      <c r="H408" s="312"/>
      <c r="I408" s="312"/>
      <c r="J408" s="312"/>
      <c r="K408" s="312"/>
      <c r="L408" s="312"/>
      <c r="M408" s="312"/>
      <c r="N408" s="312"/>
      <c r="O408" s="312"/>
      <c r="P408" s="554" t="s">
        <v>1677</v>
      </c>
      <c r="Q408" s="292"/>
      <c r="R408" s="170"/>
      <c r="S408" s="389"/>
      <c r="T408" s="501" t="s">
        <v>1046</v>
      </c>
      <c r="U408" s="501" t="s">
        <v>1910</v>
      </c>
      <c r="AA408" s="26"/>
      <c r="AB408" s="26"/>
      <c r="AC408" s="931"/>
      <c r="AD408" s="512"/>
    </row>
    <row r="409" spans="6:30" ht="10.5" customHeight="1">
      <c r="F409" s="332"/>
      <c r="G409" s="312"/>
      <c r="H409" s="312"/>
      <c r="I409" s="312"/>
      <c r="J409" s="312"/>
      <c r="K409" s="312"/>
      <c r="L409" s="312"/>
      <c r="M409" s="312"/>
      <c r="N409" s="312"/>
      <c r="O409" s="312"/>
      <c r="P409" s="554" t="s">
        <v>862</v>
      </c>
      <c r="Q409" s="292"/>
      <c r="R409" s="170"/>
      <c r="S409" s="389"/>
      <c r="T409" s="501" t="s">
        <v>376</v>
      </c>
      <c r="U409" s="501" t="s">
        <v>876</v>
      </c>
      <c r="AA409" s="26"/>
      <c r="AB409" s="26"/>
      <c r="AC409" s="931"/>
      <c r="AD409" s="512"/>
    </row>
    <row r="410" spans="6:30" ht="10.5" customHeight="1">
      <c r="F410" s="332"/>
      <c r="G410" s="312"/>
      <c r="H410" s="312"/>
      <c r="I410" s="312"/>
      <c r="J410" s="312"/>
      <c r="K410" s="312"/>
      <c r="L410" s="312"/>
      <c r="M410" s="312"/>
      <c r="N410" s="312"/>
      <c r="O410" s="312"/>
      <c r="P410" s="554" t="s">
        <v>864</v>
      </c>
      <c r="Q410" s="292"/>
      <c r="R410" s="170"/>
      <c r="S410" s="389"/>
      <c r="T410" s="501" t="s">
        <v>1416</v>
      </c>
      <c r="U410" s="501" t="s">
        <v>2243</v>
      </c>
      <c r="AA410" s="26"/>
      <c r="AB410" s="26"/>
      <c r="AC410" s="931"/>
      <c r="AD410" s="512"/>
    </row>
    <row r="411" spans="6:30" ht="10.5" customHeight="1">
      <c r="F411" s="332"/>
      <c r="G411" s="312"/>
      <c r="H411" s="312"/>
      <c r="I411" s="312"/>
      <c r="J411" s="312"/>
      <c r="K411" s="312"/>
      <c r="L411" s="312"/>
      <c r="M411" s="312"/>
      <c r="N411" s="312"/>
      <c r="O411" s="312"/>
      <c r="P411" s="554" t="s">
        <v>866</v>
      </c>
      <c r="Q411" s="292"/>
      <c r="R411" s="170"/>
      <c r="S411" s="389"/>
      <c r="T411" s="501" t="s">
        <v>1594</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1008</v>
      </c>
      <c r="U412" s="501" t="s">
        <v>315</v>
      </c>
      <c r="AA412" s="26"/>
      <c r="AB412" s="26"/>
      <c r="AC412" s="931"/>
      <c r="AD412" s="512"/>
    </row>
    <row r="413" spans="6:30" ht="10.5" customHeight="1">
      <c r="F413" s="332"/>
      <c r="G413" s="312"/>
      <c r="H413" s="312"/>
      <c r="I413" s="312"/>
      <c r="J413" s="312"/>
      <c r="K413" s="312"/>
      <c r="L413" s="312"/>
      <c r="M413" s="312"/>
      <c r="N413" s="312"/>
      <c r="O413" s="312"/>
      <c r="P413" s="554" t="s">
        <v>1721</v>
      </c>
      <c r="Q413" s="292"/>
      <c r="R413" s="170"/>
      <c r="S413" s="389"/>
      <c r="T413" s="555" t="s">
        <v>1010</v>
      </c>
      <c r="U413" s="555" t="s">
        <v>319</v>
      </c>
      <c r="AA413" s="26"/>
      <c r="AB413" s="26"/>
      <c r="AC413" s="931"/>
      <c r="AD413" s="512"/>
    </row>
    <row r="414" spans="6:30" ht="10.5" customHeight="1">
      <c r="F414" s="332"/>
      <c r="G414" s="312"/>
      <c r="H414" s="312"/>
      <c r="I414" s="312"/>
      <c r="J414" s="312"/>
      <c r="K414" s="312"/>
      <c r="L414" s="312"/>
      <c r="M414" s="312"/>
      <c r="N414" s="312"/>
      <c r="O414" s="312"/>
      <c r="P414" s="554" t="s">
        <v>2286</v>
      </c>
      <c r="Q414" s="292"/>
      <c r="R414" s="170"/>
      <c r="S414" s="389"/>
      <c r="T414" s="501" t="s">
        <v>1047</v>
      </c>
      <c r="U414" s="501" t="s">
        <v>2004</v>
      </c>
      <c r="AA414" s="26"/>
      <c r="AB414" s="26"/>
      <c r="AC414" s="932"/>
      <c r="AD414" s="512"/>
    </row>
    <row r="415" spans="6:30" ht="10.5" customHeight="1">
      <c r="F415" s="332"/>
      <c r="G415" s="312"/>
      <c r="H415" s="312"/>
      <c r="I415" s="312"/>
      <c r="J415" s="312"/>
      <c r="K415" s="312"/>
      <c r="L415" s="312"/>
      <c r="M415" s="312"/>
      <c r="N415" s="312"/>
      <c r="O415" s="312"/>
      <c r="P415" s="554" t="s">
        <v>2002</v>
      </c>
      <c r="Q415" s="292"/>
      <c r="R415" s="170"/>
      <c r="S415" s="389"/>
      <c r="T415" s="501" t="s">
        <v>1012</v>
      </c>
      <c r="U415" s="501" t="s">
        <v>1205</v>
      </c>
      <c r="AA415" s="26"/>
      <c r="AB415" s="26"/>
      <c r="AC415" s="931"/>
      <c r="AD415" s="512"/>
    </row>
    <row r="416" spans="6:30" ht="10.5" customHeight="1">
      <c r="F416" s="332"/>
      <c r="G416" s="312"/>
      <c r="H416" s="312"/>
      <c r="I416" s="312"/>
      <c r="J416" s="312"/>
      <c r="K416" s="312"/>
      <c r="L416" s="312"/>
      <c r="M416" s="312"/>
      <c r="N416" s="312"/>
      <c r="O416" s="312"/>
      <c r="P416" s="554" t="s">
        <v>1031</v>
      </c>
      <c r="Q416" s="292"/>
      <c r="R416" s="170"/>
      <c r="S416" s="389"/>
      <c r="T416" s="501" t="s">
        <v>314</v>
      </c>
      <c r="U416" s="501" t="s">
        <v>2530</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2858</v>
      </c>
      <c r="U417" s="501" t="s">
        <v>1782</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1678</v>
      </c>
      <c r="U418" s="501" t="s">
        <v>2527</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863</v>
      </c>
      <c r="U419" s="501" t="s">
        <v>106</v>
      </c>
      <c r="AA419" s="26"/>
      <c r="AB419" s="26"/>
      <c r="AC419" s="931"/>
      <c r="AD419" s="512"/>
    </row>
    <row r="420" spans="6:30" ht="10.5" customHeight="1">
      <c r="F420" s="332"/>
      <c r="G420" s="312"/>
      <c r="H420" s="312"/>
      <c r="I420" s="312"/>
      <c r="J420" s="312"/>
      <c r="K420" s="312"/>
      <c r="L420" s="312"/>
      <c r="M420" s="312"/>
      <c r="N420" s="312"/>
      <c r="O420" s="312"/>
      <c r="P420" s="554" t="s">
        <v>1942</v>
      </c>
      <c r="Q420" s="292"/>
      <c r="R420" s="170"/>
      <c r="S420" s="389"/>
      <c r="T420" s="501" t="s">
        <v>865</v>
      </c>
      <c r="U420" s="501" t="s">
        <v>316</v>
      </c>
      <c r="AA420" s="26"/>
      <c r="AB420" s="26"/>
      <c r="AC420" s="931"/>
      <c r="AD420" s="512"/>
    </row>
    <row r="421" spans="6:30" ht="10.5" customHeight="1">
      <c r="F421" s="332"/>
      <c r="G421" s="312"/>
      <c r="H421" s="312"/>
      <c r="I421" s="312"/>
      <c r="J421" s="312"/>
      <c r="K421" s="312"/>
      <c r="L421" s="312"/>
      <c r="M421" s="312"/>
      <c r="N421" s="312"/>
      <c r="O421" s="312"/>
      <c r="P421" s="554" t="s">
        <v>490</v>
      </c>
      <c r="Q421" s="292"/>
      <c r="R421" s="170"/>
      <c r="S421" s="389"/>
      <c r="T421" s="501" t="s">
        <v>1739</v>
      </c>
      <c r="U421" s="501" t="s">
        <v>1098</v>
      </c>
      <c r="AA421" s="26"/>
      <c r="AB421" s="26"/>
      <c r="AC421" s="931"/>
      <c r="AD421" s="512"/>
    </row>
    <row r="422" spans="6:30" ht="10.5" customHeight="1">
      <c r="F422" s="332"/>
      <c r="G422" s="312"/>
      <c r="H422" s="312"/>
      <c r="I422" s="312"/>
      <c r="J422" s="312"/>
      <c r="K422" s="312"/>
      <c r="L422" s="312"/>
      <c r="M422" s="312"/>
      <c r="N422" s="312"/>
      <c r="O422" s="312"/>
      <c r="P422" s="554" t="s">
        <v>2160</v>
      </c>
      <c r="Q422" s="292"/>
      <c r="R422" s="170"/>
      <c r="S422" s="389"/>
      <c r="T422" s="501" t="s">
        <v>630</v>
      </c>
      <c r="U422" s="501" t="s">
        <v>326</v>
      </c>
      <c r="AA422" s="26"/>
      <c r="AB422" s="26"/>
      <c r="AC422" s="931"/>
      <c r="AD422" s="512"/>
    </row>
    <row r="423" spans="6:30" ht="10.5" customHeight="1">
      <c r="F423" s="332"/>
      <c r="G423" s="312"/>
      <c r="H423" s="312"/>
      <c r="I423" s="312"/>
      <c r="J423" s="312"/>
      <c r="K423" s="312"/>
      <c r="L423" s="312"/>
      <c r="M423" s="312"/>
      <c r="N423" s="312"/>
      <c r="O423" s="312"/>
      <c r="P423" s="554" t="s">
        <v>1644</v>
      </c>
      <c r="Q423" s="292"/>
      <c r="R423" s="170"/>
      <c r="S423" s="389"/>
      <c r="T423" s="501" t="s">
        <v>1722</v>
      </c>
      <c r="U423" s="501" t="s">
        <v>114</v>
      </c>
      <c r="AA423" s="26"/>
      <c r="AB423" s="26"/>
      <c r="AC423" s="931"/>
      <c r="AD423" s="512"/>
    </row>
    <row r="424" spans="6:30" ht="10.5" customHeight="1">
      <c r="F424" s="332"/>
      <c r="G424" s="312"/>
      <c r="H424" s="312"/>
      <c r="I424" s="312"/>
      <c r="J424" s="312"/>
      <c r="K424" s="312"/>
      <c r="L424" s="312"/>
      <c r="M424" s="312"/>
      <c r="N424" s="312"/>
      <c r="O424" s="312"/>
      <c r="P424" s="554" t="s">
        <v>1646</v>
      </c>
      <c r="Q424" s="292"/>
      <c r="R424" s="170"/>
      <c r="S424" s="389"/>
      <c r="T424" s="501" t="s">
        <v>2859</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2003</v>
      </c>
      <c r="U425" s="501" t="s">
        <v>1108</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2860</v>
      </c>
      <c r="U426" s="501" t="s">
        <v>319</v>
      </c>
      <c r="AA426" s="26"/>
      <c r="AB426" s="26"/>
      <c r="AC426" s="931"/>
      <c r="AD426" s="512"/>
    </row>
    <row r="427" spans="6:30" ht="10.5" customHeight="1">
      <c r="F427" s="332"/>
      <c r="G427" s="312"/>
      <c r="H427" s="312"/>
      <c r="I427" s="312"/>
      <c r="J427" s="312"/>
      <c r="K427" s="312"/>
      <c r="L427" s="312"/>
      <c r="M427" s="312"/>
      <c r="N427" s="312"/>
      <c r="O427" s="312"/>
      <c r="P427" s="554" t="s">
        <v>941</v>
      </c>
      <c r="Q427" s="292"/>
      <c r="R427" s="170"/>
      <c r="S427" s="389"/>
      <c r="T427" s="555" t="s">
        <v>1032</v>
      </c>
      <c r="U427" s="555" t="s">
        <v>1910</v>
      </c>
      <c r="AA427" s="26"/>
      <c r="AB427" s="26"/>
      <c r="AC427" s="931"/>
      <c r="AD427" s="512"/>
    </row>
    <row r="428" spans="6:30" ht="10.5" customHeight="1">
      <c r="F428" s="332"/>
      <c r="G428" s="312"/>
      <c r="H428" s="312"/>
      <c r="I428" s="312"/>
      <c r="J428" s="312"/>
      <c r="K428" s="312"/>
      <c r="L428" s="312"/>
      <c r="M428" s="312"/>
      <c r="N428" s="312"/>
      <c r="O428" s="312"/>
      <c r="P428" s="554" t="s">
        <v>2320</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2321</v>
      </c>
      <c r="Q429" s="292"/>
      <c r="R429" s="170"/>
      <c r="S429" s="389"/>
      <c r="T429" s="555" t="s">
        <v>1048</v>
      </c>
      <c r="U429" s="555" t="s">
        <v>1095</v>
      </c>
      <c r="AA429" s="26"/>
      <c r="AB429" s="26"/>
      <c r="AC429" s="931"/>
      <c r="AD429" s="512"/>
    </row>
    <row r="430" spans="6:30" ht="10.5" customHeight="1">
      <c r="F430" s="332"/>
      <c r="G430" s="312"/>
      <c r="H430" s="312"/>
      <c r="I430" s="312"/>
      <c r="J430" s="312"/>
      <c r="K430" s="312"/>
      <c r="L430" s="312"/>
      <c r="M430" s="312"/>
      <c r="N430" s="312"/>
      <c r="O430" s="312"/>
      <c r="P430" s="554" t="s">
        <v>2302</v>
      </c>
      <c r="Q430" s="292"/>
      <c r="R430" s="170"/>
      <c r="S430" s="389"/>
      <c r="T430" s="501" t="s">
        <v>415</v>
      </c>
      <c r="U430" s="501" t="s">
        <v>2167</v>
      </c>
      <c r="AA430" s="26"/>
      <c r="AB430" s="26"/>
      <c r="AC430" s="932"/>
      <c r="AD430" s="512"/>
    </row>
    <row r="431" spans="6:30" ht="10.5" customHeight="1">
      <c r="F431" s="332"/>
      <c r="G431" s="312"/>
      <c r="H431" s="312"/>
      <c r="I431" s="312"/>
      <c r="J431" s="312"/>
      <c r="K431" s="312"/>
      <c r="L431" s="312"/>
      <c r="M431" s="312"/>
      <c r="N431" s="312"/>
      <c r="O431" s="312"/>
      <c r="P431" s="554" t="s">
        <v>2303</v>
      </c>
      <c r="Q431" s="292"/>
      <c r="R431" s="170"/>
      <c r="S431" s="389"/>
      <c r="T431" s="555" t="s">
        <v>1943</v>
      </c>
      <c r="U431" s="555" t="s">
        <v>1455</v>
      </c>
      <c r="AA431" s="26"/>
      <c r="AB431" s="26"/>
      <c r="AC431" s="931"/>
      <c r="AD431" s="512"/>
    </row>
    <row r="432" spans="6:30" ht="10.5" customHeight="1">
      <c r="F432" s="332"/>
      <c r="G432" s="312"/>
      <c r="H432" s="312"/>
      <c r="I432" s="312"/>
      <c r="J432" s="312"/>
      <c r="K432" s="312"/>
      <c r="L432" s="312"/>
      <c r="M432" s="312"/>
      <c r="N432" s="312"/>
      <c r="O432" s="312"/>
      <c r="P432" s="554" t="s">
        <v>2305</v>
      </c>
      <c r="Q432" s="292"/>
      <c r="R432" s="170"/>
      <c r="S432" s="389"/>
      <c r="T432" s="501" t="s">
        <v>491</v>
      </c>
      <c r="U432" s="501" t="s">
        <v>2591</v>
      </c>
      <c r="AA432" s="26"/>
      <c r="AB432" s="26"/>
      <c r="AC432" s="932"/>
      <c r="AD432" s="512"/>
    </row>
    <row r="433" spans="6:30" ht="10.5" customHeight="1">
      <c r="F433" s="332"/>
      <c r="G433" s="312"/>
      <c r="H433" s="312"/>
      <c r="I433" s="312"/>
      <c r="J433" s="312"/>
      <c r="K433" s="312"/>
      <c r="L433" s="312"/>
      <c r="M433" s="312"/>
      <c r="N433" s="312"/>
      <c r="O433" s="312"/>
      <c r="P433" s="554" t="s">
        <v>508</v>
      </c>
      <c r="Q433" s="292"/>
      <c r="R433" s="170"/>
      <c r="S433" s="389"/>
      <c r="T433" s="501" t="s">
        <v>2161</v>
      </c>
      <c r="U433" s="501" t="s">
        <v>1322</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1645</v>
      </c>
      <c r="U434" s="501" t="s">
        <v>1914</v>
      </c>
      <c r="AA434" s="26"/>
      <c r="AB434" s="26"/>
      <c r="AC434" s="931"/>
      <c r="AD434" s="512"/>
    </row>
    <row r="435" spans="6:30" ht="10.5" customHeight="1">
      <c r="F435" s="332"/>
      <c r="G435" s="312"/>
      <c r="H435" s="312"/>
      <c r="I435" s="312"/>
      <c r="J435" s="312"/>
      <c r="K435" s="312"/>
      <c r="L435" s="312"/>
      <c r="M435" s="312"/>
      <c r="N435" s="312"/>
      <c r="O435" s="312"/>
      <c r="P435" s="554" t="s">
        <v>2113</v>
      </c>
      <c r="Q435" s="292"/>
      <c r="R435" s="170"/>
      <c r="S435" s="389"/>
      <c r="T435" s="501" t="s">
        <v>1647</v>
      </c>
      <c r="U435" s="501" t="s">
        <v>164</v>
      </c>
      <c r="AA435" s="26"/>
      <c r="AB435" s="26"/>
      <c r="AC435" s="931"/>
      <c r="AD435" s="512"/>
    </row>
    <row r="436" spans="6:30" ht="10.5" customHeight="1">
      <c r="F436" s="332"/>
      <c r="G436" s="312"/>
      <c r="H436" s="312"/>
      <c r="I436" s="312"/>
      <c r="J436" s="312"/>
      <c r="K436" s="312"/>
      <c r="L436" s="312"/>
      <c r="M436" s="312"/>
      <c r="N436" s="312"/>
      <c r="O436" s="312"/>
      <c r="P436" s="554" t="s">
        <v>1974</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1976</v>
      </c>
      <c r="Q437" s="292"/>
      <c r="R437" s="170"/>
      <c r="S437" s="389"/>
      <c r="T437" s="501" t="s">
        <v>309</v>
      </c>
      <c r="U437" s="501" t="s">
        <v>1309</v>
      </c>
      <c r="AA437" s="26"/>
      <c r="AB437" s="26"/>
      <c r="AC437" s="931"/>
      <c r="AD437" s="512"/>
    </row>
    <row r="438" spans="6:30" ht="10.5" customHeight="1">
      <c r="F438" s="332"/>
      <c r="G438" s="312"/>
      <c r="H438" s="312"/>
      <c r="I438" s="312"/>
      <c r="J438" s="312"/>
      <c r="K438" s="312"/>
      <c r="L438" s="312"/>
      <c r="M438" s="312"/>
      <c r="N438" s="312"/>
      <c r="O438" s="312"/>
      <c r="P438" s="554" t="s">
        <v>1144</v>
      </c>
      <c r="Q438" s="292"/>
      <c r="R438" s="170"/>
      <c r="S438" s="389"/>
      <c r="T438" s="501" t="s">
        <v>942</v>
      </c>
      <c r="U438" s="501" t="s">
        <v>2483</v>
      </c>
      <c r="AA438" s="26"/>
      <c r="AB438" s="26"/>
      <c r="AC438" s="931"/>
      <c r="AD438" s="512"/>
    </row>
    <row r="439" spans="6:30" ht="10.5" customHeight="1">
      <c r="F439" s="332"/>
      <c r="G439" s="312"/>
      <c r="H439" s="312"/>
      <c r="I439" s="312"/>
      <c r="J439" s="312"/>
      <c r="K439" s="312"/>
      <c r="L439" s="312"/>
      <c r="M439" s="312"/>
      <c r="N439" s="312"/>
      <c r="O439" s="312"/>
      <c r="P439" s="554" t="s">
        <v>1146</v>
      </c>
      <c r="Q439" s="292"/>
      <c r="R439" s="170"/>
      <c r="S439" s="389"/>
      <c r="T439" s="501" t="s">
        <v>2322</v>
      </c>
      <c r="U439" s="501" t="s">
        <v>323</v>
      </c>
      <c r="AA439" s="26"/>
      <c r="AB439" s="26"/>
      <c r="AC439" s="931"/>
      <c r="AD439" s="512"/>
    </row>
    <row r="440" spans="6:30" ht="10.5" customHeight="1">
      <c r="F440" s="332"/>
      <c r="G440" s="312"/>
      <c r="H440" s="312"/>
      <c r="I440" s="312"/>
      <c r="J440" s="312"/>
      <c r="K440" s="312"/>
      <c r="L440" s="312"/>
      <c r="M440" s="312"/>
      <c r="N440" s="312"/>
      <c r="O440" s="312"/>
      <c r="P440" s="554" t="s">
        <v>1112</v>
      </c>
      <c r="Q440" s="292"/>
      <c r="R440" s="170"/>
      <c r="S440" s="389"/>
      <c r="T440" s="501" t="s">
        <v>2861</v>
      </c>
      <c r="U440" s="501" t="s">
        <v>2184</v>
      </c>
      <c r="AA440" s="26"/>
      <c r="AB440" s="26"/>
      <c r="AC440" s="931"/>
      <c r="AD440" s="512"/>
    </row>
    <row r="441" spans="6:30" ht="10.5" customHeight="1">
      <c r="F441" s="332"/>
      <c r="G441" s="312"/>
      <c r="H441" s="312"/>
      <c r="I441" s="312"/>
      <c r="J441" s="312"/>
      <c r="K441" s="312"/>
      <c r="L441" s="312"/>
      <c r="M441" s="312"/>
      <c r="N441" s="312"/>
      <c r="O441" s="312"/>
      <c r="P441" s="554" t="s">
        <v>1113</v>
      </c>
      <c r="Q441" s="292"/>
      <c r="R441" s="170"/>
      <c r="S441" s="389"/>
      <c r="T441" s="501" t="s">
        <v>2304</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2306</v>
      </c>
      <c r="U442" s="501" t="s">
        <v>1319</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509</v>
      </c>
      <c r="U443" s="501" t="s">
        <v>179</v>
      </c>
      <c r="AA443" s="26"/>
      <c r="AB443" s="26"/>
      <c r="AC443" s="933"/>
      <c r="AD443" s="512"/>
    </row>
    <row r="444" spans="6:30" ht="10.5" customHeight="1">
      <c r="F444" s="332"/>
      <c r="G444" s="312"/>
      <c r="H444" s="312"/>
      <c r="I444" s="312"/>
      <c r="J444" s="312"/>
      <c r="K444" s="312"/>
      <c r="L444" s="312"/>
      <c r="M444" s="312"/>
      <c r="N444" s="312"/>
      <c r="O444" s="312"/>
      <c r="P444" s="554" t="s">
        <v>2248</v>
      </c>
      <c r="Q444" s="292"/>
      <c r="R444" s="170"/>
      <c r="S444" s="389"/>
      <c r="T444" s="501" t="s">
        <v>1049</v>
      </c>
      <c r="U444" s="501" t="s">
        <v>1519</v>
      </c>
      <c r="AA444" s="26"/>
      <c r="AB444" s="26"/>
      <c r="AC444" s="931"/>
      <c r="AD444" s="512"/>
    </row>
    <row r="445" spans="6:30" ht="10.5" customHeight="1">
      <c r="F445" s="332"/>
      <c r="G445" s="312"/>
      <c r="H445" s="312"/>
      <c r="I445" s="312"/>
      <c r="J445" s="312"/>
      <c r="K445" s="312"/>
      <c r="L445" s="312"/>
      <c r="M445" s="312"/>
      <c r="N445" s="312"/>
      <c r="O445" s="312"/>
      <c r="P445" s="554" t="s">
        <v>1817</v>
      </c>
      <c r="Q445" s="292"/>
      <c r="R445" s="170"/>
      <c r="S445" s="389"/>
      <c r="T445" s="501" t="s">
        <v>187</v>
      </c>
      <c r="U445" s="501" t="s">
        <v>2169</v>
      </c>
      <c r="AA445" s="26"/>
      <c r="AB445" s="26"/>
      <c r="AC445" s="931"/>
      <c r="AD445" s="512"/>
    </row>
    <row r="446" spans="6:30" ht="10.5" customHeight="1">
      <c r="F446" s="332"/>
      <c r="G446" s="312"/>
      <c r="H446" s="312"/>
      <c r="I446" s="312"/>
      <c r="J446" s="312"/>
      <c r="K446" s="312"/>
      <c r="L446" s="312"/>
      <c r="M446" s="312"/>
      <c r="N446" s="312"/>
      <c r="O446" s="312"/>
      <c r="P446" s="554" t="s">
        <v>1754</v>
      </c>
      <c r="Q446" s="292"/>
      <c r="R446" s="170"/>
      <c r="S446" s="389"/>
      <c r="T446" s="501" t="s">
        <v>1050</v>
      </c>
      <c r="U446" s="501" t="s">
        <v>2482</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1973</v>
      </c>
      <c r="U447" s="555" t="s">
        <v>2398</v>
      </c>
      <c r="AA447" s="26"/>
      <c r="AB447" s="26"/>
      <c r="AC447" s="931"/>
      <c r="AD447" s="512"/>
    </row>
    <row r="448" spans="6:30" ht="10.5" customHeight="1">
      <c r="F448" s="332"/>
      <c r="G448" s="312"/>
      <c r="H448" s="312"/>
      <c r="I448" s="312"/>
      <c r="J448" s="312"/>
      <c r="K448" s="312"/>
      <c r="L448" s="312"/>
      <c r="M448" s="312"/>
      <c r="N448" s="312"/>
      <c r="O448" s="312"/>
      <c r="P448" s="554" t="s">
        <v>2353</v>
      </c>
      <c r="Q448" s="292"/>
      <c r="R448" s="170"/>
      <c r="S448" s="389"/>
      <c r="T448" s="501" t="s">
        <v>1051</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1975</v>
      </c>
      <c r="U449" s="501" t="s">
        <v>2398</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1330</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1145</v>
      </c>
      <c r="U451" s="501" t="s">
        <v>870</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1111</v>
      </c>
      <c r="U452" s="501" t="s">
        <v>873</v>
      </c>
      <c r="AA452" s="26"/>
      <c r="AB452" s="26"/>
      <c r="AC452" s="931"/>
      <c r="AD452" s="512"/>
    </row>
    <row r="453" spans="6:30" ht="10.5" customHeight="1">
      <c r="F453" s="332"/>
      <c r="G453" s="312"/>
      <c r="H453" s="312"/>
      <c r="I453" s="312"/>
      <c r="J453" s="312"/>
      <c r="K453" s="312"/>
      <c r="L453" s="312"/>
      <c r="M453" s="312"/>
      <c r="N453" s="312"/>
      <c r="O453" s="312"/>
      <c r="P453" s="554" t="s">
        <v>1239</v>
      </c>
      <c r="Q453" s="292"/>
      <c r="R453" s="170"/>
      <c r="S453" s="389"/>
      <c r="T453" s="501" t="s">
        <v>325</v>
      </c>
      <c r="U453" s="501" t="s">
        <v>1092</v>
      </c>
      <c r="AA453" s="26"/>
      <c r="AB453" s="26"/>
      <c r="AC453" s="931"/>
      <c r="AD453" s="512"/>
    </row>
    <row r="454" spans="6:30" ht="10.5" customHeight="1">
      <c r="F454" s="332"/>
      <c r="G454" s="312"/>
      <c r="H454" s="312"/>
      <c r="I454" s="312"/>
      <c r="J454" s="312"/>
      <c r="K454" s="312"/>
      <c r="L454" s="312"/>
      <c r="M454" s="312"/>
      <c r="N454" s="312"/>
      <c r="O454" s="312"/>
      <c r="P454" s="554" t="s">
        <v>1241</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1992</v>
      </c>
      <c r="Q455" s="292"/>
      <c r="R455" s="170"/>
      <c r="S455" s="389"/>
      <c r="T455" s="501" t="s">
        <v>73</v>
      </c>
      <c r="U455" s="501" t="s">
        <v>1918</v>
      </c>
      <c r="AA455" s="26"/>
      <c r="AB455" s="26"/>
      <c r="AC455" s="931"/>
      <c r="AD455" s="512"/>
    </row>
    <row r="456" spans="6:30" ht="10.5" customHeight="1">
      <c r="F456" s="332"/>
      <c r="G456" s="312"/>
      <c r="H456" s="312"/>
      <c r="I456" s="312"/>
      <c r="J456" s="312"/>
      <c r="K456" s="312"/>
      <c r="L456" s="312"/>
      <c r="M456" s="312"/>
      <c r="N456" s="312"/>
      <c r="O456" s="312"/>
      <c r="P456" s="554" t="s">
        <v>1993</v>
      </c>
      <c r="Q456" s="292"/>
      <c r="R456" s="170"/>
      <c r="S456" s="389"/>
      <c r="T456" s="555" t="s">
        <v>2249</v>
      </c>
      <c r="U456" s="555" t="s">
        <v>1330</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1753</v>
      </c>
      <c r="U457" s="555" t="s">
        <v>2007</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1755</v>
      </c>
      <c r="U458" s="501" t="s">
        <v>108</v>
      </c>
      <c r="AA458" s="26"/>
      <c r="AB458" s="26"/>
      <c r="AC458" s="932"/>
      <c r="AD458" s="512"/>
    </row>
    <row r="459" spans="6:30" ht="10.5" customHeight="1">
      <c r="F459" s="332"/>
      <c r="G459" s="312"/>
      <c r="H459" s="312"/>
      <c r="I459" s="312"/>
      <c r="J459" s="312"/>
      <c r="K459" s="312"/>
      <c r="L459" s="312"/>
      <c r="M459" s="312"/>
      <c r="N459" s="312"/>
      <c r="O459" s="312"/>
      <c r="P459" s="554" t="s">
        <v>2411</v>
      </c>
      <c r="Q459" s="292"/>
      <c r="R459" s="170"/>
      <c r="S459" s="389"/>
      <c r="T459" s="501" t="s">
        <v>690</v>
      </c>
      <c r="U459" s="501" t="s">
        <v>1205</v>
      </c>
      <c r="AA459" s="26"/>
      <c r="AB459" s="26"/>
      <c r="AC459" s="931"/>
      <c r="AD459" s="512"/>
    </row>
    <row r="460" spans="6:30" ht="10.5" customHeight="1">
      <c r="F460" s="332"/>
      <c r="G460" s="312"/>
      <c r="H460" s="312"/>
      <c r="I460" s="312"/>
      <c r="J460" s="312"/>
      <c r="K460" s="312"/>
      <c r="L460" s="312"/>
      <c r="M460" s="312"/>
      <c r="N460" s="312"/>
      <c r="O460" s="312"/>
      <c r="P460" s="554" t="s">
        <v>2198</v>
      </c>
      <c r="Q460" s="292"/>
      <c r="R460" s="170"/>
      <c r="S460" s="389"/>
      <c r="T460" s="501" t="s">
        <v>2352</v>
      </c>
      <c r="U460" s="501" t="s">
        <v>2482</v>
      </c>
      <c r="AA460" s="26"/>
      <c r="AB460" s="26"/>
      <c r="AC460" s="931"/>
      <c r="AD460" s="512"/>
    </row>
    <row r="461" spans="6:30" ht="10.5" customHeight="1">
      <c r="F461" s="332"/>
      <c r="G461" s="312"/>
      <c r="H461" s="312"/>
      <c r="I461" s="312"/>
      <c r="J461" s="312"/>
      <c r="K461" s="312"/>
      <c r="L461" s="312"/>
      <c r="M461" s="312"/>
      <c r="N461" s="312"/>
      <c r="O461" s="312"/>
      <c r="P461" s="554" t="s">
        <v>2199</v>
      </c>
      <c r="Q461" s="292"/>
      <c r="R461" s="170"/>
      <c r="S461" s="389"/>
      <c r="T461" s="501" t="s">
        <v>2354</v>
      </c>
      <c r="U461" s="501" t="s">
        <v>2178</v>
      </c>
      <c r="AA461" s="26"/>
      <c r="AB461" s="26"/>
      <c r="AC461" s="931"/>
      <c r="AD461" s="512"/>
    </row>
    <row r="462" spans="6:30" ht="10.5" customHeight="1">
      <c r="F462" s="332"/>
      <c r="G462" s="312"/>
      <c r="H462" s="312"/>
      <c r="I462" s="312"/>
      <c r="J462" s="312"/>
      <c r="K462" s="312"/>
      <c r="L462" s="312"/>
      <c r="M462" s="312"/>
      <c r="N462" s="312"/>
      <c r="O462" s="312"/>
      <c r="P462" s="554" t="s">
        <v>965</v>
      </c>
      <c r="Q462" s="292"/>
      <c r="R462" s="170"/>
      <c r="S462" s="389"/>
      <c r="T462" s="501" t="s">
        <v>471</v>
      </c>
      <c r="U462" s="501" t="s">
        <v>2485</v>
      </c>
      <c r="AA462" s="26"/>
      <c r="AB462" s="26"/>
      <c r="AC462" s="931"/>
      <c r="AD462" s="512"/>
    </row>
    <row r="463" spans="6:30" ht="10.5" customHeight="1">
      <c r="F463" s="332"/>
      <c r="G463" s="312"/>
      <c r="H463" s="312"/>
      <c r="I463" s="312"/>
      <c r="J463" s="312"/>
      <c r="K463" s="312"/>
      <c r="L463" s="312"/>
      <c r="M463" s="312"/>
      <c r="N463" s="312"/>
      <c r="O463" s="312"/>
      <c r="P463" s="554" t="s">
        <v>967</v>
      </c>
      <c r="Q463" s="292"/>
      <c r="R463" s="170"/>
      <c r="S463" s="389"/>
      <c r="T463" s="501" t="s">
        <v>473</v>
      </c>
      <c r="U463" s="501" t="s">
        <v>1328</v>
      </c>
      <c r="AA463" s="26"/>
      <c r="AB463" s="26"/>
      <c r="AC463" s="931"/>
      <c r="AD463" s="512"/>
    </row>
    <row r="464" spans="6:30" ht="10.5" customHeight="1">
      <c r="F464" s="332"/>
      <c r="G464" s="312"/>
      <c r="H464" s="312"/>
      <c r="I464" s="312"/>
      <c r="J464" s="312"/>
      <c r="K464" s="312"/>
      <c r="L464" s="312"/>
      <c r="M464" s="312"/>
      <c r="N464" s="312"/>
      <c r="O464" s="312"/>
      <c r="P464" s="554" t="s">
        <v>1489</v>
      </c>
      <c r="Q464" s="292"/>
      <c r="R464" s="170"/>
      <c r="S464" s="389"/>
      <c r="T464" s="501" t="s">
        <v>1052</v>
      </c>
      <c r="U464" s="501" t="s">
        <v>1333</v>
      </c>
      <c r="AA464" s="26"/>
      <c r="AB464" s="26"/>
      <c r="AC464" s="931"/>
      <c r="AD464" s="512"/>
    </row>
    <row r="465" spans="6:30" ht="10.5" customHeight="1">
      <c r="F465" s="332"/>
      <c r="G465" s="312"/>
      <c r="H465" s="312"/>
      <c r="I465" s="312"/>
      <c r="J465" s="312"/>
      <c r="K465" s="312"/>
      <c r="L465" s="312"/>
      <c r="M465" s="312"/>
      <c r="N465" s="312"/>
      <c r="O465" s="312"/>
      <c r="P465" s="554" t="s">
        <v>1490</v>
      </c>
      <c r="Q465" s="292"/>
      <c r="R465" s="170"/>
      <c r="S465" s="389"/>
      <c r="T465" s="501" t="s">
        <v>475</v>
      </c>
      <c r="U465" s="501" t="s">
        <v>1333</v>
      </c>
      <c r="AA465" s="26"/>
      <c r="AB465" s="26"/>
      <c r="AC465" s="931"/>
      <c r="AD465" s="512"/>
    </row>
    <row r="466" spans="6:30" ht="10.5" customHeight="1">
      <c r="F466" s="332"/>
      <c r="G466" s="312"/>
      <c r="H466" s="312"/>
      <c r="I466" s="312"/>
      <c r="J466" s="312"/>
      <c r="K466" s="312"/>
      <c r="L466" s="312"/>
      <c r="M466" s="312"/>
      <c r="N466" s="312"/>
      <c r="O466" s="312"/>
      <c r="P466" s="554" t="s">
        <v>1492</v>
      </c>
      <c r="Q466" s="292"/>
      <c r="R466" s="170"/>
      <c r="S466" s="389"/>
      <c r="T466" s="501" t="s">
        <v>1240</v>
      </c>
      <c r="U466" s="501" t="s">
        <v>1313</v>
      </c>
      <c r="AA466" s="26"/>
      <c r="AB466" s="26"/>
      <c r="AC466" s="931"/>
      <c r="AD466" s="512"/>
    </row>
    <row r="467" spans="6:30" ht="10.5" customHeight="1">
      <c r="F467" s="332"/>
      <c r="G467" s="312"/>
      <c r="H467" s="312"/>
      <c r="I467" s="312"/>
      <c r="J467" s="312"/>
      <c r="K467" s="312"/>
      <c r="L467" s="312"/>
      <c r="M467" s="312"/>
      <c r="N467" s="312"/>
      <c r="O467" s="312"/>
      <c r="P467" s="554" t="s">
        <v>1494</v>
      </c>
      <c r="Q467" s="292"/>
      <c r="R467" s="170"/>
      <c r="S467" s="389"/>
      <c r="T467" s="555" t="s">
        <v>1242</v>
      </c>
      <c r="U467" s="555" t="s">
        <v>332</v>
      </c>
      <c r="AA467" s="26"/>
      <c r="AB467" s="26"/>
      <c r="AC467" s="931"/>
      <c r="AD467" s="512"/>
    </row>
    <row r="468" spans="6:30" ht="10.5" customHeight="1">
      <c r="F468" s="332"/>
      <c r="G468" s="312"/>
      <c r="H468" s="312"/>
      <c r="I468" s="312"/>
      <c r="J468" s="312"/>
      <c r="K468" s="312"/>
      <c r="L468" s="312"/>
      <c r="M468" s="312"/>
      <c r="N468" s="312"/>
      <c r="O468" s="312"/>
      <c r="P468" s="554" t="s">
        <v>1496</v>
      </c>
      <c r="Q468" s="292"/>
      <c r="R468" s="170"/>
      <c r="S468" s="389"/>
      <c r="T468" s="501" t="s">
        <v>2862</v>
      </c>
      <c r="U468" s="501" t="s">
        <v>2531</v>
      </c>
      <c r="AA468" s="26"/>
      <c r="AB468" s="26"/>
      <c r="AC468" s="932"/>
      <c r="AD468" s="512"/>
    </row>
    <row r="469" spans="6:30" ht="10.5" customHeight="1">
      <c r="F469" s="332"/>
      <c r="G469" s="312"/>
      <c r="H469" s="312"/>
      <c r="I469" s="312"/>
      <c r="J469" s="312"/>
      <c r="K469" s="312"/>
      <c r="L469" s="312"/>
      <c r="M469" s="312"/>
      <c r="N469" s="312"/>
      <c r="O469" s="312"/>
      <c r="P469" s="554" t="s">
        <v>2337</v>
      </c>
      <c r="Q469" s="292"/>
      <c r="R469" s="170"/>
      <c r="S469" s="389"/>
      <c r="T469" s="501" t="s">
        <v>1994</v>
      </c>
      <c r="U469" s="501" t="s">
        <v>2006</v>
      </c>
      <c r="AA469" s="26"/>
      <c r="AB469" s="26"/>
      <c r="AC469" s="931"/>
      <c r="AD469" s="512"/>
    </row>
    <row r="470" spans="6:30" ht="10.5" customHeight="1">
      <c r="F470" s="332"/>
      <c r="G470" s="312"/>
      <c r="H470" s="312"/>
      <c r="I470" s="312"/>
      <c r="J470" s="312"/>
      <c r="K470" s="312"/>
      <c r="L470" s="312"/>
      <c r="M470" s="312"/>
      <c r="N470" s="312"/>
      <c r="O470" s="312"/>
      <c r="P470" s="554" t="s">
        <v>2595</v>
      </c>
      <c r="Q470" s="292"/>
      <c r="R470" s="170"/>
      <c r="S470" s="389"/>
      <c r="T470" s="501" t="s">
        <v>76</v>
      </c>
      <c r="U470" s="501" t="s">
        <v>1914</v>
      </c>
      <c r="AA470" s="26"/>
      <c r="AB470" s="26"/>
      <c r="AC470" s="931"/>
      <c r="AD470" s="512"/>
    </row>
    <row r="471" spans="6:30" ht="10.5" customHeight="1">
      <c r="F471" s="332"/>
      <c r="G471" s="312"/>
      <c r="H471" s="312"/>
      <c r="I471" s="312"/>
      <c r="J471" s="312"/>
      <c r="K471" s="312"/>
      <c r="L471" s="312"/>
      <c r="M471" s="312"/>
      <c r="N471" s="312"/>
      <c r="O471" s="312"/>
      <c r="P471" s="554" t="s">
        <v>1280</v>
      </c>
      <c r="Q471" s="292"/>
      <c r="R471" s="170"/>
      <c r="S471" s="389"/>
      <c r="T471" s="501" t="s">
        <v>631</v>
      </c>
      <c r="U471" s="501" t="s">
        <v>2482</v>
      </c>
      <c r="AA471" s="26"/>
      <c r="AB471" s="26"/>
      <c r="AC471" s="931"/>
      <c r="AD471" s="512"/>
    </row>
    <row r="472" spans="6:30" ht="10.5" customHeight="1">
      <c r="F472" s="332"/>
      <c r="G472" s="312"/>
      <c r="H472" s="312"/>
      <c r="I472" s="312"/>
      <c r="J472" s="312"/>
      <c r="K472" s="312"/>
      <c r="L472" s="312"/>
      <c r="M472" s="312"/>
      <c r="N472" s="312"/>
      <c r="O472" s="312"/>
      <c r="P472" s="554" t="s">
        <v>1507</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818</v>
      </c>
      <c r="Q473" s="292"/>
      <c r="R473" s="170"/>
      <c r="S473" s="389"/>
      <c r="T473" s="501" t="s">
        <v>2412</v>
      </c>
      <c r="U473" s="501" t="s">
        <v>1451</v>
      </c>
      <c r="AA473" s="26"/>
      <c r="AB473" s="26"/>
      <c r="AC473" s="931"/>
      <c r="AD473" s="512"/>
    </row>
    <row r="474" spans="6:30" ht="10.5" customHeight="1">
      <c r="F474" s="332"/>
      <c r="G474" s="312"/>
      <c r="H474" s="312"/>
      <c r="I474" s="312"/>
      <c r="J474" s="312"/>
      <c r="K474" s="312"/>
      <c r="L474" s="312"/>
      <c r="M474" s="312"/>
      <c r="N474" s="312"/>
      <c r="O474" s="312"/>
      <c r="P474" s="554" t="s">
        <v>819</v>
      </c>
      <c r="Q474" s="292"/>
      <c r="R474" s="170"/>
      <c r="S474" s="389"/>
      <c r="T474" s="501" t="s">
        <v>1053</v>
      </c>
      <c r="U474" s="501" t="s">
        <v>1519</v>
      </c>
      <c r="AA474" s="26"/>
      <c r="AB474" s="26"/>
      <c r="AC474" s="931"/>
      <c r="AD474" s="512"/>
    </row>
    <row r="475" spans="6:30" ht="10.5" customHeight="1">
      <c r="F475" s="332"/>
      <c r="G475" s="312"/>
      <c r="H475" s="312"/>
      <c r="I475" s="312"/>
      <c r="J475" s="312"/>
      <c r="K475" s="312"/>
      <c r="L475" s="312"/>
      <c r="M475" s="312"/>
      <c r="N475" s="312"/>
      <c r="O475" s="312"/>
      <c r="P475" s="554" t="s">
        <v>821</v>
      </c>
      <c r="Q475" s="292"/>
      <c r="R475" s="170"/>
      <c r="S475" s="389"/>
      <c r="T475" s="501" t="s">
        <v>1054</v>
      </c>
      <c r="U475" s="501" t="s">
        <v>1109</v>
      </c>
      <c r="AA475" s="26"/>
      <c r="AB475" s="26"/>
      <c r="AC475" s="931"/>
      <c r="AD475" s="512"/>
    </row>
    <row r="476" spans="6:30" ht="10.5" customHeight="1">
      <c r="F476" s="332"/>
      <c r="G476" s="312"/>
      <c r="H476" s="312"/>
      <c r="I476" s="312"/>
      <c r="J476" s="312"/>
      <c r="K476" s="312"/>
      <c r="L476" s="312"/>
      <c r="M476" s="312"/>
      <c r="N476" s="312"/>
      <c r="O476" s="312"/>
      <c r="P476" s="554" t="s">
        <v>822</v>
      </c>
      <c r="Q476" s="292"/>
      <c r="R476" s="170"/>
      <c r="S476" s="389"/>
      <c r="T476" s="501" t="s">
        <v>612</v>
      </c>
      <c r="U476" s="501" t="s">
        <v>659</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966</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968</v>
      </c>
      <c r="U478" s="501" t="s">
        <v>1331</v>
      </c>
      <c r="AA478" s="26"/>
      <c r="AB478" s="26"/>
      <c r="AC478" s="931"/>
      <c r="AD478" s="512"/>
    </row>
    <row r="479" spans="6:30" ht="10.5" customHeight="1">
      <c r="F479" s="332"/>
      <c r="G479" s="312"/>
      <c r="H479" s="312"/>
      <c r="I479" s="312"/>
      <c r="J479" s="312"/>
      <c r="K479" s="312"/>
      <c r="L479" s="312"/>
      <c r="M479" s="312"/>
      <c r="N479" s="312"/>
      <c r="O479" s="312"/>
      <c r="P479" s="554" t="s">
        <v>1504</v>
      </c>
      <c r="Q479" s="292"/>
      <c r="R479" s="170"/>
      <c r="S479" s="389"/>
      <c r="T479" s="501" t="s">
        <v>1491</v>
      </c>
      <c r="U479" s="501" t="s">
        <v>1454</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1493</v>
      </c>
      <c r="U480" s="501" t="s">
        <v>2528</v>
      </c>
      <c r="AA480" s="26"/>
      <c r="AB480" s="26"/>
      <c r="AC480" s="931"/>
      <c r="AD480" s="512"/>
    </row>
    <row r="481" spans="6:30" ht="10.5" customHeight="1">
      <c r="F481" s="332"/>
      <c r="G481" s="312"/>
      <c r="H481" s="312"/>
      <c r="I481" s="312"/>
      <c r="J481" s="312"/>
      <c r="K481" s="312"/>
      <c r="L481" s="312"/>
      <c r="M481" s="312"/>
      <c r="N481" s="312"/>
      <c r="O481" s="312"/>
      <c r="P481" s="554" t="s">
        <v>1509</v>
      </c>
      <c r="Q481" s="292"/>
      <c r="R481" s="170"/>
      <c r="S481" s="389"/>
      <c r="T481" s="501" t="s">
        <v>1495</v>
      </c>
      <c r="U481" s="501" t="s">
        <v>2176</v>
      </c>
      <c r="AA481" s="26"/>
      <c r="AB481" s="26"/>
      <c r="AC481" s="931"/>
      <c r="AD481" s="512"/>
    </row>
    <row r="482" spans="6:30" ht="10.5" customHeight="1">
      <c r="F482" s="332"/>
      <c r="G482" s="312"/>
      <c r="H482" s="312"/>
      <c r="I482" s="312"/>
      <c r="J482" s="312"/>
      <c r="K482" s="312"/>
      <c r="L482" s="312"/>
      <c r="M482" s="312"/>
      <c r="N482" s="312"/>
      <c r="O482" s="312"/>
      <c r="P482" s="554" t="s">
        <v>1511</v>
      </c>
      <c r="Q482" s="292"/>
      <c r="R482" s="170"/>
      <c r="S482" s="389"/>
      <c r="T482" s="501" t="s">
        <v>2336</v>
      </c>
      <c r="U482" s="501" t="s">
        <v>2590</v>
      </c>
      <c r="AA482" s="26"/>
      <c r="AB482" s="26"/>
      <c r="AC482" s="931"/>
      <c r="AD482" s="512"/>
    </row>
    <row r="483" spans="6:30" ht="10.5" customHeight="1">
      <c r="F483" s="332"/>
      <c r="G483" s="312"/>
      <c r="H483" s="312"/>
      <c r="I483" s="312"/>
      <c r="J483" s="312"/>
      <c r="K483" s="312"/>
      <c r="L483" s="312"/>
      <c r="M483" s="312"/>
      <c r="N483" s="312"/>
      <c r="O483" s="312"/>
      <c r="P483" s="554" t="s">
        <v>1391</v>
      </c>
      <c r="Q483" s="292"/>
      <c r="R483" s="170"/>
      <c r="S483" s="389"/>
      <c r="T483" s="501" t="s">
        <v>2338</v>
      </c>
      <c r="U483" s="501" t="s">
        <v>121</v>
      </c>
      <c r="AA483" s="26"/>
      <c r="AB483" s="26"/>
      <c r="AC483" s="931"/>
      <c r="AD483" s="512"/>
    </row>
    <row r="484" spans="6:30" ht="10.5" customHeight="1">
      <c r="F484" s="332"/>
      <c r="G484" s="312"/>
      <c r="H484" s="312"/>
      <c r="I484" s="312"/>
      <c r="J484" s="312"/>
      <c r="K484" s="312"/>
      <c r="L484" s="312"/>
      <c r="M484" s="312"/>
      <c r="N484" s="312"/>
      <c r="O484" s="312"/>
      <c r="P484" s="554" t="s">
        <v>1393</v>
      </c>
      <c r="Q484" s="292"/>
      <c r="R484" s="170"/>
      <c r="S484" s="389"/>
      <c r="T484" s="501" t="s">
        <v>1279</v>
      </c>
      <c r="U484" s="501" t="s">
        <v>952</v>
      </c>
      <c r="AA484" s="26"/>
      <c r="AB484" s="26"/>
      <c r="AC484" s="931"/>
      <c r="AD484" s="512"/>
    </row>
    <row r="485" spans="6:30" ht="10.5" customHeight="1">
      <c r="F485" s="332"/>
      <c r="G485" s="312"/>
      <c r="H485" s="312"/>
      <c r="I485" s="312"/>
      <c r="J485" s="312"/>
      <c r="K485" s="312"/>
      <c r="L485" s="312"/>
      <c r="M485" s="312"/>
      <c r="N485" s="312"/>
      <c r="O485" s="312"/>
      <c r="P485" s="554" t="s">
        <v>1395</v>
      </c>
      <c r="Q485" s="292"/>
      <c r="R485" s="170"/>
      <c r="S485" s="389"/>
      <c r="T485" s="555" t="s">
        <v>1055</v>
      </c>
      <c r="U485" s="555" t="s">
        <v>2004</v>
      </c>
      <c r="AA485" s="26"/>
      <c r="AB485" s="26"/>
      <c r="AC485" s="931"/>
      <c r="AD485" s="512"/>
    </row>
    <row r="486" spans="6:30" ht="10.5" customHeight="1">
      <c r="F486" s="332"/>
      <c r="G486" s="312"/>
      <c r="H486" s="312"/>
      <c r="I486" s="312"/>
      <c r="J486" s="312"/>
      <c r="K486" s="312"/>
      <c r="L486" s="312"/>
      <c r="M486" s="312"/>
      <c r="N486" s="312"/>
      <c r="O486" s="312"/>
      <c r="P486" s="554" t="s">
        <v>1396</v>
      </c>
      <c r="Q486" s="292"/>
      <c r="R486" s="170"/>
      <c r="S486" s="389"/>
      <c r="T486" s="501" t="s">
        <v>1281</v>
      </c>
      <c r="U486" s="501" t="s">
        <v>1456</v>
      </c>
      <c r="AA486" s="26"/>
      <c r="AB486" s="26"/>
      <c r="AC486" s="932"/>
      <c r="AD486" s="512"/>
    </row>
    <row r="487" spans="6:30" ht="10.5" customHeight="1">
      <c r="F487" s="332"/>
      <c r="G487" s="312"/>
      <c r="H487" s="312"/>
      <c r="I487" s="312"/>
      <c r="J487" s="312"/>
      <c r="K487" s="312"/>
      <c r="L487" s="312"/>
      <c r="M487" s="312"/>
      <c r="N487" s="312"/>
      <c r="O487" s="312"/>
      <c r="P487" s="554" t="s">
        <v>1398</v>
      </c>
      <c r="Q487" s="292"/>
      <c r="R487" s="170"/>
      <c r="S487" s="389"/>
      <c r="T487" s="501" t="s">
        <v>826</v>
      </c>
      <c r="U487" s="501" t="s">
        <v>2006</v>
      </c>
      <c r="AA487" s="26"/>
      <c r="AB487" s="26"/>
      <c r="AC487" s="931"/>
      <c r="AD487" s="512"/>
    </row>
    <row r="488" spans="6:30" ht="10.5" customHeight="1">
      <c r="F488" s="332"/>
      <c r="G488" s="312"/>
      <c r="H488" s="312"/>
      <c r="I488" s="312"/>
      <c r="J488" s="312"/>
      <c r="K488" s="312"/>
      <c r="L488" s="312"/>
      <c r="M488" s="312"/>
      <c r="N488" s="312"/>
      <c r="O488" s="312"/>
      <c r="P488" s="554" t="s">
        <v>1400</v>
      </c>
      <c r="Q488" s="292"/>
      <c r="R488" s="170"/>
      <c r="S488" s="389"/>
      <c r="T488" s="501" t="s">
        <v>827</v>
      </c>
      <c r="U488" s="501" t="s">
        <v>872</v>
      </c>
      <c r="AA488" s="26"/>
      <c r="AB488" s="26"/>
      <c r="AC488" s="931"/>
      <c r="AD488" s="512"/>
    </row>
    <row r="489" spans="6:30" ht="10.5" customHeight="1">
      <c r="F489" s="332"/>
      <c r="G489" s="312"/>
      <c r="H489" s="312"/>
      <c r="I489" s="312"/>
      <c r="J489" s="312"/>
      <c r="K489" s="312"/>
      <c r="L489" s="312"/>
      <c r="M489" s="312"/>
      <c r="N489" s="312"/>
      <c r="O489" s="312"/>
      <c r="P489" s="554" t="s">
        <v>1568</v>
      </c>
      <c r="Q489" s="292"/>
      <c r="R489" s="170"/>
      <c r="S489" s="389"/>
      <c r="T489" s="501" t="s">
        <v>820</v>
      </c>
      <c r="U489" s="501" t="s">
        <v>627</v>
      </c>
      <c r="AA489" s="26"/>
      <c r="AB489" s="26"/>
      <c r="AC489" s="931"/>
      <c r="AD489" s="512"/>
    </row>
    <row r="490" spans="6:30" ht="10.5" customHeight="1">
      <c r="F490" s="332"/>
      <c r="G490" s="312"/>
      <c r="H490" s="312"/>
      <c r="I490" s="312"/>
      <c r="J490" s="312"/>
      <c r="K490" s="312"/>
      <c r="L490" s="312"/>
      <c r="M490" s="312"/>
      <c r="N490" s="312"/>
      <c r="O490" s="312"/>
      <c r="P490" s="554" t="s">
        <v>1569</v>
      </c>
      <c r="Q490" s="292"/>
      <c r="R490" s="170"/>
      <c r="S490" s="389"/>
      <c r="T490" s="501" t="s">
        <v>823</v>
      </c>
      <c r="U490" s="501" t="s">
        <v>319</v>
      </c>
      <c r="AA490" s="26"/>
      <c r="AB490" s="26"/>
      <c r="AC490" s="931"/>
      <c r="AD490" s="512"/>
    </row>
    <row r="491" spans="6:30" ht="10.5" customHeight="1">
      <c r="F491" s="332"/>
      <c r="G491" s="312"/>
      <c r="H491" s="312"/>
      <c r="I491" s="312"/>
      <c r="J491" s="312"/>
      <c r="K491" s="312"/>
      <c r="L491" s="312"/>
      <c r="M491" s="312"/>
      <c r="N491" s="312"/>
      <c r="O491" s="312"/>
      <c r="P491" s="554" t="s">
        <v>1570</v>
      </c>
      <c r="Q491" s="292"/>
      <c r="R491" s="170"/>
      <c r="S491" s="389"/>
      <c r="T491" s="501" t="s">
        <v>120</v>
      </c>
      <c r="U491" s="501" t="s">
        <v>2007</v>
      </c>
      <c r="AA491" s="26"/>
      <c r="AB491" s="26"/>
      <c r="AC491" s="931"/>
      <c r="AD491" s="512"/>
    </row>
    <row r="492" spans="6:30" ht="10.5" customHeight="1">
      <c r="F492" s="332"/>
      <c r="G492" s="312"/>
      <c r="H492" s="312"/>
      <c r="I492" s="312"/>
      <c r="J492" s="312"/>
      <c r="K492" s="312"/>
      <c r="L492" s="312"/>
      <c r="M492" s="312"/>
      <c r="N492" s="312"/>
      <c r="O492" s="312"/>
      <c r="P492" s="554" t="s">
        <v>1571</v>
      </c>
      <c r="Q492" s="292"/>
      <c r="R492" s="170"/>
      <c r="S492" s="389"/>
      <c r="T492" s="501" t="s">
        <v>250</v>
      </c>
      <c r="U492" s="501" t="s">
        <v>1877</v>
      </c>
      <c r="AA492" s="26"/>
      <c r="AB492" s="26"/>
      <c r="AC492" s="931"/>
      <c r="AD492" s="512"/>
    </row>
    <row r="493" spans="6:30" ht="10.5" customHeight="1">
      <c r="F493" s="332"/>
      <c r="G493" s="312"/>
      <c r="H493" s="312"/>
      <c r="I493" s="312"/>
      <c r="J493" s="312"/>
      <c r="K493" s="312"/>
      <c r="L493" s="312"/>
      <c r="M493" s="312"/>
      <c r="N493" s="312"/>
      <c r="O493" s="312"/>
      <c r="P493" s="554" t="s">
        <v>1573</v>
      </c>
      <c r="Q493" s="292"/>
      <c r="R493" s="170"/>
      <c r="S493" s="389"/>
      <c r="T493" s="501" t="s">
        <v>1505</v>
      </c>
      <c r="U493" s="501" t="s">
        <v>2006</v>
      </c>
      <c r="AA493" s="26"/>
      <c r="AB493" s="26"/>
      <c r="AC493" s="931"/>
      <c r="AD493" s="512"/>
    </row>
    <row r="494" spans="6:30" ht="10.5" customHeight="1">
      <c r="F494" s="332"/>
      <c r="G494" s="312"/>
      <c r="H494" s="312"/>
      <c r="I494" s="312"/>
      <c r="J494" s="312"/>
      <c r="K494" s="312"/>
      <c r="L494" s="312"/>
      <c r="M494" s="312"/>
      <c r="N494" s="312"/>
      <c r="O494" s="312"/>
      <c r="P494" s="554" t="s">
        <v>1575</v>
      </c>
      <c r="Q494" s="292"/>
      <c r="R494" s="170"/>
      <c r="S494" s="389"/>
      <c r="T494" s="555" t="s">
        <v>1508</v>
      </c>
      <c r="U494" s="555" t="s">
        <v>328</v>
      </c>
      <c r="AA494" s="26"/>
      <c r="AB494" s="26"/>
      <c r="AC494" s="931"/>
      <c r="AD494" s="512"/>
    </row>
    <row r="495" spans="6:30" ht="10.5" customHeight="1">
      <c r="F495" s="332"/>
      <c r="G495" s="312"/>
      <c r="H495" s="312"/>
      <c r="I495" s="312"/>
      <c r="J495" s="312"/>
      <c r="K495" s="312"/>
      <c r="L495" s="312"/>
      <c r="M495" s="312"/>
      <c r="N495" s="312"/>
      <c r="O495" s="312"/>
      <c r="P495" s="554" t="s">
        <v>1576</v>
      </c>
      <c r="Q495" s="292"/>
      <c r="R495" s="170"/>
      <c r="S495" s="389"/>
      <c r="T495" s="501" t="s">
        <v>1510</v>
      </c>
      <c r="U495" s="501" t="s">
        <v>2482</v>
      </c>
      <c r="AA495" s="26"/>
      <c r="AB495" s="26"/>
      <c r="AC495" s="932"/>
      <c r="AD495" s="512"/>
    </row>
    <row r="496" spans="6:30" ht="10.5" customHeight="1">
      <c r="F496" s="332"/>
      <c r="G496" s="312"/>
      <c r="H496" s="312"/>
      <c r="I496" s="312"/>
      <c r="J496" s="312"/>
      <c r="K496" s="312"/>
      <c r="L496" s="312"/>
      <c r="M496" s="312"/>
      <c r="N496" s="312"/>
      <c r="O496" s="312"/>
      <c r="P496" s="554" t="s">
        <v>1578</v>
      </c>
      <c r="Q496" s="292"/>
      <c r="R496" s="170"/>
      <c r="S496" s="389"/>
      <c r="T496" s="501" t="s">
        <v>483</v>
      </c>
      <c r="U496" s="501" t="s">
        <v>1458</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1392</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1394</v>
      </c>
      <c r="U498" s="501" t="s">
        <v>870</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2174</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1397</v>
      </c>
      <c r="U500" s="501" t="s">
        <v>1877</v>
      </c>
      <c r="AA500" s="26"/>
      <c r="AB500" s="26"/>
      <c r="AC500" s="931"/>
      <c r="AD500" s="512"/>
    </row>
    <row r="501" spans="6:30" ht="10.5" customHeight="1">
      <c r="F501" s="332"/>
      <c r="G501" s="312"/>
      <c r="H501" s="312"/>
      <c r="I501" s="312"/>
      <c r="J501" s="312"/>
      <c r="K501" s="312"/>
      <c r="L501" s="312"/>
      <c r="M501" s="312"/>
      <c r="N501" s="312"/>
      <c r="O501" s="312"/>
      <c r="P501" s="554" t="s">
        <v>1084</v>
      </c>
      <c r="Q501" s="292"/>
      <c r="R501" s="170"/>
      <c r="S501" s="389"/>
      <c r="T501" s="501" t="s">
        <v>1399</v>
      </c>
      <c r="U501" s="501" t="s">
        <v>162</v>
      </c>
      <c r="AA501" s="26"/>
      <c r="AB501" s="26"/>
      <c r="AC501" s="931"/>
      <c r="AD501" s="512"/>
    </row>
    <row r="502" spans="6:30" ht="10.5" customHeight="1">
      <c r="F502" s="332"/>
      <c r="G502" s="312"/>
      <c r="H502" s="312"/>
      <c r="I502" s="312"/>
      <c r="J502" s="312"/>
      <c r="K502" s="312"/>
      <c r="L502" s="312"/>
      <c r="M502" s="312"/>
      <c r="N502" s="312"/>
      <c r="O502" s="312"/>
      <c r="P502" s="554" t="s">
        <v>1086</v>
      </c>
      <c r="Q502" s="292"/>
      <c r="R502" s="170"/>
      <c r="S502" s="389"/>
      <c r="T502" s="501" t="s">
        <v>2491</v>
      </c>
      <c r="U502" s="501" t="s">
        <v>1908</v>
      </c>
      <c r="AA502" s="26"/>
      <c r="AB502" s="26"/>
      <c r="AC502" s="931"/>
      <c r="AD502" s="512"/>
    </row>
    <row r="503" spans="6:30" ht="10.5" customHeight="1">
      <c r="F503" s="332"/>
      <c r="G503" s="312"/>
      <c r="H503" s="312"/>
      <c r="I503" s="312"/>
      <c r="J503" s="312"/>
      <c r="K503" s="312"/>
      <c r="L503" s="312"/>
      <c r="M503" s="312"/>
      <c r="N503" s="312"/>
      <c r="O503" s="312"/>
      <c r="P503" s="554" t="s">
        <v>1088</v>
      </c>
      <c r="Q503" s="292"/>
      <c r="R503" s="170"/>
      <c r="S503" s="389"/>
      <c r="T503" s="501" t="s">
        <v>1056</v>
      </c>
      <c r="U503" s="501" t="s">
        <v>2485</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1319</v>
      </c>
      <c r="U504" s="501" t="s">
        <v>1318</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2583</v>
      </c>
      <c r="AA505" s="26"/>
      <c r="AB505" s="26"/>
      <c r="AC505" s="931"/>
      <c r="AD505" s="512"/>
    </row>
    <row r="506" spans="6:30" ht="10.5" customHeight="1">
      <c r="F506" s="332"/>
      <c r="G506" s="312"/>
      <c r="H506" s="312"/>
      <c r="I506" s="312"/>
      <c r="J506" s="312"/>
      <c r="K506" s="312"/>
      <c r="L506" s="312"/>
      <c r="M506" s="312"/>
      <c r="N506" s="312"/>
      <c r="O506" s="312"/>
      <c r="P506" s="554" t="s">
        <v>1627</v>
      </c>
      <c r="Q506" s="292"/>
      <c r="R506" s="170"/>
      <c r="S506" s="389"/>
      <c r="T506" s="501" t="s">
        <v>1572</v>
      </c>
      <c r="U506" s="501" t="s">
        <v>2182</v>
      </c>
      <c r="AA506" s="26"/>
      <c r="AB506" s="26"/>
      <c r="AC506" s="931"/>
      <c r="AD506" s="512"/>
    </row>
    <row r="507" spans="6:30" ht="10.5" customHeight="1">
      <c r="F507" s="332"/>
      <c r="G507" s="312"/>
      <c r="H507" s="312"/>
      <c r="I507" s="312"/>
      <c r="J507" s="312"/>
      <c r="K507" s="312"/>
      <c r="L507" s="312"/>
      <c r="M507" s="312"/>
      <c r="N507" s="312"/>
      <c r="O507" s="312"/>
      <c r="P507" s="554" t="s">
        <v>2323</v>
      </c>
      <c r="Q507" s="292"/>
      <c r="R507" s="170"/>
      <c r="S507" s="389"/>
      <c r="T507" s="501" t="s">
        <v>1574</v>
      </c>
      <c r="U507" s="501" t="s">
        <v>1877</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1577</v>
      </c>
      <c r="U508" s="501" t="s">
        <v>2588</v>
      </c>
      <c r="AA508" s="26"/>
      <c r="AB508" s="26"/>
      <c r="AC508" s="931"/>
      <c r="AD508" s="512"/>
    </row>
    <row r="509" spans="6:30" ht="10.5" customHeight="1">
      <c r="F509" s="332"/>
      <c r="G509" s="312"/>
      <c r="H509" s="312"/>
      <c r="I509" s="312"/>
      <c r="J509" s="312"/>
      <c r="K509" s="312"/>
      <c r="L509" s="312"/>
      <c r="M509" s="312"/>
      <c r="N509" s="312"/>
      <c r="O509" s="312"/>
      <c r="P509" s="554" t="s">
        <v>1300</v>
      </c>
      <c r="Q509" s="292"/>
      <c r="R509" s="170"/>
      <c r="S509" s="389"/>
      <c r="T509" s="501" t="s">
        <v>377</v>
      </c>
      <c r="U509" s="501" t="s">
        <v>2485</v>
      </c>
      <c r="AA509" s="26"/>
      <c r="AB509" s="26"/>
      <c r="AC509" s="931"/>
      <c r="AD509" s="512"/>
    </row>
    <row r="510" spans="6:30" ht="10.5" customHeight="1">
      <c r="F510" s="332"/>
      <c r="G510" s="312"/>
      <c r="H510" s="312"/>
      <c r="I510" s="312"/>
      <c r="J510" s="312"/>
      <c r="K510" s="312"/>
      <c r="L510" s="312"/>
      <c r="M510" s="312"/>
      <c r="N510" s="312"/>
      <c r="O510" s="312"/>
      <c r="P510" s="554" t="s">
        <v>646</v>
      </c>
      <c r="Q510" s="292"/>
      <c r="R510" s="170"/>
      <c r="S510" s="389"/>
      <c r="T510" s="501" t="s">
        <v>379</v>
      </c>
      <c r="U510" s="501" t="s">
        <v>1319</v>
      </c>
      <c r="AA510" s="26"/>
      <c r="AB510" s="26"/>
      <c r="AC510" s="931"/>
      <c r="AD510" s="512"/>
    </row>
    <row r="511" spans="6:30" ht="10.5" customHeight="1">
      <c r="F511" s="332"/>
      <c r="G511" s="312"/>
      <c r="H511" s="312"/>
      <c r="I511" s="312"/>
      <c r="J511" s="312"/>
      <c r="K511" s="312"/>
      <c r="L511" s="312"/>
      <c r="M511" s="312"/>
      <c r="N511" s="312"/>
      <c r="O511" s="312"/>
      <c r="P511" s="554" t="s">
        <v>686</v>
      </c>
      <c r="Q511" s="292"/>
      <c r="R511" s="170"/>
      <c r="S511" s="389"/>
      <c r="T511" s="557" t="s">
        <v>247</v>
      </c>
      <c r="U511" s="501" t="s">
        <v>2172</v>
      </c>
      <c r="AA511" s="26"/>
      <c r="AB511" s="26"/>
      <c r="AC511" s="931"/>
      <c r="AD511" s="512"/>
    </row>
    <row r="512" spans="6:30" ht="10.5" customHeight="1">
      <c r="F512" s="332"/>
      <c r="G512" s="312"/>
      <c r="H512" s="312"/>
      <c r="I512" s="312"/>
      <c r="J512" s="312"/>
      <c r="K512" s="312"/>
      <c r="L512" s="312"/>
      <c r="M512" s="312"/>
      <c r="N512" s="312"/>
      <c r="O512" s="312"/>
      <c r="P512" s="554" t="s">
        <v>687</v>
      </c>
      <c r="Q512" s="292"/>
      <c r="R512" s="170"/>
      <c r="S512" s="389"/>
      <c r="T512" s="557" t="s">
        <v>1606</v>
      </c>
      <c r="U512" s="501" t="s">
        <v>2527</v>
      </c>
      <c r="AA512" s="26"/>
      <c r="AB512" s="26"/>
      <c r="AC512" s="933"/>
      <c r="AD512" s="512"/>
    </row>
    <row r="513" spans="6:30" ht="10.5" customHeight="1">
      <c r="F513" s="332"/>
      <c r="G513" s="312"/>
      <c r="H513" s="312"/>
      <c r="I513" s="312"/>
      <c r="J513" s="312"/>
      <c r="K513" s="312"/>
      <c r="L513" s="312"/>
      <c r="M513" s="312"/>
      <c r="N513" s="312"/>
      <c r="O513" s="312"/>
      <c r="P513" s="554" t="s">
        <v>521</v>
      </c>
      <c r="Q513" s="292"/>
      <c r="R513" s="170"/>
      <c r="S513" s="389"/>
      <c r="T513" s="501" t="s">
        <v>2863</v>
      </c>
      <c r="U513" s="501" t="s">
        <v>328</v>
      </c>
      <c r="AA513" s="26"/>
      <c r="AB513" s="26"/>
      <c r="AC513" s="933"/>
      <c r="AD513" s="512"/>
    </row>
    <row r="514" spans="6:30" ht="10.5" customHeight="1">
      <c r="F514" s="332"/>
      <c r="G514" s="312"/>
      <c r="H514" s="312"/>
      <c r="I514" s="312"/>
      <c r="J514" s="312"/>
      <c r="K514" s="312"/>
      <c r="L514" s="312"/>
      <c r="M514" s="312"/>
      <c r="N514" s="312"/>
      <c r="O514" s="312"/>
      <c r="P514" s="554" t="s">
        <v>523</v>
      </c>
      <c r="Q514" s="292"/>
      <c r="R514" s="170"/>
      <c r="S514" s="389"/>
      <c r="T514" s="501" t="s">
        <v>1085</v>
      </c>
      <c r="U514" s="501" t="s">
        <v>2590</v>
      </c>
      <c r="AA514" s="26"/>
      <c r="AB514" s="26"/>
      <c r="AC514" s="931"/>
      <c r="AD514" s="512"/>
    </row>
    <row r="515" spans="6:30" ht="10.5" customHeight="1">
      <c r="F515" s="332"/>
      <c r="G515" s="312"/>
      <c r="H515" s="312"/>
      <c r="I515" s="312"/>
      <c r="J515" s="312"/>
      <c r="K515" s="312"/>
      <c r="L515" s="312"/>
      <c r="M515" s="312"/>
      <c r="N515" s="312"/>
      <c r="O515" s="312"/>
      <c r="P515" s="554" t="s">
        <v>525</v>
      </c>
      <c r="Q515" s="292"/>
      <c r="R515" s="170"/>
      <c r="S515" s="389"/>
      <c r="T515" s="501" t="s">
        <v>1087</v>
      </c>
      <c r="U515" s="501" t="s">
        <v>1309</v>
      </c>
      <c r="AA515" s="26"/>
      <c r="AB515" s="26"/>
      <c r="AC515" s="931"/>
      <c r="AD515" s="512"/>
    </row>
    <row r="516" spans="6:30" ht="10.5" customHeight="1">
      <c r="F516" s="332"/>
      <c r="G516" s="312"/>
      <c r="H516" s="312"/>
      <c r="I516" s="312"/>
      <c r="J516" s="312"/>
      <c r="K516" s="312"/>
      <c r="L516" s="312"/>
      <c r="M516" s="312"/>
      <c r="N516" s="312"/>
      <c r="O516" s="312"/>
      <c r="P516" s="554" t="s">
        <v>527</v>
      </c>
      <c r="Q516" s="292"/>
      <c r="R516" s="170"/>
      <c r="S516" s="389"/>
      <c r="T516" s="501" t="s">
        <v>1089</v>
      </c>
      <c r="U516" s="501" t="s">
        <v>654</v>
      </c>
      <c r="AA516" s="26"/>
      <c r="AB516" s="26"/>
      <c r="AC516" s="931"/>
      <c r="AD516" s="512"/>
    </row>
    <row r="517" spans="6:30" ht="10.5" customHeight="1">
      <c r="F517" s="332"/>
      <c r="G517" s="312"/>
      <c r="H517" s="312"/>
      <c r="I517" s="312"/>
      <c r="J517" s="312"/>
      <c r="K517" s="312"/>
      <c r="L517" s="312"/>
      <c r="M517" s="312"/>
      <c r="N517" s="312"/>
      <c r="O517" s="312"/>
      <c r="P517" s="554" t="s">
        <v>540</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542</v>
      </c>
      <c r="Q518" s="292"/>
      <c r="R518" s="170"/>
      <c r="S518" s="389"/>
      <c r="T518" s="501" t="s">
        <v>260</v>
      </c>
      <c r="U518" s="501" t="s">
        <v>2398</v>
      </c>
      <c r="AA518" s="26"/>
      <c r="AB518" s="26"/>
      <c r="AC518" s="932"/>
      <c r="AD518" s="512"/>
    </row>
    <row r="519" spans="6:30" ht="10.5" customHeight="1">
      <c r="F519" s="332"/>
      <c r="G519" s="312"/>
      <c r="H519" s="312"/>
      <c r="I519" s="312"/>
      <c r="J519" s="312"/>
      <c r="K519" s="312"/>
      <c r="L519" s="312"/>
      <c r="M519" s="312"/>
      <c r="N519" s="312"/>
      <c r="O519" s="312"/>
      <c r="P519" s="554" t="s">
        <v>714</v>
      </c>
      <c r="Q519" s="292"/>
      <c r="R519" s="170"/>
      <c r="S519" s="389"/>
      <c r="T519" s="501" t="s">
        <v>4058</v>
      </c>
      <c r="U519" s="501" t="s">
        <v>870</v>
      </c>
      <c r="AA519" s="26"/>
      <c r="AB519" s="26"/>
      <c r="AC519" s="931"/>
      <c r="AD519" s="512"/>
    </row>
    <row r="520" spans="6:30" ht="10.5" customHeight="1">
      <c r="F520" s="332"/>
      <c r="G520" s="312"/>
      <c r="H520" s="312"/>
      <c r="I520" s="312"/>
      <c r="J520" s="312"/>
      <c r="K520" s="312"/>
      <c r="L520" s="312"/>
      <c r="M520" s="312"/>
      <c r="N520" s="312"/>
      <c r="O520" s="312"/>
      <c r="P520" s="554" t="s">
        <v>586</v>
      </c>
      <c r="Q520" s="292"/>
      <c r="R520" s="170"/>
      <c r="S520" s="389"/>
      <c r="T520" s="555" t="s">
        <v>2324</v>
      </c>
      <c r="U520" s="555" t="s">
        <v>1095</v>
      </c>
      <c r="AA520" s="26"/>
      <c r="AB520" s="26"/>
      <c r="AC520" s="931"/>
      <c r="AD520" s="512"/>
    </row>
    <row r="521" spans="6:30" ht="10.5" customHeight="1">
      <c r="F521" s="332"/>
      <c r="G521" s="312"/>
      <c r="H521" s="312"/>
      <c r="I521" s="312"/>
      <c r="J521" s="312"/>
      <c r="K521" s="312"/>
      <c r="L521" s="312"/>
      <c r="M521" s="312"/>
      <c r="N521" s="312"/>
      <c r="O521" s="312"/>
      <c r="P521" s="554" t="s">
        <v>587</v>
      </c>
      <c r="Q521" s="292"/>
      <c r="R521" s="170"/>
      <c r="S521" s="389"/>
      <c r="T521" s="501" t="s">
        <v>482</v>
      </c>
      <c r="U521" s="501" t="s">
        <v>1665</v>
      </c>
      <c r="AA521" s="26"/>
      <c r="AB521" s="26"/>
      <c r="AC521" s="932"/>
      <c r="AD521" s="512"/>
    </row>
    <row r="522" spans="6:30" ht="10.5" customHeight="1">
      <c r="F522" s="332"/>
      <c r="G522" s="312"/>
      <c r="H522" s="312"/>
      <c r="I522" s="312"/>
      <c r="J522" s="312"/>
      <c r="K522" s="312"/>
      <c r="L522" s="312"/>
      <c r="M522" s="312"/>
      <c r="N522" s="312"/>
      <c r="O522" s="312"/>
      <c r="P522" s="554" t="s">
        <v>2076</v>
      </c>
      <c r="Q522" s="292"/>
      <c r="R522" s="170"/>
      <c r="S522" s="389"/>
      <c r="T522" s="501" t="s">
        <v>2864</v>
      </c>
      <c r="U522" s="501" t="s">
        <v>2182</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685</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520</v>
      </c>
      <c r="U524" s="501" t="s">
        <v>730</v>
      </c>
      <c r="AA524" s="26"/>
      <c r="AB524" s="26"/>
      <c r="AC524" s="931"/>
      <c r="AD524" s="512"/>
    </row>
    <row r="525" spans="6:30" ht="10.5" customHeight="1">
      <c r="F525" s="332"/>
      <c r="G525" s="312"/>
      <c r="H525" s="312"/>
      <c r="I525" s="312"/>
      <c r="J525" s="312"/>
      <c r="K525" s="312"/>
      <c r="L525" s="312"/>
      <c r="M525" s="312"/>
      <c r="N525" s="312"/>
      <c r="O525" s="312"/>
      <c r="P525" s="554" t="s">
        <v>1263</v>
      </c>
      <c r="Q525" s="292"/>
      <c r="R525" s="170"/>
      <c r="S525" s="389"/>
      <c r="T525" s="501" t="s">
        <v>522</v>
      </c>
      <c r="U525" s="501" t="s">
        <v>1328</v>
      </c>
      <c r="AA525" s="26"/>
      <c r="AB525" s="26"/>
      <c r="AC525" s="931"/>
      <c r="AD525" s="512"/>
    </row>
    <row r="526" spans="6:30" ht="10.5" customHeight="1">
      <c r="F526" s="332"/>
      <c r="G526" s="312"/>
      <c r="H526" s="312"/>
      <c r="I526" s="312"/>
      <c r="J526" s="312"/>
      <c r="K526" s="312"/>
      <c r="L526" s="312"/>
      <c r="M526" s="312"/>
      <c r="N526" s="312"/>
      <c r="O526" s="312"/>
      <c r="P526" s="554" t="s">
        <v>993</v>
      </c>
      <c r="Q526" s="292"/>
      <c r="R526" s="170"/>
      <c r="S526" s="389"/>
      <c r="T526" s="501" t="s">
        <v>524</v>
      </c>
      <c r="U526" s="501" t="s">
        <v>1455</v>
      </c>
      <c r="AA526" s="26"/>
      <c r="AB526" s="26"/>
      <c r="AC526" s="931"/>
      <c r="AD526" s="512"/>
    </row>
    <row r="527" spans="6:30" ht="10.5" customHeight="1">
      <c r="F527" s="332"/>
      <c r="G527" s="312"/>
      <c r="H527" s="312"/>
      <c r="I527" s="312"/>
      <c r="J527" s="312"/>
      <c r="K527" s="312"/>
      <c r="L527" s="312"/>
      <c r="M527" s="312"/>
      <c r="N527" s="312"/>
      <c r="O527" s="312"/>
      <c r="P527" s="554" t="s">
        <v>995</v>
      </c>
      <c r="Q527" s="292"/>
      <c r="R527" s="170"/>
      <c r="S527" s="389"/>
      <c r="T527" s="501" t="s">
        <v>526</v>
      </c>
      <c r="U527" s="501" t="s">
        <v>870</v>
      </c>
      <c r="AA527" s="26"/>
      <c r="AB527" s="26"/>
      <c r="AC527" s="931"/>
      <c r="AD527" s="512"/>
    </row>
    <row r="528" spans="6:30" ht="10.5" customHeight="1">
      <c r="F528" s="332"/>
      <c r="G528" s="312"/>
      <c r="H528" s="312"/>
      <c r="I528" s="312"/>
      <c r="J528" s="312"/>
      <c r="K528" s="312"/>
      <c r="L528" s="312"/>
      <c r="M528" s="312"/>
      <c r="N528" s="312"/>
      <c r="O528" s="312"/>
      <c r="P528" s="554" t="s">
        <v>996</v>
      </c>
      <c r="Q528" s="292"/>
      <c r="R528" s="170"/>
      <c r="S528" s="389"/>
      <c r="T528" s="501" t="s">
        <v>528</v>
      </c>
      <c r="U528" s="501" t="s">
        <v>1782</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541</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543</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691</v>
      </c>
      <c r="U531" s="501" t="s">
        <v>1205</v>
      </c>
      <c r="AA531" s="26"/>
      <c r="AB531" s="26"/>
      <c r="AC531" s="931"/>
      <c r="AD531" s="512"/>
    </row>
    <row r="532" spans="6:30" ht="10.5" customHeight="1">
      <c r="F532" s="332"/>
      <c r="G532" s="312"/>
      <c r="H532" s="312"/>
      <c r="I532" s="312"/>
      <c r="J532" s="312"/>
      <c r="K532" s="312"/>
      <c r="L532" s="312"/>
      <c r="M532" s="312"/>
      <c r="N532" s="312"/>
      <c r="O532" s="312"/>
      <c r="P532" s="554" t="s">
        <v>2593</v>
      </c>
      <c r="Q532" s="292"/>
      <c r="R532" s="170"/>
      <c r="S532" s="389"/>
      <c r="T532" s="555" t="s">
        <v>828</v>
      </c>
      <c r="U532" s="555" t="s">
        <v>654</v>
      </c>
      <c r="AA532" s="26"/>
      <c r="AB532" s="26"/>
      <c r="AC532" s="931"/>
      <c r="AD532" s="512"/>
    </row>
    <row r="533" spans="6:30" ht="10.5" customHeight="1">
      <c r="F533" s="332"/>
      <c r="G533" s="312"/>
      <c r="H533" s="312"/>
      <c r="I533" s="312"/>
      <c r="J533" s="312"/>
      <c r="K533" s="312"/>
      <c r="L533" s="312"/>
      <c r="M533" s="312"/>
      <c r="N533" s="312"/>
      <c r="O533" s="312"/>
      <c r="P533" s="554" t="s">
        <v>2093</v>
      </c>
      <c r="Q533" s="292"/>
      <c r="R533" s="170"/>
      <c r="S533" s="389"/>
      <c r="T533" s="501" t="s">
        <v>1632</v>
      </c>
      <c r="U533" s="501" t="s">
        <v>663</v>
      </c>
      <c r="AA533" s="26"/>
      <c r="AB533" s="26"/>
      <c r="AC533" s="932"/>
      <c r="AD533" s="512"/>
    </row>
    <row r="534" spans="6:30" ht="10.5" customHeight="1">
      <c r="F534" s="332"/>
      <c r="G534" s="312"/>
      <c r="H534" s="312"/>
      <c r="I534" s="312"/>
      <c r="J534" s="312"/>
      <c r="K534" s="312"/>
      <c r="L534" s="312"/>
      <c r="M534" s="312"/>
      <c r="N534" s="312"/>
      <c r="O534" s="312"/>
      <c r="P534" s="554" t="s">
        <v>2095</v>
      </c>
      <c r="Q534" s="292"/>
      <c r="R534" s="170"/>
      <c r="S534" s="389"/>
      <c r="T534" s="501" t="s">
        <v>2077</v>
      </c>
      <c r="U534" s="501" t="s">
        <v>1095</v>
      </c>
      <c r="AA534" s="26"/>
      <c r="AB534" s="26"/>
      <c r="AC534" s="931"/>
      <c r="AD534" s="512"/>
    </row>
    <row r="535" spans="6:30" ht="10.5" customHeight="1">
      <c r="F535" s="332"/>
      <c r="G535" s="312"/>
      <c r="H535" s="312"/>
      <c r="I535" s="312"/>
      <c r="J535" s="312"/>
      <c r="K535" s="312"/>
      <c r="L535" s="312"/>
      <c r="M535" s="312"/>
      <c r="N535" s="312"/>
      <c r="O535" s="312"/>
      <c r="P535" s="554" t="s">
        <v>588</v>
      </c>
      <c r="Q535" s="292"/>
      <c r="R535" s="170"/>
      <c r="S535" s="389"/>
      <c r="T535" s="501" t="s">
        <v>1634</v>
      </c>
      <c r="U535" s="501" t="s">
        <v>2007</v>
      </c>
      <c r="AA535" s="26"/>
      <c r="AB535" s="26"/>
      <c r="AC535" s="931"/>
      <c r="AD535" s="512"/>
    </row>
    <row r="536" spans="6:30" ht="10.5" customHeight="1">
      <c r="F536" s="332"/>
      <c r="G536" s="312"/>
      <c r="H536" s="312"/>
      <c r="I536" s="312"/>
      <c r="J536" s="312"/>
      <c r="K536" s="312"/>
      <c r="L536" s="312"/>
      <c r="M536" s="312"/>
      <c r="N536" s="312"/>
      <c r="O536" s="312"/>
      <c r="P536" s="554" t="s">
        <v>2341</v>
      </c>
      <c r="Q536" s="292"/>
      <c r="R536" s="170"/>
      <c r="S536" s="389"/>
      <c r="T536" s="501" t="s">
        <v>466</v>
      </c>
      <c r="U536" s="501" t="s">
        <v>1319</v>
      </c>
      <c r="AA536" s="26"/>
      <c r="AB536" s="26"/>
      <c r="AC536" s="931"/>
      <c r="AD536" s="512"/>
    </row>
    <row r="537" spans="6:30" ht="10.5" customHeight="1">
      <c r="F537" s="332"/>
      <c r="G537" s="312"/>
      <c r="H537" s="312"/>
      <c r="I537" s="312"/>
      <c r="J537" s="312"/>
      <c r="K537" s="312"/>
      <c r="L537" s="312"/>
      <c r="M537" s="312"/>
      <c r="N537" s="312"/>
      <c r="O537" s="312"/>
      <c r="P537" s="554" t="s">
        <v>702</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704</v>
      </c>
      <c r="Q538" s="292"/>
      <c r="R538" s="170"/>
      <c r="S538" s="389"/>
      <c r="T538" s="501" t="s">
        <v>1264</v>
      </c>
      <c r="U538" s="501" t="s">
        <v>325</v>
      </c>
      <c r="AA538" s="26"/>
      <c r="AB538" s="26"/>
      <c r="AC538" s="931"/>
      <c r="AD538" s="512"/>
    </row>
    <row r="539" spans="6:30" ht="10.5" customHeight="1">
      <c r="F539" s="332"/>
      <c r="G539" s="312"/>
      <c r="H539" s="312"/>
      <c r="I539" s="312"/>
      <c r="J539" s="312"/>
      <c r="K539" s="312"/>
      <c r="L539" s="312"/>
      <c r="M539" s="312"/>
      <c r="N539" s="312"/>
      <c r="O539" s="312"/>
      <c r="P539" s="554" t="s">
        <v>2283</v>
      </c>
      <c r="Q539" s="292"/>
      <c r="R539" s="170"/>
      <c r="S539" s="389"/>
      <c r="T539" s="501" t="s">
        <v>994</v>
      </c>
      <c r="U539" s="501" t="s">
        <v>1452</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1058</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2530</v>
      </c>
      <c r="AA541" s="26"/>
      <c r="AB541" s="26"/>
      <c r="AC541" s="931"/>
      <c r="AD541" s="512"/>
    </row>
    <row r="542" spans="6:30" ht="10.5" customHeight="1">
      <c r="F542" s="332"/>
      <c r="G542" s="312"/>
      <c r="H542" s="312"/>
      <c r="I542" s="312"/>
      <c r="J542" s="312"/>
      <c r="K542" s="312"/>
      <c r="L542" s="312"/>
      <c r="M542" s="312"/>
      <c r="N542" s="312"/>
      <c r="O542" s="312"/>
      <c r="P542" s="554" t="s">
        <v>2246</v>
      </c>
      <c r="Q542" s="292"/>
      <c r="R542" s="170"/>
      <c r="S542" s="389"/>
      <c r="T542" s="501" t="s">
        <v>2583</v>
      </c>
      <c r="U542" s="501" t="s">
        <v>1331</v>
      </c>
      <c r="AA542" s="26"/>
      <c r="AB542" s="26"/>
      <c r="AC542" s="931"/>
      <c r="AD542" s="512"/>
    </row>
    <row r="543" spans="6:30" ht="10.5" customHeight="1">
      <c r="F543" s="332"/>
      <c r="G543" s="312"/>
      <c r="H543" s="312"/>
      <c r="I543" s="312"/>
      <c r="J543" s="312"/>
      <c r="K543" s="312"/>
      <c r="L543" s="312"/>
      <c r="M543" s="312"/>
      <c r="N543" s="312"/>
      <c r="O543" s="312"/>
      <c r="P543" s="554" t="s">
        <v>2274</v>
      </c>
      <c r="Q543" s="292"/>
      <c r="R543" s="170"/>
      <c r="S543" s="389"/>
      <c r="T543" s="501" t="s">
        <v>141</v>
      </c>
      <c r="U543" s="501" t="s">
        <v>654</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2482</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2594</v>
      </c>
      <c r="U545" s="555" t="s">
        <v>1323</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2094</v>
      </c>
      <c r="U546" s="555" t="s">
        <v>2488</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753</v>
      </c>
      <c r="U547" s="555" t="s">
        <v>122</v>
      </c>
      <c r="AA547" s="26"/>
      <c r="AB547" s="26"/>
      <c r="AC547" s="932"/>
      <c r="AD547" s="512"/>
    </row>
    <row r="548" spans="6:30" ht="10.5" customHeight="1">
      <c r="F548" s="332"/>
      <c r="G548" s="312"/>
      <c r="H548" s="312"/>
      <c r="I548" s="312"/>
      <c r="J548" s="312"/>
      <c r="K548" s="312"/>
      <c r="L548" s="312"/>
      <c r="M548" s="312"/>
      <c r="N548" s="312"/>
      <c r="O548" s="312"/>
      <c r="P548" s="554" t="s">
        <v>1582</v>
      </c>
      <c r="Q548" s="292"/>
      <c r="R548" s="170"/>
      <c r="S548" s="389"/>
      <c r="T548" s="501" t="s">
        <v>754</v>
      </c>
      <c r="U548" s="501" t="s">
        <v>184</v>
      </c>
      <c r="AA548" s="26"/>
      <c r="AB548" s="26"/>
      <c r="AC548" s="932"/>
      <c r="AD548" s="512"/>
    </row>
    <row r="549" spans="6:30" ht="10.5" customHeight="1">
      <c r="F549" s="332"/>
      <c r="G549" s="312"/>
      <c r="H549" s="312"/>
      <c r="I549" s="312"/>
      <c r="J549" s="312"/>
      <c r="K549" s="312"/>
      <c r="L549" s="312"/>
      <c r="M549" s="312"/>
      <c r="N549" s="312"/>
      <c r="O549" s="312"/>
      <c r="P549" s="554" t="s">
        <v>1584</v>
      </c>
      <c r="Q549" s="292"/>
      <c r="R549" s="170"/>
      <c r="S549" s="389"/>
      <c r="T549" s="501" t="s">
        <v>703</v>
      </c>
      <c r="U549" s="501" t="s">
        <v>732</v>
      </c>
      <c r="AA549" s="26"/>
      <c r="AB549" s="26"/>
      <c r="AC549" s="931"/>
      <c r="AD549" s="512"/>
    </row>
    <row r="550" spans="6:30" ht="10.5" customHeight="1">
      <c r="F550" s="332"/>
      <c r="G550" s="312"/>
      <c r="H550" s="312"/>
      <c r="I550" s="312"/>
      <c r="J550" s="312"/>
      <c r="K550" s="312"/>
      <c r="L550" s="312"/>
      <c r="M550" s="312"/>
      <c r="N550" s="312"/>
      <c r="O550" s="312"/>
      <c r="P550" s="554" t="s">
        <v>1586</v>
      </c>
      <c r="Q550" s="292"/>
      <c r="R550" s="170"/>
      <c r="S550" s="389"/>
      <c r="T550" s="501" t="s">
        <v>705</v>
      </c>
      <c r="U550" s="501" t="s">
        <v>1104</v>
      </c>
      <c r="AA550" s="26"/>
      <c r="AB550" s="26"/>
      <c r="AC550" s="931"/>
      <c r="AD550" s="512"/>
    </row>
    <row r="551" spans="6:30" ht="10.5" customHeight="1">
      <c r="F551" s="332"/>
      <c r="G551" s="312"/>
      <c r="H551" s="312"/>
      <c r="I551" s="312"/>
      <c r="J551" s="312"/>
      <c r="K551" s="312"/>
      <c r="L551" s="312"/>
      <c r="M551" s="312"/>
      <c r="N551" s="312"/>
      <c r="O551" s="312"/>
      <c r="P551" s="554" t="s">
        <v>2592</v>
      </c>
      <c r="Q551" s="292"/>
      <c r="R551" s="170"/>
      <c r="S551" s="389"/>
      <c r="T551" s="501" t="s">
        <v>2284</v>
      </c>
      <c r="U551" s="501" t="s">
        <v>1205</v>
      </c>
      <c r="AA551" s="26"/>
      <c r="AB551" s="26"/>
      <c r="AC551" s="931"/>
      <c r="AD551" s="512"/>
    </row>
    <row r="552" spans="6:30" ht="10.5" customHeight="1">
      <c r="F552" s="332"/>
      <c r="G552" s="312"/>
      <c r="H552" s="312"/>
      <c r="I552" s="312"/>
      <c r="J552" s="312"/>
      <c r="K552" s="312"/>
      <c r="L552" s="312"/>
      <c r="M552" s="312"/>
      <c r="N552" s="312"/>
      <c r="O552" s="312"/>
      <c r="P552" s="554" t="s">
        <v>2453</v>
      </c>
      <c r="Q552" s="292"/>
      <c r="R552" s="170"/>
      <c r="S552" s="389"/>
      <c r="T552" s="501" t="s">
        <v>2284</v>
      </c>
      <c r="U552" s="501" t="s">
        <v>1205</v>
      </c>
      <c r="AA552" s="26"/>
      <c r="AB552" s="26"/>
      <c r="AC552" s="931"/>
      <c r="AD552" s="512"/>
    </row>
    <row r="553" spans="6:30" ht="10.5" customHeight="1">
      <c r="F553" s="332"/>
      <c r="G553" s="312"/>
      <c r="H553" s="312"/>
      <c r="I553" s="312"/>
      <c r="J553" s="312"/>
      <c r="K553" s="312"/>
      <c r="L553" s="312"/>
      <c r="M553" s="312"/>
      <c r="N553" s="312"/>
      <c r="O553" s="312"/>
      <c r="P553" s="554" t="s">
        <v>1827</v>
      </c>
      <c r="Q553" s="292"/>
      <c r="R553" s="170"/>
      <c r="S553" s="389"/>
      <c r="T553" s="501" t="s">
        <v>44</v>
      </c>
      <c r="U553" s="501" t="s">
        <v>1322</v>
      </c>
      <c r="AA553" s="26"/>
      <c r="AB553" s="26"/>
      <c r="AC553" s="931"/>
      <c r="AD553" s="512"/>
    </row>
    <row r="554" spans="6:30" ht="10.5" customHeight="1">
      <c r="F554" s="332"/>
      <c r="G554" s="312"/>
      <c r="H554" s="312"/>
      <c r="I554" s="312"/>
      <c r="J554" s="312"/>
      <c r="K554" s="312"/>
      <c r="L554" s="312"/>
      <c r="M554" s="312"/>
      <c r="N554" s="312"/>
      <c r="O554" s="312"/>
      <c r="P554" s="554" t="s">
        <v>1829</v>
      </c>
      <c r="Q554" s="292"/>
      <c r="R554" s="170"/>
      <c r="S554" s="389"/>
      <c r="T554" s="501" t="s">
        <v>2247</v>
      </c>
      <c r="U554" s="501" t="s">
        <v>1316</v>
      </c>
      <c r="AA554" s="26"/>
      <c r="AB554" s="26"/>
      <c r="AC554" s="931"/>
      <c r="AD554" s="512"/>
    </row>
    <row r="555" spans="6:30" ht="10.5" customHeight="1">
      <c r="F555" s="332"/>
      <c r="G555" s="312"/>
      <c r="H555" s="312"/>
      <c r="I555" s="312"/>
      <c r="J555" s="312"/>
      <c r="K555" s="312"/>
      <c r="L555" s="312"/>
      <c r="M555" s="312"/>
      <c r="N555" s="312"/>
      <c r="O555" s="312"/>
      <c r="P555" s="554" t="s">
        <v>1831</v>
      </c>
      <c r="Q555" s="292"/>
      <c r="R555" s="170"/>
      <c r="S555" s="389"/>
      <c r="T555" s="501" t="s">
        <v>829</v>
      </c>
      <c r="U555" s="501" t="s">
        <v>175</v>
      </c>
      <c r="AA555" s="26"/>
      <c r="AB555" s="26"/>
      <c r="AC555" s="931"/>
      <c r="AD555" s="512"/>
    </row>
    <row r="556" spans="6:30" ht="10.5" customHeight="1">
      <c r="F556" s="332"/>
      <c r="G556" s="312"/>
      <c r="H556" s="312"/>
      <c r="I556" s="312"/>
      <c r="J556" s="312"/>
      <c r="K556" s="312"/>
      <c r="L556" s="312"/>
      <c r="M556" s="312"/>
      <c r="N556" s="312"/>
      <c r="O556" s="312"/>
      <c r="P556" s="554" t="s">
        <v>1832</v>
      </c>
      <c r="Q556" s="292"/>
      <c r="R556" s="170"/>
      <c r="S556" s="389"/>
      <c r="T556" s="501" t="s">
        <v>1029</v>
      </c>
      <c r="U556" s="501" t="s">
        <v>1092</v>
      </c>
      <c r="AA556" s="26"/>
      <c r="AB556" s="26"/>
      <c r="AC556" s="931"/>
      <c r="AD556" s="512"/>
    </row>
    <row r="557" spans="6:30" ht="10.5" customHeight="1">
      <c r="F557" s="332"/>
      <c r="G557" s="312"/>
      <c r="H557" s="312"/>
      <c r="I557" s="312"/>
      <c r="J557" s="312"/>
      <c r="K557" s="312"/>
      <c r="L557" s="312"/>
      <c r="M557" s="312"/>
      <c r="N557" s="312"/>
      <c r="O557" s="312"/>
      <c r="P557" s="554" t="s">
        <v>1834</v>
      </c>
      <c r="Q557" s="292"/>
      <c r="R557" s="170"/>
      <c r="S557" s="389"/>
      <c r="T557" s="501" t="s">
        <v>394</v>
      </c>
      <c r="U557" s="501" t="s">
        <v>2588</v>
      </c>
      <c r="AA557" s="26"/>
      <c r="AB557" s="26"/>
      <c r="AC557" s="931"/>
      <c r="AD557" s="512"/>
    </row>
    <row r="558" spans="6:30" ht="10.5" customHeight="1">
      <c r="F558" s="332"/>
      <c r="G558" s="312"/>
      <c r="H558" s="312"/>
      <c r="I558" s="312"/>
      <c r="J558" s="312"/>
      <c r="K558" s="312"/>
      <c r="L558" s="312"/>
      <c r="M558" s="312"/>
      <c r="N558" s="312"/>
      <c r="O558" s="312"/>
      <c r="P558" s="554" t="s">
        <v>1836</v>
      </c>
      <c r="Q558" s="292"/>
      <c r="R558" s="170"/>
      <c r="S558" s="389"/>
      <c r="T558" s="501" t="s">
        <v>396</v>
      </c>
      <c r="U558" s="501" t="s">
        <v>2167</v>
      </c>
      <c r="AA558" s="26"/>
      <c r="AB558" s="26"/>
      <c r="AC558" s="931"/>
      <c r="AD558" s="512"/>
    </row>
    <row r="559" spans="6:30" ht="10.5" customHeight="1">
      <c r="F559" s="332"/>
      <c r="G559" s="312"/>
      <c r="H559" s="312"/>
      <c r="I559" s="312"/>
      <c r="J559" s="312"/>
      <c r="K559" s="312"/>
      <c r="L559" s="312"/>
      <c r="M559" s="312"/>
      <c r="N559" s="312"/>
      <c r="O559" s="312"/>
      <c r="P559" s="554" t="s">
        <v>1838</v>
      </c>
      <c r="Q559" s="292"/>
      <c r="R559" s="170"/>
      <c r="S559" s="389"/>
      <c r="T559" s="501" t="s">
        <v>398</v>
      </c>
      <c r="U559" s="501" t="s">
        <v>2530</v>
      </c>
      <c r="AA559" s="26"/>
      <c r="AB559" s="26"/>
      <c r="AC559" s="931"/>
      <c r="AD559" s="512"/>
    </row>
    <row r="560" spans="6:30" ht="10.5" customHeight="1">
      <c r="F560" s="332"/>
      <c r="G560" s="312"/>
      <c r="H560" s="312"/>
      <c r="I560" s="312"/>
      <c r="J560" s="312"/>
      <c r="K560" s="312"/>
      <c r="L560" s="312"/>
      <c r="M560" s="312"/>
      <c r="N560" s="312"/>
      <c r="O560" s="312"/>
      <c r="P560" s="554" t="s">
        <v>1840</v>
      </c>
      <c r="Q560" s="292"/>
      <c r="R560" s="170"/>
      <c r="S560" s="389"/>
      <c r="T560" s="501" t="s">
        <v>2588</v>
      </c>
      <c r="U560" s="501" t="s">
        <v>1780</v>
      </c>
      <c r="AA560" s="26"/>
      <c r="AB560" s="26"/>
      <c r="AC560" s="931"/>
      <c r="AD560" s="512"/>
    </row>
    <row r="561" spans="6:30" ht="10.5" customHeight="1">
      <c r="F561" s="332"/>
      <c r="G561" s="312"/>
      <c r="H561" s="312"/>
      <c r="I561" s="312"/>
      <c r="J561" s="312"/>
      <c r="K561" s="312"/>
      <c r="L561" s="312"/>
      <c r="M561" s="312"/>
      <c r="N561" s="312"/>
      <c r="O561" s="312"/>
      <c r="P561" s="554" t="s">
        <v>1841</v>
      </c>
      <c r="Q561" s="292"/>
      <c r="R561" s="170"/>
      <c r="S561" s="389"/>
      <c r="T561" s="501" t="s">
        <v>1583</v>
      </c>
      <c r="U561" s="501" t="s">
        <v>2486</v>
      </c>
      <c r="AA561" s="26"/>
      <c r="AB561" s="26"/>
      <c r="AC561" s="931"/>
      <c r="AD561" s="512"/>
    </row>
    <row r="562" spans="6:30" ht="10.5" customHeight="1">
      <c r="F562" s="332"/>
      <c r="G562" s="312"/>
      <c r="H562" s="312"/>
      <c r="I562" s="312"/>
      <c r="J562" s="312"/>
      <c r="K562" s="312"/>
      <c r="L562" s="312"/>
      <c r="M562" s="312"/>
      <c r="N562" s="312"/>
      <c r="O562" s="312"/>
      <c r="P562" s="554" t="s">
        <v>1808</v>
      </c>
      <c r="Q562" s="292"/>
      <c r="R562" s="170"/>
      <c r="S562" s="389"/>
      <c r="T562" s="501" t="s">
        <v>1585</v>
      </c>
      <c r="U562" s="501" t="s">
        <v>323</v>
      </c>
      <c r="AA562" s="26"/>
      <c r="AB562" s="26"/>
      <c r="AC562" s="931"/>
      <c r="AD562" s="512"/>
    </row>
    <row r="563" spans="6:30" ht="10.5" customHeight="1">
      <c r="F563" s="332"/>
      <c r="G563" s="312"/>
      <c r="H563" s="312"/>
      <c r="I563" s="312"/>
      <c r="J563" s="312"/>
      <c r="K563" s="312"/>
      <c r="L563" s="312"/>
      <c r="M563" s="312"/>
      <c r="N563" s="312"/>
      <c r="O563" s="312"/>
      <c r="P563" s="554" t="s">
        <v>1640</v>
      </c>
      <c r="Q563" s="292"/>
      <c r="R563" s="170"/>
      <c r="S563" s="389"/>
      <c r="T563" s="501" t="s">
        <v>1437</v>
      </c>
      <c r="U563" s="501" t="s">
        <v>121</v>
      </c>
      <c r="AA563" s="26"/>
      <c r="AB563" s="26"/>
      <c r="AC563" s="931"/>
      <c r="AD563" s="512"/>
    </row>
    <row r="564" spans="6:30" ht="10.5" customHeight="1">
      <c r="F564" s="332"/>
      <c r="G564" s="312"/>
      <c r="H564" s="312"/>
      <c r="I564" s="312"/>
      <c r="J564" s="312"/>
      <c r="K564" s="312"/>
      <c r="L564" s="312"/>
      <c r="M564" s="312"/>
      <c r="N564" s="312"/>
      <c r="O564" s="312"/>
      <c r="P564" s="554" t="s">
        <v>1641</v>
      </c>
      <c r="Q564" s="292"/>
      <c r="R564" s="170"/>
      <c r="S564" s="389"/>
      <c r="T564" s="501" t="s">
        <v>2452</v>
      </c>
      <c r="U564" s="501" t="s">
        <v>2488</v>
      </c>
      <c r="AA564" s="26"/>
      <c r="AB564" s="26"/>
      <c r="AC564" s="931"/>
      <c r="AD564" s="512"/>
    </row>
    <row r="565" spans="6:30" ht="10.5" customHeight="1">
      <c r="F565" s="332"/>
      <c r="G565" s="312"/>
      <c r="H565" s="312"/>
      <c r="I565" s="312"/>
      <c r="J565" s="312"/>
      <c r="K565" s="312"/>
      <c r="L565" s="312"/>
      <c r="M565" s="312"/>
      <c r="N565" s="312"/>
      <c r="O565" s="312"/>
      <c r="P565" s="554" t="s">
        <v>1643</v>
      </c>
      <c r="Q565" s="292"/>
      <c r="R565" s="170"/>
      <c r="S565" s="389"/>
      <c r="T565" s="555" t="s">
        <v>1818</v>
      </c>
      <c r="U565" s="555" t="s">
        <v>2589</v>
      </c>
      <c r="AA565" s="26"/>
      <c r="AB565" s="26"/>
      <c r="AC565" s="931"/>
      <c r="AD565" s="512"/>
    </row>
    <row r="566" spans="6:30" ht="10.5" customHeight="1">
      <c r="F566" s="332"/>
      <c r="G566" s="312"/>
      <c r="H566" s="312"/>
      <c r="I566" s="312"/>
      <c r="J566" s="312"/>
      <c r="K566" s="312"/>
      <c r="L566" s="312"/>
      <c r="M566" s="312"/>
      <c r="N566" s="312"/>
      <c r="O566" s="312"/>
      <c r="P566" s="554" t="s">
        <v>2272</v>
      </c>
      <c r="Q566" s="292"/>
      <c r="R566" s="170"/>
      <c r="S566" s="389"/>
      <c r="T566" s="501" t="s">
        <v>1828</v>
      </c>
      <c r="U566" s="501" t="s">
        <v>104</v>
      </c>
      <c r="AA566" s="26"/>
      <c r="AB566" s="26"/>
      <c r="AC566" s="932"/>
      <c r="AD566" s="512"/>
    </row>
    <row r="567" spans="6:30" ht="10.5" customHeight="1">
      <c r="F567" s="332"/>
      <c r="G567" s="312"/>
      <c r="H567" s="312"/>
      <c r="I567" s="312"/>
      <c r="J567" s="312"/>
      <c r="K567" s="312"/>
      <c r="L567" s="312"/>
      <c r="M567" s="312"/>
      <c r="N567" s="312"/>
      <c r="O567" s="312"/>
      <c r="P567" s="554" t="s">
        <v>558</v>
      </c>
      <c r="Q567" s="292"/>
      <c r="R567" s="170"/>
      <c r="S567" s="389"/>
      <c r="T567" s="501" t="s">
        <v>1830</v>
      </c>
      <c r="U567" s="501" t="s">
        <v>2241</v>
      </c>
      <c r="AA567" s="26"/>
      <c r="AB567" s="26"/>
      <c r="AC567" s="931"/>
      <c r="AD567" s="512"/>
    </row>
    <row r="568" spans="6:30" ht="10.5" customHeight="1">
      <c r="F568" s="332"/>
      <c r="G568" s="312"/>
      <c r="H568" s="312"/>
      <c r="I568" s="312"/>
      <c r="J568" s="312"/>
      <c r="K568" s="312"/>
      <c r="L568" s="312"/>
      <c r="M568" s="312"/>
      <c r="N568" s="312"/>
      <c r="O568" s="312"/>
      <c r="P568" s="554" t="s">
        <v>560</v>
      </c>
      <c r="Q568" s="292"/>
      <c r="R568" s="170"/>
      <c r="S568" s="389"/>
      <c r="T568" s="501" t="s">
        <v>1833</v>
      </c>
      <c r="U568" s="501" t="s">
        <v>2241</v>
      </c>
      <c r="AA568" s="26"/>
      <c r="AB568" s="26"/>
      <c r="AC568" s="931"/>
      <c r="AD568" s="512"/>
    </row>
    <row r="569" spans="6:30" ht="10.5" customHeight="1">
      <c r="F569" s="332"/>
      <c r="G569" s="312"/>
      <c r="H569" s="312"/>
      <c r="I569" s="312"/>
      <c r="J569" s="312"/>
      <c r="K569" s="312"/>
      <c r="L569" s="312"/>
      <c r="M569" s="312"/>
      <c r="N569" s="312"/>
      <c r="O569" s="312"/>
      <c r="P569" s="554" t="s">
        <v>562</v>
      </c>
      <c r="Q569" s="292"/>
      <c r="R569" s="170"/>
      <c r="S569" s="389"/>
      <c r="T569" s="501" t="s">
        <v>1835</v>
      </c>
      <c r="U569" s="501" t="s">
        <v>311</v>
      </c>
      <c r="AA569" s="26"/>
      <c r="AB569" s="26"/>
      <c r="AC569" s="931"/>
      <c r="AD569" s="512"/>
    </row>
    <row r="570" spans="6:30" ht="10.5" customHeight="1">
      <c r="F570" s="332"/>
      <c r="G570" s="312"/>
      <c r="H570" s="312"/>
      <c r="I570" s="312"/>
      <c r="J570" s="312"/>
      <c r="K570" s="312"/>
      <c r="L570" s="312"/>
      <c r="M570" s="312"/>
      <c r="N570" s="312"/>
      <c r="O570" s="312"/>
      <c r="P570" s="554" t="s">
        <v>2052</v>
      </c>
      <c r="Q570" s="292"/>
      <c r="R570" s="170"/>
      <c r="S570" s="389"/>
      <c r="T570" s="501" t="s">
        <v>1837</v>
      </c>
      <c r="U570" s="501" t="s">
        <v>1665</v>
      </c>
      <c r="AA570" s="26"/>
      <c r="AB570" s="26"/>
      <c r="AC570" s="931"/>
      <c r="AD570" s="512"/>
    </row>
    <row r="571" spans="6:30" ht="10.5" customHeight="1">
      <c r="F571" s="332"/>
      <c r="G571" s="312"/>
      <c r="H571" s="312"/>
      <c r="I571" s="312"/>
      <c r="J571" s="312"/>
      <c r="K571" s="312"/>
      <c r="L571" s="312"/>
      <c r="M571" s="312"/>
      <c r="N571" s="312"/>
      <c r="O571" s="312"/>
      <c r="P571" s="554" t="s">
        <v>1446</v>
      </c>
      <c r="Q571" s="292"/>
      <c r="R571" s="170"/>
      <c r="S571" s="389"/>
      <c r="T571" s="501" t="s">
        <v>1839</v>
      </c>
      <c r="U571" s="501" t="s">
        <v>321</v>
      </c>
      <c r="AA571" s="26"/>
      <c r="AB571" s="26"/>
      <c r="AC571" s="931"/>
      <c r="AD571" s="512"/>
    </row>
    <row r="572" spans="6:30" ht="10.5" customHeight="1">
      <c r="F572" s="332"/>
      <c r="G572" s="312"/>
      <c r="H572" s="312"/>
      <c r="I572" s="312"/>
      <c r="J572" s="312"/>
      <c r="K572" s="312"/>
      <c r="L572" s="312"/>
      <c r="M572" s="312"/>
      <c r="N572" s="312"/>
      <c r="O572" s="312"/>
      <c r="P572" s="554" t="s">
        <v>1448</v>
      </c>
      <c r="Q572" s="292"/>
      <c r="R572" s="170"/>
      <c r="S572" s="389"/>
      <c r="T572" s="501" t="s">
        <v>2589</v>
      </c>
      <c r="U572" s="501" t="s">
        <v>106</v>
      </c>
      <c r="AA572" s="26"/>
      <c r="AB572" s="26"/>
      <c r="AC572" s="931"/>
      <c r="AD572" s="512"/>
    </row>
    <row r="573" spans="6:30" ht="10.5" customHeight="1">
      <c r="F573" s="332"/>
      <c r="G573" s="312"/>
      <c r="H573" s="312"/>
      <c r="I573" s="312"/>
      <c r="J573" s="312"/>
      <c r="K573" s="312"/>
      <c r="L573" s="312"/>
      <c r="M573" s="312"/>
      <c r="N573" s="312"/>
      <c r="O573" s="312"/>
      <c r="P573" s="554" t="s">
        <v>1449</v>
      </c>
      <c r="Q573" s="292"/>
      <c r="R573" s="170"/>
      <c r="S573" s="389"/>
      <c r="T573" s="501" t="s">
        <v>1945</v>
      </c>
      <c r="U573" s="501" t="s">
        <v>108</v>
      </c>
      <c r="AA573" s="26"/>
      <c r="AB573" s="26"/>
      <c r="AC573" s="931"/>
      <c r="AD573" s="512"/>
    </row>
    <row r="574" spans="6:30" ht="10.5" customHeight="1">
      <c r="F574" s="332"/>
      <c r="G574" s="312"/>
      <c r="H574" s="312"/>
      <c r="I574" s="312"/>
      <c r="J574" s="312"/>
      <c r="K574" s="312"/>
      <c r="L574" s="312"/>
      <c r="M574" s="312"/>
      <c r="N574" s="312"/>
      <c r="O574" s="312"/>
      <c r="P574" s="554" t="s">
        <v>1580</v>
      </c>
      <c r="Q574" s="292"/>
      <c r="R574" s="170"/>
      <c r="S574" s="389"/>
      <c r="T574" s="501" t="s">
        <v>1809</v>
      </c>
      <c r="U574" s="501" t="s">
        <v>1093</v>
      </c>
      <c r="AA574" s="26"/>
      <c r="AB574" s="26"/>
      <c r="AC574" s="931"/>
      <c r="AD574" s="512"/>
    </row>
    <row r="575" spans="6:30" ht="10.5" customHeight="1">
      <c r="F575" s="332"/>
      <c r="G575" s="312"/>
      <c r="H575" s="312"/>
      <c r="I575" s="312"/>
      <c r="J575" s="312"/>
      <c r="K575" s="312"/>
      <c r="L575" s="312"/>
      <c r="M575" s="312"/>
      <c r="N575" s="312"/>
      <c r="O575" s="312"/>
      <c r="P575" s="554" t="s">
        <v>2118</v>
      </c>
      <c r="Q575" s="292"/>
      <c r="R575" s="170"/>
      <c r="S575" s="389"/>
      <c r="T575" s="501" t="s">
        <v>2590</v>
      </c>
      <c r="U575" s="501" t="s">
        <v>1319</v>
      </c>
      <c r="AA575" s="26"/>
      <c r="AB575" s="26"/>
      <c r="AC575" s="931"/>
      <c r="AD575" s="512"/>
    </row>
    <row r="576" spans="6:30" ht="10.5" customHeight="1">
      <c r="F576" s="332"/>
      <c r="G576" s="312"/>
      <c r="H576" s="312"/>
      <c r="I576" s="312"/>
      <c r="J576" s="312"/>
      <c r="K576" s="312"/>
      <c r="L576" s="312"/>
      <c r="M576" s="312"/>
      <c r="N576" s="312"/>
      <c r="O576" s="312"/>
      <c r="P576" s="554" t="s">
        <v>2120</v>
      </c>
      <c r="Q576" s="292"/>
      <c r="R576" s="170"/>
      <c r="S576" s="389"/>
      <c r="T576" s="555" t="s">
        <v>1642</v>
      </c>
      <c r="U576" s="555" t="s">
        <v>2167</v>
      </c>
      <c r="AA576" s="26"/>
      <c r="AB576" s="26"/>
      <c r="AC576" s="931"/>
      <c r="AD576" s="512"/>
    </row>
    <row r="577" spans="6:30" ht="10.5" customHeight="1">
      <c r="F577" s="332"/>
      <c r="G577" s="312"/>
      <c r="H577" s="312"/>
      <c r="I577" s="312"/>
      <c r="J577" s="312"/>
      <c r="K577" s="312"/>
      <c r="L577" s="312"/>
      <c r="M577" s="312"/>
      <c r="N577" s="312"/>
      <c r="O577" s="312"/>
      <c r="P577" s="554" t="s">
        <v>2122</v>
      </c>
      <c r="Q577" s="292"/>
      <c r="R577" s="170"/>
      <c r="S577" s="389"/>
      <c r="T577" s="501" t="s">
        <v>830</v>
      </c>
      <c r="U577" s="501" t="s">
        <v>2174</v>
      </c>
      <c r="AA577" s="26"/>
      <c r="AB577" s="26"/>
      <c r="AC577" s="932"/>
      <c r="AD577" s="512"/>
    </row>
    <row r="578" spans="6:30" ht="10.5" customHeight="1">
      <c r="F578" s="332"/>
      <c r="G578" s="312"/>
      <c r="H578" s="312"/>
      <c r="I578" s="312"/>
      <c r="J578" s="312"/>
      <c r="K578" s="312"/>
      <c r="L578" s="312"/>
      <c r="M578" s="312"/>
      <c r="N578" s="312"/>
      <c r="O578" s="312"/>
      <c r="P578" s="554" t="s">
        <v>1439</v>
      </c>
      <c r="Q578" s="292"/>
      <c r="R578" s="170"/>
      <c r="S578" s="389"/>
      <c r="T578" s="501" t="s">
        <v>2271</v>
      </c>
      <c r="U578" s="501" t="s">
        <v>1667</v>
      </c>
      <c r="AA578" s="26"/>
      <c r="AB578" s="26"/>
      <c r="AC578" s="931"/>
      <c r="AD578" s="512"/>
    </row>
    <row r="579" spans="6:30" ht="10.5" customHeight="1">
      <c r="F579" s="332"/>
      <c r="G579" s="312"/>
      <c r="H579" s="312"/>
      <c r="I579" s="312"/>
      <c r="J579" s="312"/>
      <c r="K579" s="312"/>
      <c r="L579" s="312"/>
      <c r="M579" s="312"/>
      <c r="N579" s="312"/>
      <c r="O579" s="312"/>
      <c r="P579" s="554" t="s">
        <v>1441</v>
      </c>
      <c r="Q579" s="292"/>
      <c r="R579" s="170"/>
      <c r="S579" s="389"/>
      <c r="T579" s="501" t="s">
        <v>2273</v>
      </c>
      <c r="U579" s="501" t="s">
        <v>2171</v>
      </c>
      <c r="AA579" s="26"/>
      <c r="AB579" s="26"/>
      <c r="AC579" s="931"/>
      <c r="AD579" s="512"/>
    </row>
    <row r="580" spans="6:30" ht="10.5" customHeight="1">
      <c r="F580" s="332"/>
      <c r="G580" s="312"/>
      <c r="H580" s="312"/>
      <c r="I580" s="312"/>
      <c r="J580" s="312"/>
      <c r="K580" s="312"/>
      <c r="L580" s="312"/>
      <c r="M580" s="312"/>
      <c r="N580" s="312"/>
      <c r="O580" s="312"/>
      <c r="P580" s="554" t="s">
        <v>1554</v>
      </c>
      <c r="Q580" s="292"/>
      <c r="R580" s="170"/>
      <c r="S580" s="389"/>
      <c r="T580" s="501" t="s">
        <v>559</v>
      </c>
      <c r="U580" s="501" t="s">
        <v>2588</v>
      </c>
      <c r="AA580" s="26"/>
      <c r="AB580" s="26"/>
      <c r="AC580" s="931"/>
      <c r="AD580" s="512"/>
    </row>
    <row r="581" spans="6:30" ht="10.5" customHeight="1">
      <c r="F581" s="332"/>
      <c r="G581" s="312"/>
      <c r="H581" s="312"/>
      <c r="I581" s="312"/>
      <c r="J581" s="312"/>
      <c r="K581" s="312"/>
      <c r="L581" s="312"/>
      <c r="M581" s="312"/>
      <c r="N581" s="312"/>
      <c r="O581" s="312"/>
      <c r="P581" s="554" t="s">
        <v>1556</v>
      </c>
      <c r="Q581" s="292"/>
      <c r="R581" s="170"/>
      <c r="S581" s="389"/>
      <c r="T581" s="501" t="s">
        <v>561</v>
      </c>
      <c r="U581" s="501" t="s">
        <v>1205</v>
      </c>
      <c r="AA581" s="26"/>
      <c r="AB581" s="26"/>
      <c r="AC581" s="931"/>
      <c r="AD581" s="512"/>
    </row>
    <row r="582" spans="6:30" ht="10.5" customHeight="1">
      <c r="F582" s="332"/>
      <c r="G582" s="312"/>
      <c r="H582" s="312"/>
      <c r="I582" s="312"/>
      <c r="J582" s="312"/>
      <c r="K582" s="312"/>
      <c r="L582" s="312"/>
      <c r="M582" s="312"/>
      <c r="N582" s="312"/>
      <c r="O582" s="312"/>
      <c r="P582" s="554" t="s">
        <v>2050</v>
      </c>
      <c r="Q582" s="292"/>
      <c r="R582" s="170"/>
      <c r="S582" s="389"/>
      <c r="T582" s="501" t="s">
        <v>1062</v>
      </c>
      <c r="U582" s="501" t="s">
        <v>627</v>
      </c>
      <c r="AA582" s="26"/>
      <c r="AB582" s="26"/>
      <c r="AC582" s="931"/>
      <c r="AD582" s="512"/>
    </row>
    <row r="583" spans="6:30" ht="10.5" customHeight="1">
      <c r="F583" s="332"/>
      <c r="G583" s="312"/>
      <c r="H583" s="312"/>
      <c r="I583" s="312"/>
      <c r="J583" s="312"/>
      <c r="K583" s="312"/>
      <c r="L583" s="312"/>
      <c r="M583" s="312"/>
      <c r="N583" s="312"/>
      <c r="O583" s="312"/>
      <c r="P583" s="554" t="s">
        <v>1871</v>
      </c>
      <c r="Q583" s="292"/>
      <c r="R583" s="170"/>
      <c r="S583" s="389"/>
      <c r="T583" s="501" t="s">
        <v>563</v>
      </c>
      <c r="U583" s="501" t="s">
        <v>1664</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1177</v>
      </c>
      <c r="U584" s="501" t="s">
        <v>1093</v>
      </c>
      <c r="AA584" s="26"/>
      <c r="AB584" s="26"/>
      <c r="AC584" s="931"/>
      <c r="AD584" s="512"/>
    </row>
    <row r="585" spans="6:30" ht="10.5" customHeight="1">
      <c r="F585" s="332"/>
      <c r="G585" s="312"/>
      <c r="H585" s="312"/>
      <c r="I585" s="312"/>
      <c r="J585" s="312"/>
      <c r="K585" s="312"/>
      <c r="L585" s="312"/>
      <c r="M585" s="312"/>
      <c r="N585" s="312"/>
      <c r="O585" s="312"/>
      <c r="P585" s="554" t="s">
        <v>1683</v>
      </c>
      <c r="Q585" s="292"/>
      <c r="R585" s="170"/>
      <c r="S585" s="389"/>
      <c r="T585" s="501" t="s">
        <v>1447</v>
      </c>
      <c r="U585" s="501" t="s">
        <v>1665</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2865</v>
      </c>
      <c r="U586" s="501" t="s">
        <v>1318</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1450</v>
      </c>
      <c r="U587" s="501" t="s">
        <v>656</v>
      </c>
      <c r="AA587" s="26"/>
      <c r="AB587" s="26"/>
      <c r="AC587" s="931"/>
      <c r="AD587" s="512"/>
    </row>
    <row r="588" spans="6:30" ht="10.5" customHeight="1">
      <c r="F588" s="332"/>
      <c r="G588" s="312"/>
      <c r="H588" s="312"/>
      <c r="I588" s="312"/>
      <c r="J588" s="312"/>
      <c r="K588" s="312"/>
      <c r="L588" s="312"/>
      <c r="M588" s="312"/>
      <c r="N588" s="312"/>
      <c r="O588" s="312"/>
      <c r="P588" s="554" t="s">
        <v>1183</v>
      </c>
      <c r="Q588" s="292"/>
      <c r="R588" s="170"/>
      <c r="S588" s="389"/>
      <c r="T588" s="501" t="s">
        <v>2866</v>
      </c>
      <c r="U588" s="501" t="s">
        <v>121</v>
      </c>
      <c r="AA588" s="26"/>
      <c r="AB588" s="26"/>
      <c r="AC588" s="931"/>
      <c r="AD588" s="512"/>
    </row>
    <row r="589" spans="6:30" ht="10.5" customHeight="1">
      <c r="F589" s="332"/>
      <c r="G589" s="312"/>
      <c r="H589" s="312"/>
      <c r="I589" s="312"/>
      <c r="J589" s="312"/>
      <c r="K589" s="312"/>
      <c r="L589" s="312"/>
      <c r="M589" s="312"/>
      <c r="N589" s="312"/>
      <c r="O589" s="312"/>
      <c r="P589" s="554" t="s">
        <v>742</v>
      </c>
      <c r="Q589" s="292"/>
      <c r="R589" s="170"/>
      <c r="S589" s="389"/>
      <c r="T589" s="501" t="s">
        <v>1581</v>
      </c>
      <c r="U589" s="501" t="s">
        <v>1776</v>
      </c>
      <c r="AA589" s="26"/>
      <c r="AB589" s="26"/>
      <c r="AC589" s="931"/>
      <c r="AD589" s="512"/>
    </row>
    <row r="590" spans="6:30" ht="10.5" customHeight="1">
      <c r="F590" s="332"/>
      <c r="G590" s="312"/>
      <c r="H590" s="312"/>
      <c r="I590" s="312"/>
      <c r="J590" s="312"/>
      <c r="K590" s="312"/>
      <c r="L590" s="312"/>
      <c r="M590" s="312"/>
      <c r="N590" s="312"/>
      <c r="O590" s="312"/>
      <c r="P590" s="554" t="s">
        <v>744</v>
      </c>
      <c r="Q590" s="292"/>
      <c r="R590" s="170"/>
      <c r="S590" s="389"/>
      <c r="T590" s="501" t="s">
        <v>2119</v>
      </c>
      <c r="U590" s="501" t="s">
        <v>1632</v>
      </c>
      <c r="AA590" s="26"/>
      <c r="AB590" s="26"/>
      <c r="AC590" s="931"/>
      <c r="AD590" s="512"/>
    </row>
    <row r="591" spans="6:30" ht="10.5" customHeight="1">
      <c r="F591" s="332"/>
      <c r="G591" s="312"/>
      <c r="H591" s="312"/>
      <c r="I591" s="312"/>
      <c r="J591" s="312"/>
      <c r="K591" s="312"/>
      <c r="L591" s="312"/>
      <c r="M591" s="312"/>
      <c r="N591" s="312"/>
      <c r="O591" s="312"/>
      <c r="P591" s="554" t="s">
        <v>1026</v>
      </c>
      <c r="Q591" s="292"/>
      <c r="R591" s="170"/>
      <c r="S591" s="389"/>
      <c r="T591" s="501" t="s">
        <v>2121</v>
      </c>
      <c r="U591" s="501" t="s">
        <v>1324</v>
      </c>
      <c r="AA591" s="26"/>
      <c r="AB591" s="26"/>
      <c r="AC591" s="931"/>
      <c r="AD591" s="512"/>
    </row>
    <row r="592" spans="6:30" ht="10.5" customHeight="1">
      <c r="F592" s="332"/>
      <c r="G592" s="312"/>
      <c r="H592" s="312"/>
      <c r="I592" s="312"/>
      <c r="J592" s="312"/>
      <c r="K592" s="312"/>
      <c r="L592" s="312"/>
      <c r="M592" s="312"/>
      <c r="N592" s="312"/>
      <c r="O592" s="312"/>
      <c r="P592" s="554" t="s">
        <v>1028</v>
      </c>
      <c r="Q592" s="292"/>
      <c r="R592" s="170"/>
      <c r="S592" s="389"/>
      <c r="T592" s="555" t="s">
        <v>1438</v>
      </c>
      <c r="U592" s="555" t="s">
        <v>323</v>
      </c>
      <c r="AA592" s="26"/>
      <c r="AB592" s="26"/>
      <c r="AC592" s="931"/>
      <c r="AD592" s="512"/>
    </row>
    <row r="593" spans="6:30" ht="10.5" customHeight="1">
      <c r="F593" s="332"/>
      <c r="G593" s="312"/>
      <c r="H593" s="312"/>
      <c r="I593" s="312"/>
      <c r="J593" s="312"/>
      <c r="K593" s="312"/>
      <c r="L593" s="312"/>
      <c r="M593" s="312"/>
      <c r="N593" s="312"/>
      <c r="O593" s="312"/>
      <c r="P593" s="554" t="s">
        <v>1813</v>
      </c>
      <c r="Q593" s="292"/>
      <c r="R593" s="170"/>
      <c r="S593" s="389"/>
      <c r="T593" s="501" t="s">
        <v>2867</v>
      </c>
      <c r="U593" s="501" t="s">
        <v>330</v>
      </c>
      <c r="AA593" s="26"/>
      <c r="AB593" s="26"/>
      <c r="AC593" s="932"/>
      <c r="AD593" s="512"/>
    </row>
    <row r="594" spans="6:30" ht="10.5" customHeight="1">
      <c r="F594" s="332"/>
      <c r="G594" s="312"/>
      <c r="H594" s="312"/>
      <c r="I594" s="312"/>
      <c r="J594" s="312"/>
      <c r="K594" s="312"/>
      <c r="L594" s="312"/>
      <c r="M594" s="312"/>
      <c r="N594" s="312"/>
      <c r="O594" s="312"/>
      <c r="P594" s="554" t="s">
        <v>1815</v>
      </c>
      <c r="Q594" s="292"/>
      <c r="R594" s="170"/>
      <c r="S594" s="389"/>
      <c r="T594" s="501" t="s">
        <v>1440</v>
      </c>
      <c r="U594" s="501" t="s">
        <v>320</v>
      </c>
      <c r="AA594" s="26"/>
      <c r="AB594" s="26"/>
      <c r="AC594" s="931"/>
      <c r="AD594" s="512"/>
    </row>
    <row r="595" spans="6:30" ht="10.5" customHeight="1">
      <c r="F595" s="332"/>
      <c r="G595" s="312"/>
      <c r="H595" s="312"/>
      <c r="I595" s="312"/>
      <c r="J595" s="312"/>
      <c r="K595" s="312"/>
      <c r="L595" s="312"/>
      <c r="M595" s="312"/>
      <c r="N595" s="312"/>
      <c r="O595" s="312"/>
      <c r="P595" s="554" t="s">
        <v>1816</v>
      </c>
      <c r="Q595" s="292"/>
      <c r="R595" s="170"/>
      <c r="S595" s="389"/>
      <c r="T595" s="555" t="s">
        <v>1063</v>
      </c>
      <c r="U595" s="555" t="s">
        <v>1667</v>
      </c>
      <c r="AA595" s="26"/>
      <c r="AB595" s="26"/>
      <c r="AC595" s="931"/>
      <c r="AD595" s="512"/>
    </row>
    <row r="596" spans="6:30" ht="10.5" customHeight="1">
      <c r="F596" s="332"/>
      <c r="G596" s="312"/>
      <c r="H596" s="312"/>
      <c r="I596" s="312"/>
      <c r="J596" s="312"/>
      <c r="K596" s="312"/>
      <c r="L596" s="312"/>
      <c r="M596" s="312"/>
      <c r="N596" s="312"/>
      <c r="O596" s="312"/>
      <c r="P596" s="554" t="s">
        <v>1134</v>
      </c>
      <c r="Q596" s="292"/>
      <c r="R596" s="170"/>
      <c r="S596" s="389"/>
      <c r="T596" s="501" t="s">
        <v>1442</v>
      </c>
      <c r="U596" s="501" t="s">
        <v>627</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1555</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2051</v>
      </c>
      <c r="U598" s="501" t="s">
        <v>952</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1872</v>
      </c>
      <c r="U599" s="555" t="s">
        <v>1950</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1950</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1684</v>
      </c>
      <c r="U601" s="501" t="s">
        <v>2176</v>
      </c>
      <c r="AA601" s="26"/>
      <c r="AB601" s="26"/>
      <c r="AC601" s="932"/>
      <c r="AD601" s="512"/>
    </row>
    <row r="602" spans="6:30" ht="10.5" customHeight="1">
      <c r="F602" s="332"/>
      <c r="G602" s="312"/>
      <c r="H602" s="312"/>
      <c r="I602" s="312"/>
      <c r="J602" s="312"/>
      <c r="K602" s="312"/>
      <c r="L602" s="312"/>
      <c r="M602" s="312"/>
      <c r="N602" s="312"/>
      <c r="O602" s="312"/>
      <c r="P602" s="554" t="s">
        <v>2142</v>
      </c>
      <c r="Q602" s="292"/>
      <c r="R602" s="170"/>
      <c r="S602" s="389"/>
      <c r="T602" s="501" t="s">
        <v>262</v>
      </c>
      <c r="U602" s="501" t="s">
        <v>666</v>
      </c>
      <c r="AA602" s="26"/>
      <c r="AB602" s="26"/>
      <c r="AC602" s="931"/>
      <c r="AD602" s="512"/>
    </row>
    <row r="603" spans="6:30" ht="10.5" customHeight="1">
      <c r="F603" s="332"/>
      <c r="G603" s="312"/>
      <c r="H603" s="312"/>
      <c r="I603" s="312"/>
      <c r="J603" s="312"/>
      <c r="K603" s="312"/>
      <c r="L603" s="312"/>
      <c r="M603" s="312"/>
      <c r="N603" s="312"/>
      <c r="O603" s="312"/>
      <c r="P603" s="554" t="s">
        <v>2144</v>
      </c>
      <c r="Q603" s="292"/>
      <c r="R603" s="170"/>
      <c r="S603" s="389"/>
      <c r="T603" s="501" t="s">
        <v>1182</v>
      </c>
      <c r="U603" s="501" t="s">
        <v>159</v>
      </c>
      <c r="AA603" s="26"/>
      <c r="AB603" s="26"/>
      <c r="AC603" s="931"/>
      <c r="AD603" s="512"/>
    </row>
    <row r="604" spans="6:30" ht="10.5" customHeight="1">
      <c r="F604" s="332"/>
      <c r="G604" s="312"/>
      <c r="H604" s="312"/>
      <c r="I604" s="312"/>
      <c r="J604" s="312"/>
      <c r="K604" s="312"/>
      <c r="L604" s="312"/>
      <c r="M604" s="312"/>
      <c r="N604" s="312"/>
      <c r="O604" s="312"/>
      <c r="P604" s="554" t="s">
        <v>2146</v>
      </c>
      <c r="Q604" s="292"/>
      <c r="R604" s="170"/>
      <c r="S604" s="389"/>
      <c r="T604" s="501" t="s">
        <v>1184</v>
      </c>
      <c r="U604" s="501" t="s">
        <v>159</v>
      </c>
      <c r="AA604" s="26"/>
      <c r="AB604" s="26"/>
      <c r="AC604" s="931"/>
      <c r="AD604" s="512"/>
    </row>
    <row r="605" spans="6:30" ht="10.5" customHeight="1">
      <c r="F605" s="332"/>
      <c r="G605" s="312"/>
      <c r="H605" s="312"/>
      <c r="I605" s="312"/>
      <c r="J605" s="312"/>
      <c r="K605" s="312"/>
      <c r="L605" s="312"/>
      <c r="M605" s="312"/>
      <c r="N605" s="312"/>
      <c r="O605" s="312"/>
      <c r="P605" s="554" t="s">
        <v>2148</v>
      </c>
      <c r="Q605" s="292"/>
      <c r="R605" s="170"/>
      <c r="S605" s="389"/>
      <c r="T605" s="501" t="s">
        <v>743</v>
      </c>
      <c r="U605" s="501" t="s">
        <v>1326</v>
      </c>
      <c r="AA605" s="26"/>
      <c r="AB605" s="26"/>
      <c r="AC605" s="931"/>
      <c r="AD605" s="512"/>
    </row>
    <row r="606" spans="6:30" ht="10.5" customHeight="1">
      <c r="F606" s="332"/>
      <c r="G606" s="312"/>
      <c r="H606" s="312"/>
      <c r="I606" s="312"/>
      <c r="J606" s="312"/>
      <c r="K606" s="312"/>
      <c r="L606" s="312"/>
      <c r="M606" s="312"/>
      <c r="N606" s="312"/>
      <c r="O606" s="312"/>
      <c r="P606" s="554" t="s">
        <v>2150</v>
      </c>
      <c r="Q606" s="292"/>
      <c r="R606" s="170"/>
      <c r="S606" s="389"/>
      <c r="T606" s="501" t="s">
        <v>245</v>
      </c>
      <c r="U606" s="501" t="s">
        <v>2588</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1027</v>
      </c>
      <c r="U607" s="501" t="s">
        <v>2400</v>
      </c>
      <c r="AA607" s="26"/>
      <c r="AB607" s="26"/>
      <c r="AC607" s="931"/>
      <c r="AD607" s="512"/>
    </row>
    <row r="608" spans="6:30" ht="10.5" customHeight="1">
      <c r="F608" s="332"/>
      <c r="G608" s="312"/>
      <c r="H608" s="312"/>
      <c r="I608" s="312"/>
      <c r="J608" s="312"/>
      <c r="K608" s="312"/>
      <c r="L608" s="312"/>
      <c r="M608" s="312"/>
      <c r="N608" s="312"/>
      <c r="O608" s="312"/>
      <c r="P608" s="554" t="s">
        <v>2016</v>
      </c>
      <c r="Q608" s="292"/>
      <c r="R608" s="170"/>
      <c r="S608" s="389"/>
      <c r="T608" s="501" t="s">
        <v>1749</v>
      </c>
      <c r="U608" s="501" t="s">
        <v>2485</v>
      </c>
      <c r="AA608" s="26"/>
      <c r="AB608" s="26"/>
      <c r="AC608" s="931"/>
      <c r="AD608" s="512"/>
    </row>
    <row r="609" spans="6:30" ht="10.5" customHeight="1">
      <c r="F609" s="332"/>
      <c r="G609" s="312"/>
      <c r="H609" s="312"/>
      <c r="I609" s="312"/>
      <c r="J609" s="312"/>
      <c r="K609" s="312"/>
      <c r="L609" s="312"/>
      <c r="M609" s="312"/>
      <c r="N609" s="312"/>
      <c r="O609" s="312"/>
      <c r="P609" s="554" t="s">
        <v>1513</v>
      </c>
      <c r="Q609" s="292"/>
      <c r="R609" s="170"/>
      <c r="S609" s="389"/>
      <c r="T609" s="501" t="s">
        <v>1814</v>
      </c>
      <c r="U609" s="501" t="s">
        <v>110</v>
      </c>
      <c r="AA609" s="26"/>
      <c r="AB609" s="26"/>
      <c r="AC609" s="931"/>
      <c r="AD609" s="512"/>
    </row>
    <row r="610" spans="6:30" ht="10.5" customHeight="1">
      <c r="F610" s="332"/>
      <c r="G610" s="312"/>
      <c r="H610" s="312"/>
      <c r="I610" s="312"/>
      <c r="J610" s="312"/>
      <c r="K610" s="312"/>
      <c r="L610" s="312"/>
      <c r="M610" s="312"/>
      <c r="N610" s="312"/>
      <c r="O610" s="312"/>
      <c r="P610" s="554" t="s">
        <v>1515</v>
      </c>
      <c r="Q610" s="292"/>
      <c r="R610" s="170"/>
      <c r="S610" s="389"/>
      <c r="T610" s="501" t="s">
        <v>1098</v>
      </c>
      <c r="U610" s="501" t="s">
        <v>730</v>
      </c>
      <c r="AA610" s="26"/>
      <c r="AB610" s="26"/>
      <c r="AC610" s="931"/>
      <c r="AD610" s="512"/>
    </row>
    <row r="611" spans="6:30" ht="10.5" customHeight="1">
      <c r="F611" s="332"/>
      <c r="G611" s="312"/>
      <c r="H611" s="312"/>
      <c r="I611" s="312"/>
      <c r="J611" s="312"/>
      <c r="K611" s="312"/>
      <c r="L611" s="312"/>
      <c r="M611" s="312"/>
      <c r="N611" s="312"/>
      <c r="O611" s="312"/>
      <c r="P611" s="554" t="s">
        <v>1517</v>
      </c>
      <c r="Q611" s="292"/>
      <c r="R611" s="170"/>
      <c r="S611" s="389"/>
      <c r="T611" s="501" t="s">
        <v>1064</v>
      </c>
      <c r="U611" s="501" t="s">
        <v>954</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1102</v>
      </c>
      <c r="U612" s="501" t="s">
        <v>1323</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666</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1065</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1316</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2396</v>
      </c>
      <c r="AA616" s="26"/>
      <c r="AB616" s="26"/>
      <c r="AC616" s="931"/>
      <c r="AD616" s="512"/>
    </row>
    <row r="617" spans="6:30" ht="10.5" customHeight="1">
      <c r="F617" s="332"/>
      <c r="G617" s="312"/>
      <c r="H617" s="312"/>
      <c r="I617" s="312"/>
      <c r="J617" s="312"/>
      <c r="K617" s="312"/>
      <c r="L617" s="312"/>
      <c r="M617" s="312"/>
      <c r="N617" s="312"/>
      <c r="O617" s="312"/>
      <c r="P617" s="554" t="s">
        <v>775</v>
      </c>
      <c r="Q617" s="292"/>
      <c r="R617" s="170"/>
      <c r="S617" s="389"/>
      <c r="T617" s="501" t="s">
        <v>8</v>
      </c>
      <c r="U617" s="501" t="s">
        <v>1916</v>
      </c>
      <c r="AA617" s="26"/>
      <c r="AB617" s="26"/>
      <c r="AC617" s="931"/>
      <c r="AD617" s="512"/>
    </row>
    <row r="618" spans="6:30" ht="10.5" customHeight="1">
      <c r="F618" s="332"/>
      <c r="G618" s="312"/>
      <c r="H618" s="312"/>
      <c r="I618" s="312"/>
      <c r="J618" s="312"/>
      <c r="K618" s="312"/>
      <c r="L618" s="312"/>
      <c r="M618" s="312"/>
      <c r="N618" s="312"/>
      <c r="O618" s="312"/>
      <c r="P618" s="554" t="s">
        <v>726</v>
      </c>
      <c r="Q618" s="292"/>
      <c r="R618" s="170"/>
      <c r="S618" s="389"/>
      <c r="T618" s="555" t="s">
        <v>1066</v>
      </c>
      <c r="U618" s="555" t="s">
        <v>627</v>
      </c>
      <c r="AA618" s="26"/>
      <c r="AB618" s="26"/>
      <c r="AC618" s="931"/>
      <c r="AD618" s="512"/>
    </row>
    <row r="619" spans="6:30" ht="10.5" customHeight="1">
      <c r="F619" s="332"/>
      <c r="G619" s="312"/>
      <c r="H619" s="312"/>
      <c r="I619" s="312"/>
      <c r="J619" s="312"/>
      <c r="K619" s="312"/>
      <c r="L619" s="312"/>
      <c r="M619" s="312"/>
      <c r="N619" s="312"/>
      <c r="O619" s="312"/>
      <c r="P619" s="554" t="s">
        <v>728</v>
      </c>
      <c r="Q619" s="292"/>
      <c r="R619" s="170"/>
      <c r="S619" s="389"/>
      <c r="T619" s="501" t="s">
        <v>1067</v>
      </c>
      <c r="U619" s="501" t="s">
        <v>316</v>
      </c>
      <c r="AA619" s="26"/>
      <c r="AB619" s="26"/>
      <c r="AC619" s="932"/>
      <c r="AD619" s="512"/>
    </row>
    <row r="620" spans="6:30" ht="10.5" customHeight="1">
      <c r="F620" s="332"/>
      <c r="G620" s="312"/>
      <c r="H620" s="312"/>
      <c r="I620" s="312"/>
      <c r="J620" s="312"/>
      <c r="K620" s="312"/>
      <c r="L620" s="312"/>
      <c r="M620" s="312"/>
      <c r="N620" s="312"/>
      <c r="O620" s="312"/>
      <c r="P620" s="554" t="s">
        <v>1178</v>
      </c>
      <c r="Q620" s="292"/>
      <c r="R620" s="170"/>
      <c r="S620" s="389"/>
      <c r="T620" s="501" t="s">
        <v>2141</v>
      </c>
      <c r="U620" s="501" t="s">
        <v>1326</v>
      </c>
      <c r="AA620" s="26"/>
      <c r="AB620" s="26"/>
      <c r="AC620" s="931"/>
      <c r="AD620" s="512"/>
    </row>
    <row r="621" spans="6:30" ht="10.5" customHeight="1">
      <c r="F621" s="332"/>
      <c r="G621" s="312"/>
      <c r="H621" s="312"/>
      <c r="I621" s="312"/>
      <c r="J621" s="312"/>
      <c r="K621" s="312"/>
      <c r="L621" s="312"/>
      <c r="M621" s="312"/>
      <c r="N621" s="312"/>
      <c r="O621" s="312"/>
      <c r="P621" s="554" t="s">
        <v>1040</v>
      </c>
      <c r="Q621" s="292"/>
      <c r="R621" s="170"/>
      <c r="S621" s="389"/>
      <c r="T621" s="501" t="s">
        <v>2143</v>
      </c>
      <c r="U621" s="501" t="s">
        <v>2182</v>
      </c>
      <c r="AA621" s="26"/>
      <c r="AB621" s="26"/>
      <c r="AC621" s="931"/>
      <c r="AD621" s="512"/>
    </row>
    <row r="622" spans="6:30" ht="10.5" customHeight="1">
      <c r="F622" s="332"/>
      <c r="G622" s="312"/>
      <c r="H622" s="312"/>
      <c r="I622" s="312"/>
      <c r="J622" s="312"/>
      <c r="K622" s="312"/>
      <c r="L622" s="312"/>
      <c r="M622" s="312"/>
      <c r="N622" s="312"/>
      <c r="O622" s="312"/>
      <c r="P622" s="554" t="s">
        <v>1041</v>
      </c>
      <c r="Q622" s="292"/>
      <c r="R622" s="170"/>
      <c r="S622" s="389"/>
      <c r="T622" s="501" t="s">
        <v>2145</v>
      </c>
      <c r="U622" s="501" t="s">
        <v>175</v>
      </c>
      <c r="AA622" s="26"/>
      <c r="AB622" s="26"/>
      <c r="AC622" s="931"/>
      <c r="AD622" s="512"/>
    </row>
    <row r="623" spans="6:30" ht="10.5" customHeight="1">
      <c r="F623" s="332"/>
      <c r="G623" s="312"/>
      <c r="H623" s="312"/>
      <c r="I623" s="312"/>
      <c r="J623" s="312"/>
      <c r="K623" s="312"/>
      <c r="L623" s="312"/>
      <c r="M623" s="312"/>
      <c r="N623" s="312"/>
      <c r="O623" s="312"/>
      <c r="P623" s="554" t="s">
        <v>1043</v>
      </c>
      <c r="Q623" s="292"/>
      <c r="R623" s="170"/>
      <c r="S623" s="389"/>
      <c r="T623" s="501" t="s">
        <v>2147</v>
      </c>
      <c r="U623" s="501" t="s">
        <v>1452</v>
      </c>
      <c r="AA623" s="26"/>
      <c r="AB623" s="26"/>
      <c r="AC623" s="931"/>
      <c r="AD623" s="512"/>
    </row>
    <row r="624" spans="6:30" ht="10.5" customHeight="1">
      <c r="F624" s="332"/>
      <c r="G624" s="312"/>
      <c r="H624" s="312"/>
      <c r="I624" s="312"/>
      <c r="J624" s="312"/>
      <c r="K624" s="312"/>
      <c r="L624" s="312"/>
      <c r="M624" s="312"/>
      <c r="N624" s="312"/>
      <c r="O624" s="312"/>
      <c r="P624" s="554" t="s">
        <v>2264</v>
      </c>
      <c r="Q624" s="292"/>
      <c r="R624" s="170"/>
      <c r="S624" s="389"/>
      <c r="T624" s="501" t="s">
        <v>2149</v>
      </c>
      <c r="U624" s="501" t="s">
        <v>666</v>
      </c>
      <c r="AA624" s="26"/>
      <c r="AB624" s="26"/>
      <c r="AC624" s="931"/>
      <c r="AD624" s="512"/>
    </row>
    <row r="625" spans="6:30" ht="10.5" customHeight="1">
      <c r="F625" s="332"/>
      <c r="G625" s="312"/>
      <c r="H625" s="312"/>
      <c r="I625" s="312"/>
      <c r="J625" s="312"/>
      <c r="K625" s="312"/>
      <c r="L625" s="312"/>
      <c r="M625" s="312"/>
      <c r="N625" s="312"/>
      <c r="O625" s="312"/>
      <c r="P625" s="554" t="s">
        <v>2266</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1768</v>
      </c>
      <c r="Q626" s="292"/>
      <c r="R626" s="170"/>
      <c r="S626" s="389"/>
      <c r="T626" s="501" t="s">
        <v>1512</v>
      </c>
      <c r="U626" s="501" t="s">
        <v>2184</v>
      </c>
      <c r="AA626" s="26"/>
      <c r="AB626" s="26"/>
      <c r="AC626" s="931"/>
      <c r="AD626" s="512"/>
    </row>
    <row r="627" spans="6:30" ht="10.5" customHeight="1">
      <c r="F627" s="332"/>
      <c r="G627" s="312"/>
      <c r="H627" s="312"/>
      <c r="I627" s="312"/>
      <c r="J627" s="312"/>
      <c r="K627" s="312"/>
      <c r="L627" s="312"/>
      <c r="M627" s="312"/>
      <c r="N627" s="312"/>
      <c r="O627" s="312"/>
      <c r="P627" s="554" t="s">
        <v>2519</v>
      </c>
      <c r="Q627" s="292"/>
      <c r="R627" s="170"/>
      <c r="S627" s="389"/>
      <c r="T627" s="501" t="s">
        <v>1514</v>
      </c>
      <c r="U627" s="501" t="s">
        <v>199</v>
      </c>
      <c r="AA627" s="26"/>
      <c r="AB627" s="26"/>
      <c r="AC627" s="931"/>
      <c r="AD627" s="512"/>
    </row>
    <row r="628" spans="6:30" ht="10.5" customHeight="1">
      <c r="F628" s="332"/>
      <c r="G628" s="312"/>
      <c r="H628" s="312"/>
      <c r="I628" s="312"/>
      <c r="J628" s="312"/>
      <c r="K628" s="312"/>
      <c r="L628" s="312"/>
      <c r="M628" s="312"/>
      <c r="N628" s="312"/>
      <c r="O628" s="312"/>
      <c r="P628" s="554" t="s">
        <v>2162</v>
      </c>
      <c r="Q628" s="292"/>
      <c r="R628" s="170"/>
      <c r="S628" s="389"/>
      <c r="T628" s="555" t="s">
        <v>1516</v>
      </c>
      <c r="U628" s="555" t="s">
        <v>1455</v>
      </c>
      <c r="AA628" s="26"/>
      <c r="AB628" s="26"/>
      <c r="AC628" s="931"/>
      <c r="AD628" s="512"/>
    </row>
    <row r="629" spans="6:30" ht="10.5" customHeight="1">
      <c r="F629" s="332"/>
      <c r="G629" s="312"/>
      <c r="H629" s="312"/>
      <c r="I629" s="312"/>
      <c r="J629" s="312"/>
      <c r="K629" s="312"/>
      <c r="L629" s="312"/>
      <c r="M629" s="312"/>
      <c r="N629" s="312"/>
      <c r="O629" s="312"/>
      <c r="P629" s="554" t="s">
        <v>1611</v>
      </c>
      <c r="Q629" s="292"/>
      <c r="R629" s="170"/>
      <c r="S629" s="389"/>
      <c r="T629" s="501" t="s">
        <v>1518</v>
      </c>
      <c r="U629" s="501" t="s">
        <v>2174</v>
      </c>
      <c r="AA629" s="26"/>
      <c r="AB629" s="26"/>
      <c r="AC629" s="932"/>
      <c r="AD629" s="512"/>
    </row>
    <row r="630" spans="6:30" ht="10.5" customHeight="1">
      <c r="F630" s="332"/>
      <c r="G630" s="312"/>
      <c r="H630" s="312"/>
      <c r="I630" s="312"/>
      <c r="J630" s="312"/>
      <c r="K630" s="312"/>
      <c r="L630" s="312"/>
      <c r="M630" s="312"/>
      <c r="N630" s="312"/>
      <c r="O630" s="312"/>
      <c r="P630" s="554" t="s">
        <v>1612</v>
      </c>
      <c r="Q630" s="292"/>
      <c r="R630" s="170"/>
      <c r="S630" s="389"/>
      <c r="T630" s="501" t="s">
        <v>63</v>
      </c>
      <c r="U630" s="501" t="s">
        <v>1324</v>
      </c>
      <c r="AA630" s="26"/>
      <c r="AB630" s="26"/>
      <c r="AC630" s="931"/>
      <c r="AD630" s="512"/>
    </row>
    <row r="631" spans="6:30" ht="10.5" customHeight="1">
      <c r="F631" s="332"/>
      <c r="G631" s="312"/>
      <c r="H631" s="312"/>
      <c r="I631" s="312"/>
      <c r="J631" s="312"/>
      <c r="K631" s="312"/>
      <c r="L631" s="312"/>
      <c r="M631" s="312"/>
      <c r="N631" s="312"/>
      <c r="O631" s="312"/>
      <c r="P631" s="554" t="s">
        <v>1614</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1615</v>
      </c>
      <c r="Q632" s="292"/>
      <c r="R632" s="170"/>
      <c r="S632" s="389"/>
      <c r="T632" s="501" t="s">
        <v>67</v>
      </c>
      <c r="U632" s="501" t="s">
        <v>876</v>
      </c>
      <c r="AA632" s="26"/>
      <c r="AB632" s="26"/>
      <c r="AC632" s="932"/>
      <c r="AD632" s="512"/>
    </row>
    <row r="633" spans="6:30" ht="10.5" customHeight="1">
      <c r="F633" s="332"/>
      <c r="G633" s="312"/>
      <c r="H633" s="312"/>
      <c r="I633" s="312"/>
      <c r="J633" s="312"/>
      <c r="K633" s="312"/>
      <c r="L633" s="312"/>
      <c r="M633" s="312"/>
      <c r="N633" s="312"/>
      <c r="O633" s="312"/>
      <c r="P633" s="554" t="s">
        <v>1617</v>
      </c>
      <c r="Q633" s="292"/>
      <c r="R633" s="170"/>
      <c r="S633" s="389"/>
      <c r="T633" s="501" t="s">
        <v>69</v>
      </c>
      <c r="U633" s="501" t="s">
        <v>1519</v>
      </c>
      <c r="AA633" s="26"/>
      <c r="AB633" s="26"/>
      <c r="AC633" s="931"/>
      <c r="AD633" s="512"/>
    </row>
    <row r="634" spans="6:30" ht="10.5" customHeight="1">
      <c r="F634" s="332"/>
      <c r="G634" s="312"/>
      <c r="H634" s="312"/>
      <c r="I634" s="312"/>
      <c r="J634" s="312"/>
      <c r="K634" s="312"/>
      <c r="L634" s="312"/>
      <c r="M634" s="312"/>
      <c r="N634" s="312"/>
      <c r="O634" s="312"/>
      <c r="P634" s="554" t="s">
        <v>1618</v>
      </c>
      <c r="Q634" s="292"/>
      <c r="R634" s="170"/>
      <c r="S634" s="389"/>
      <c r="T634" s="501" t="s">
        <v>776</v>
      </c>
      <c r="U634" s="501" t="s">
        <v>2482</v>
      </c>
      <c r="AA634" s="26"/>
      <c r="AB634" s="26"/>
      <c r="AC634" s="931"/>
      <c r="AD634" s="512"/>
    </row>
    <row r="635" spans="6:30" ht="10.5" customHeight="1">
      <c r="F635" s="332"/>
      <c r="G635" s="312"/>
      <c r="H635" s="312"/>
      <c r="I635" s="312"/>
      <c r="J635" s="312"/>
      <c r="K635" s="312"/>
      <c r="L635" s="312"/>
      <c r="M635" s="312"/>
      <c r="N635" s="312"/>
      <c r="O635" s="312"/>
      <c r="P635" s="554" t="s">
        <v>1620</v>
      </c>
      <c r="Q635" s="292"/>
      <c r="R635" s="170"/>
      <c r="S635" s="389"/>
      <c r="T635" s="501" t="s">
        <v>727</v>
      </c>
      <c r="U635" s="501" t="s">
        <v>2488</v>
      </c>
      <c r="AA635" s="26"/>
      <c r="AB635" s="26"/>
      <c r="AC635" s="931"/>
      <c r="AD635" s="512"/>
    </row>
    <row r="636" spans="6:30" ht="10.5" customHeight="1">
      <c r="F636" s="332"/>
      <c r="G636" s="312"/>
      <c r="H636" s="312"/>
      <c r="I636" s="312"/>
      <c r="J636" s="312"/>
      <c r="K636" s="312"/>
      <c r="L636" s="312"/>
      <c r="M636" s="312"/>
      <c r="N636" s="312"/>
      <c r="O636" s="312"/>
      <c r="P636" s="554" t="s">
        <v>2416</v>
      </c>
      <c r="Q636" s="292"/>
      <c r="R636" s="170"/>
      <c r="S636" s="389"/>
      <c r="T636" s="501" t="s">
        <v>940</v>
      </c>
      <c r="U636" s="501" t="s">
        <v>2531</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1068</v>
      </c>
      <c r="U637" s="501" t="s">
        <v>320</v>
      </c>
      <c r="AA637" s="26"/>
      <c r="AB637" s="26"/>
      <c r="AC637" s="931"/>
      <c r="AD637" s="512"/>
    </row>
    <row r="638" spans="6:30" ht="10.5" customHeight="1">
      <c r="F638" s="332"/>
      <c r="G638" s="312"/>
      <c r="H638" s="312"/>
      <c r="I638" s="312"/>
      <c r="J638" s="312"/>
      <c r="K638" s="312"/>
      <c r="L638" s="312"/>
      <c r="M638" s="312"/>
      <c r="N638" s="312"/>
      <c r="O638" s="312"/>
      <c r="P638" s="554" t="s">
        <v>987</v>
      </c>
      <c r="Q638" s="292"/>
      <c r="R638" s="170"/>
      <c r="S638" s="389"/>
      <c r="T638" s="501" t="s">
        <v>1179</v>
      </c>
      <c r="U638" s="501" t="s">
        <v>1950</v>
      </c>
      <c r="AA638" s="26"/>
      <c r="AB638" s="26"/>
      <c r="AC638" s="931"/>
      <c r="AD638" s="512"/>
    </row>
    <row r="639" spans="6:30" ht="10.5" customHeight="1">
      <c r="F639" s="332"/>
      <c r="G639" s="312"/>
      <c r="H639" s="312"/>
      <c r="I639" s="312"/>
      <c r="J639" s="312"/>
      <c r="K639" s="312"/>
      <c r="L639" s="312"/>
      <c r="M639" s="312"/>
      <c r="N639" s="312"/>
      <c r="O639" s="312"/>
      <c r="P639" s="554" t="s">
        <v>988</v>
      </c>
      <c r="Q639" s="292"/>
      <c r="R639" s="170"/>
      <c r="S639" s="389"/>
      <c r="T639" s="555" t="s">
        <v>2868</v>
      </c>
      <c r="U639" s="555" t="s">
        <v>1778</v>
      </c>
      <c r="AA639" s="26"/>
      <c r="AB639" s="26"/>
      <c r="AC639" s="931"/>
      <c r="AD639" s="512"/>
    </row>
    <row r="640" spans="6:30" ht="10.5" customHeight="1">
      <c r="F640" s="332"/>
      <c r="G640" s="312"/>
      <c r="H640" s="312"/>
      <c r="I640" s="312"/>
      <c r="J640" s="312"/>
      <c r="K640" s="312"/>
      <c r="L640" s="312"/>
      <c r="M640" s="312"/>
      <c r="N640" s="312"/>
      <c r="O640" s="312"/>
      <c r="P640" s="554" t="s">
        <v>990</v>
      </c>
      <c r="Q640" s="292"/>
      <c r="R640" s="170"/>
      <c r="S640" s="389"/>
      <c r="T640" s="501" t="s">
        <v>1042</v>
      </c>
      <c r="U640" s="501" t="s">
        <v>1096</v>
      </c>
      <c r="AA640" s="26"/>
      <c r="AB640" s="26"/>
      <c r="AC640" s="932"/>
      <c r="AD640" s="512"/>
    </row>
    <row r="641" spans="6:30" ht="10.5" customHeight="1">
      <c r="F641" s="332"/>
      <c r="G641" s="312"/>
      <c r="H641" s="312"/>
      <c r="I641" s="312"/>
      <c r="J641" s="312"/>
      <c r="K641" s="312"/>
      <c r="L641" s="312"/>
      <c r="M641" s="312"/>
      <c r="N641" s="312"/>
      <c r="O641" s="312"/>
      <c r="P641" s="554" t="s">
        <v>2379</v>
      </c>
      <c r="Q641" s="292"/>
      <c r="R641" s="170"/>
      <c r="S641" s="389"/>
      <c r="T641" s="501" t="s">
        <v>2265</v>
      </c>
      <c r="U641" s="501" t="s">
        <v>2167</v>
      </c>
      <c r="AA641" s="26"/>
      <c r="AB641" s="26"/>
      <c r="AC641" s="931"/>
      <c r="AD641" s="512"/>
    </row>
    <row r="642" spans="6:30" ht="10.5" customHeight="1">
      <c r="F642" s="332"/>
      <c r="G642" s="312"/>
      <c r="H642" s="312"/>
      <c r="I642" s="312"/>
      <c r="J642" s="312"/>
      <c r="K642" s="312"/>
      <c r="L642" s="312"/>
      <c r="M642" s="312"/>
      <c r="N642" s="312"/>
      <c r="O642" s="312"/>
      <c r="P642" s="554" t="s">
        <v>2524</v>
      </c>
      <c r="Q642" s="292"/>
      <c r="R642" s="170"/>
      <c r="S642" s="389"/>
      <c r="T642" s="501" t="s">
        <v>2267</v>
      </c>
      <c r="U642" s="501" t="s">
        <v>657</v>
      </c>
      <c r="AA642" s="26"/>
      <c r="AB642" s="26"/>
      <c r="AC642" s="931"/>
      <c r="AD642" s="512"/>
    </row>
    <row r="643" spans="6:30" ht="10.5" customHeight="1">
      <c r="F643" s="332"/>
      <c r="G643" s="312"/>
      <c r="H643" s="312"/>
      <c r="I643" s="312"/>
      <c r="J643" s="312"/>
      <c r="K643" s="312"/>
      <c r="L643" s="312"/>
      <c r="M643" s="312"/>
      <c r="N643" s="312"/>
      <c r="O643" s="312"/>
      <c r="P643" s="554" t="s">
        <v>2000</v>
      </c>
      <c r="Q643" s="292"/>
      <c r="R643" s="170"/>
      <c r="S643" s="389"/>
      <c r="T643" s="501" t="s">
        <v>1769</v>
      </c>
      <c r="U643" s="501" t="s">
        <v>732</v>
      </c>
      <c r="AA643" s="26"/>
      <c r="AB643" s="26"/>
      <c r="AC643" s="931"/>
      <c r="AD643" s="512"/>
    </row>
    <row r="644" spans="6:30" ht="10.5" customHeight="1">
      <c r="F644" s="332"/>
      <c r="G644" s="312"/>
      <c r="H644" s="312"/>
      <c r="I644" s="312"/>
      <c r="J644" s="312"/>
      <c r="K644" s="312"/>
      <c r="L644" s="312"/>
      <c r="M644" s="312"/>
      <c r="N644" s="312"/>
      <c r="O644" s="312"/>
      <c r="P644" s="554" t="s">
        <v>943</v>
      </c>
      <c r="Q644" s="292"/>
      <c r="R644" s="170"/>
      <c r="S644" s="389"/>
      <c r="T644" s="555" t="s">
        <v>2520</v>
      </c>
      <c r="U644" s="555" t="s">
        <v>2006</v>
      </c>
      <c r="AA644" s="26"/>
      <c r="AB644" s="26"/>
      <c r="AC644" s="931"/>
      <c r="AD644" s="512"/>
    </row>
    <row r="645" spans="6:30" ht="10.5" customHeight="1">
      <c r="F645" s="332"/>
      <c r="G645" s="312"/>
      <c r="H645" s="312"/>
      <c r="I645" s="312"/>
      <c r="J645" s="312"/>
      <c r="K645" s="312"/>
      <c r="L645" s="312"/>
      <c r="M645" s="312"/>
      <c r="N645" s="312"/>
      <c r="O645" s="312"/>
      <c r="P645" s="554" t="s">
        <v>770</v>
      </c>
      <c r="Q645" s="292"/>
      <c r="R645" s="170"/>
      <c r="S645" s="389"/>
      <c r="T645" s="501" t="s">
        <v>2163</v>
      </c>
      <c r="U645" s="501" t="s">
        <v>1205</v>
      </c>
      <c r="AA645" s="26"/>
      <c r="AB645" s="26"/>
      <c r="AC645" s="932"/>
      <c r="AD645" s="512"/>
    </row>
    <row r="646" spans="6:30" ht="10.5" customHeight="1">
      <c r="F646" s="332"/>
      <c r="G646" s="312"/>
      <c r="H646" s="312"/>
      <c r="I646" s="312"/>
      <c r="J646" s="312"/>
      <c r="K646" s="312"/>
      <c r="L646" s="312"/>
      <c r="M646" s="312"/>
      <c r="N646" s="312"/>
      <c r="O646" s="312"/>
      <c r="P646" s="554" t="s">
        <v>1467</v>
      </c>
      <c r="Q646" s="292"/>
      <c r="R646" s="170"/>
      <c r="S646" s="389"/>
      <c r="T646" s="501" t="s">
        <v>1613</v>
      </c>
      <c r="U646" s="501" t="s">
        <v>659</v>
      </c>
      <c r="AA646" s="26"/>
      <c r="AB646" s="26"/>
      <c r="AC646" s="931"/>
      <c r="AD646" s="512"/>
    </row>
    <row r="647" spans="6:30" ht="10.5" customHeight="1">
      <c r="F647" s="332"/>
      <c r="G647" s="312"/>
      <c r="H647" s="312"/>
      <c r="I647" s="312"/>
      <c r="J647" s="312"/>
      <c r="K647" s="312"/>
      <c r="L647" s="312"/>
      <c r="M647" s="312"/>
      <c r="N647" s="312"/>
      <c r="O647" s="312"/>
      <c r="P647" s="554" t="s">
        <v>1469</v>
      </c>
      <c r="Q647" s="292"/>
      <c r="R647" s="170"/>
      <c r="S647" s="389"/>
      <c r="T647" s="501" t="s">
        <v>831</v>
      </c>
      <c r="U647" s="501" t="s">
        <v>1312</v>
      </c>
      <c r="AA647" s="26"/>
      <c r="AB647" s="26"/>
      <c r="AC647" s="931"/>
      <c r="AD647" s="512"/>
    </row>
    <row r="648" spans="6:30" ht="10.5" customHeight="1">
      <c r="F648" s="332"/>
      <c r="G648" s="312"/>
      <c r="H648" s="312"/>
      <c r="I648" s="312"/>
      <c r="J648" s="312"/>
      <c r="K648" s="312"/>
      <c r="L648" s="312"/>
      <c r="M648" s="312"/>
      <c r="N648" s="312"/>
      <c r="O648" s="312"/>
      <c r="P648" s="554" t="s">
        <v>1471</v>
      </c>
      <c r="Q648" s="292"/>
      <c r="R648" s="170"/>
      <c r="S648" s="389"/>
      <c r="T648" s="501" t="s">
        <v>1616</v>
      </c>
      <c r="U648" s="501" t="s">
        <v>2583</v>
      </c>
      <c r="AA648" s="26"/>
      <c r="AB648" s="26"/>
      <c r="AC648" s="931"/>
      <c r="AD648" s="512"/>
    </row>
    <row r="649" spans="6:30" ht="10.5" customHeight="1">
      <c r="F649" s="332"/>
      <c r="G649" s="312"/>
      <c r="H649" s="312"/>
      <c r="I649" s="312"/>
      <c r="J649" s="312"/>
      <c r="K649" s="312"/>
      <c r="L649" s="312"/>
      <c r="M649" s="312"/>
      <c r="N649" s="312"/>
      <c r="O649" s="312"/>
      <c r="P649" s="554" t="s">
        <v>1304</v>
      </c>
      <c r="Q649" s="292"/>
      <c r="R649" s="170"/>
      <c r="S649" s="389"/>
      <c r="T649" s="501" t="s">
        <v>1619</v>
      </c>
      <c r="U649" s="501" t="s">
        <v>1632</v>
      </c>
      <c r="AA649" s="26"/>
      <c r="AB649" s="26"/>
      <c r="AC649" s="931"/>
      <c r="AD649" s="512"/>
    </row>
    <row r="650" spans="6:30" ht="10.5" customHeight="1">
      <c r="F650" s="332"/>
      <c r="G650" s="312"/>
      <c r="H650" s="312"/>
      <c r="I650" s="312"/>
      <c r="J650" s="312"/>
      <c r="K650" s="312"/>
      <c r="L650" s="312"/>
      <c r="M650" s="312"/>
      <c r="N650" s="312"/>
      <c r="O650" s="312"/>
      <c r="P650" s="554" t="s">
        <v>1306</v>
      </c>
      <c r="Q650" s="292"/>
      <c r="R650" s="170"/>
      <c r="S650" s="389"/>
      <c r="T650" s="555" t="s">
        <v>1070</v>
      </c>
      <c r="U650" s="555" t="s">
        <v>1519</v>
      </c>
      <c r="AA650" s="26"/>
      <c r="AB650" s="26"/>
      <c r="AC650" s="931"/>
      <c r="AD650" s="512"/>
    </row>
    <row r="651" spans="6:30" ht="10.5" customHeight="1">
      <c r="F651" s="332"/>
      <c r="G651" s="312"/>
      <c r="H651" s="312"/>
      <c r="I651" s="312"/>
      <c r="J651" s="312"/>
      <c r="K651" s="312"/>
      <c r="L651" s="312"/>
      <c r="M651" s="312"/>
      <c r="N651" s="312"/>
      <c r="O651" s="312"/>
      <c r="P651" s="554" t="s">
        <v>1990</v>
      </c>
      <c r="Q651" s="292"/>
      <c r="R651" s="170"/>
      <c r="S651" s="389"/>
      <c r="T651" s="501" t="s">
        <v>2415</v>
      </c>
      <c r="U651" s="501" t="s">
        <v>106</v>
      </c>
      <c r="AA651" s="26"/>
      <c r="AB651" s="26"/>
      <c r="AC651" s="932"/>
      <c r="AD651" s="512"/>
    </row>
    <row r="652" spans="6:30" ht="10.5" customHeight="1">
      <c r="F652" s="332"/>
      <c r="G652" s="312"/>
      <c r="H652" s="312"/>
      <c r="I652" s="312"/>
      <c r="J652" s="312"/>
      <c r="K652" s="312"/>
      <c r="L652" s="312"/>
      <c r="M652" s="312"/>
      <c r="N652" s="312"/>
      <c r="O652" s="312"/>
      <c r="P652" s="554" t="s">
        <v>733</v>
      </c>
      <c r="Q652" s="292"/>
      <c r="R652" s="170"/>
      <c r="S652" s="389"/>
      <c r="T652" s="501" t="s">
        <v>814</v>
      </c>
      <c r="U652" s="501" t="s">
        <v>1205</v>
      </c>
      <c r="AA652" s="26"/>
      <c r="AB652" s="26"/>
      <c r="AC652" s="931"/>
      <c r="AD652" s="512"/>
    </row>
    <row r="653" spans="6:30" ht="10.5" customHeight="1">
      <c r="F653" s="332"/>
      <c r="G653" s="312"/>
      <c r="H653" s="312"/>
      <c r="I653" s="312"/>
      <c r="J653" s="312"/>
      <c r="K653" s="312"/>
      <c r="L653" s="312"/>
      <c r="M653" s="312"/>
      <c r="N653" s="312"/>
      <c r="O653" s="312"/>
      <c r="P653" s="554" t="s">
        <v>1265</v>
      </c>
      <c r="Q653" s="292"/>
      <c r="R653" s="170"/>
      <c r="S653" s="389"/>
      <c r="T653" s="501" t="s">
        <v>1302</v>
      </c>
      <c r="U653" s="501" t="s">
        <v>1908</v>
      </c>
      <c r="AA653" s="26"/>
      <c r="AB653" s="26"/>
      <c r="AC653" s="931"/>
      <c r="AD653" s="512"/>
    </row>
    <row r="654" spans="6:30" ht="10.5" customHeight="1">
      <c r="F654" s="332"/>
      <c r="G654" s="312"/>
      <c r="H654" s="312"/>
      <c r="I654" s="312"/>
      <c r="J654" s="312"/>
      <c r="K654" s="312"/>
      <c r="L654" s="312"/>
      <c r="M654" s="312"/>
      <c r="N654" s="312"/>
      <c r="O654" s="312"/>
      <c r="P654" s="554" t="s">
        <v>1881</v>
      </c>
      <c r="Q654" s="292"/>
      <c r="R654" s="170"/>
      <c r="S654" s="389"/>
      <c r="T654" s="501" t="s">
        <v>168</v>
      </c>
      <c r="U654" s="501" t="s">
        <v>1328</v>
      </c>
      <c r="AA654" s="26"/>
      <c r="AB654" s="26"/>
      <c r="AC654" s="931"/>
      <c r="AD654" s="512"/>
    </row>
    <row r="655" spans="6:30" ht="10.5" customHeight="1">
      <c r="F655" s="332"/>
      <c r="G655" s="312"/>
      <c r="H655" s="312"/>
      <c r="I655" s="312"/>
      <c r="J655" s="312"/>
      <c r="K655" s="312"/>
      <c r="L655" s="312"/>
      <c r="M655" s="312"/>
      <c r="N655" s="312"/>
      <c r="O655" s="312"/>
      <c r="P655" s="554" t="s">
        <v>1882</v>
      </c>
      <c r="Q655" s="292"/>
      <c r="R655" s="170"/>
      <c r="S655" s="389"/>
      <c r="T655" s="501" t="s">
        <v>989</v>
      </c>
      <c r="U655" s="501" t="s">
        <v>1664</v>
      </c>
      <c r="AA655" s="26"/>
      <c r="AB655" s="26"/>
      <c r="AC655" s="931"/>
      <c r="AD655" s="512"/>
    </row>
    <row r="656" spans="6:30" ht="10.5" customHeight="1">
      <c r="F656" s="332"/>
      <c r="G656" s="312"/>
      <c r="H656" s="312"/>
      <c r="I656" s="312"/>
      <c r="J656" s="312"/>
      <c r="K656" s="312"/>
      <c r="L656" s="312"/>
      <c r="M656" s="312"/>
      <c r="N656" s="312"/>
      <c r="O656" s="312"/>
      <c r="P656" s="554" t="s">
        <v>1884</v>
      </c>
      <c r="Q656" s="292"/>
      <c r="R656" s="170"/>
      <c r="S656" s="389"/>
      <c r="T656" s="501" t="s">
        <v>2869</v>
      </c>
      <c r="U656" s="501" t="s">
        <v>326</v>
      </c>
      <c r="AA656" s="26"/>
      <c r="AB656" s="26"/>
      <c r="AC656" s="931"/>
      <c r="AD656" s="512"/>
    </row>
    <row r="657" spans="6:30" ht="10.5" customHeight="1">
      <c r="F657" s="332"/>
      <c r="G657" s="312"/>
      <c r="H657" s="312"/>
      <c r="I657" s="312"/>
      <c r="J657" s="312"/>
      <c r="K657" s="312"/>
      <c r="L657" s="312"/>
      <c r="M657" s="312"/>
      <c r="N657" s="312"/>
      <c r="O657" s="312"/>
      <c r="P657" s="554" t="s">
        <v>1886</v>
      </c>
      <c r="Q657" s="292"/>
      <c r="R657" s="170"/>
      <c r="S657" s="389"/>
      <c r="T657" s="501" t="s">
        <v>2870</v>
      </c>
      <c r="U657" s="501" t="s">
        <v>114</v>
      </c>
      <c r="AA657" s="26"/>
      <c r="AB657" s="26"/>
      <c r="AC657" s="931"/>
      <c r="AD657" s="512"/>
    </row>
    <row r="658" spans="6:30" ht="10.5" customHeight="1">
      <c r="F658" s="332"/>
      <c r="G658" s="312"/>
      <c r="H658" s="312"/>
      <c r="I658" s="312"/>
      <c r="J658" s="312"/>
      <c r="K658" s="312"/>
      <c r="L658" s="312"/>
      <c r="M658" s="312"/>
      <c r="N658" s="312"/>
      <c r="O658" s="312"/>
      <c r="P658" s="554" t="s">
        <v>1888</v>
      </c>
      <c r="Q658" s="292"/>
      <c r="R658" s="170"/>
      <c r="S658" s="389"/>
      <c r="T658" s="501" t="s">
        <v>1325</v>
      </c>
      <c r="U658" s="501" t="s">
        <v>159</v>
      </c>
      <c r="AA658" s="26"/>
      <c r="AB658" s="26"/>
      <c r="AC658" s="931"/>
      <c r="AD658" s="512"/>
    </row>
    <row r="659" spans="6:30" ht="10.5" customHeight="1">
      <c r="F659" s="332"/>
      <c r="G659" s="312"/>
      <c r="H659" s="312"/>
      <c r="I659" s="312"/>
      <c r="J659" s="312"/>
      <c r="K659" s="312"/>
      <c r="L659" s="312"/>
      <c r="M659" s="312"/>
      <c r="N659" s="312"/>
      <c r="O659" s="312"/>
      <c r="P659" s="554" t="s">
        <v>500</v>
      </c>
      <c r="Q659" s="292"/>
      <c r="R659" s="170"/>
      <c r="S659" s="389"/>
      <c r="T659" s="501" t="s">
        <v>2525</v>
      </c>
      <c r="U659" s="501" t="s">
        <v>870</v>
      </c>
      <c r="AA659" s="26"/>
      <c r="AB659" s="26"/>
      <c r="AC659" s="931"/>
      <c r="AD659" s="512"/>
    </row>
    <row r="660" spans="6:30" ht="10.5" customHeight="1">
      <c r="F660" s="332"/>
      <c r="G660" s="312"/>
      <c r="H660" s="312"/>
      <c r="I660" s="312"/>
      <c r="J660" s="312"/>
      <c r="K660" s="312"/>
      <c r="L660" s="312"/>
      <c r="M660" s="312"/>
      <c r="N660" s="312"/>
      <c r="O660" s="312"/>
      <c r="P660" s="554" t="s">
        <v>2534</v>
      </c>
      <c r="Q660" s="292"/>
      <c r="R660" s="170"/>
      <c r="S660" s="389"/>
      <c r="T660" s="501" t="s">
        <v>1071</v>
      </c>
      <c r="U660" s="501" t="s">
        <v>627</v>
      </c>
      <c r="AA660" s="26"/>
      <c r="AB660" s="26"/>
      <c r="AC660" s="931"/>
      <c r="AD660" s="512"/>
    </row>
    <row r="661" spans="6:30" ht="10.5" customHeight="1">
      <c r="F661" s="332"/>
      <c r="G661" s="312"/>
      <c r="H661" s="312"/>
      <c r="I661" s="312"/>
      <c r="J661" s="312"/>
      <c r="K661" s="312"/>
      <c r="L661" s="312"/>
      <c r="M661" s="312"/>
      <c r="N661" s="312"/>
      <c r="O661" s="312"/>
      <c r="P661" s="554" t="s">
        <v>2536</v>
      </c>
      <c r="Q661" s="292"/>
      <c r="R661" s="170"/>
      <c r="S661" s="389"/>
      <c r="T661" s="555" t="s">
        <v>2167</v>
      </c>
      <c r="U661" s="555" t="s">
        <v>108</v>
      </c>
      <c r="AA661" s="26"/>
      <c r="AB661" s="26"/>
      <c r="AC661" s="931"/>
      <c r="AD661" s="512"/>
    </row>
    <row r="662" spans="6:30" ht="10.5" customHeight="1">
      <c r="F662" s="332"/>
      <c r="G662" s="312"/>
      <c r="H662" s="312"/>
      <c r="I662" s="312"/>
      <c r="J662" s="312"/>
      <c r="K662" s="312"/>
      <c r="L662" s="312"/>
      <c r="M662" s="312"/>
      <c r="N662" s="312"/>
      <c r="O662" s="312"/>
      <c r="P662" s="554" t="s">
        <v>1153</v>
      </c>
      <c r="Q662" s="292"/>
      <c r="R662" s="170"/>
      <c r="S662" s="389"/>
      <c r="T662" s="501" t="s">
        <v>2764</v>
      </c>
      <c r="U662" s="501" t="s">
        <v>1607</v>
      </c>
      <c r="AA662" s="26"/>
      <c r="AB662" s="26"/>
      <c r="AC662" s="932"/>
      <c r="AD662" s="512"/>
    </row>
    <row r="663" spans="6:30" ht="10.5" customHeight="1">
      <c r="F663" s="332"/>
      <c r="G663" s="312"/>
      <c r="H663" s="312"/>
      <c r="I663" s="312"/>
      <c r="J663" s="312"/>
      <c r="K663" s="312"/>
      <c r="L663" s="312"/>
      <c r="M663" s="312"/>
      <c r="N663" s="312"/>
      <c r="O663" s="312"/>
      <c r="P663" s="554" t="s">
        <v>2515</v>
      </c>
      <c r="Q663" s="292"/>
      <c r="R663" s="170"/>
      <c r="S663" s="389"/>
      <c r="T663" s="501" t="s">
        <v>1468</v>
      </c>
      <c r="U663" s="501" t="s">
        <v>2530</v>
      </c>
      <c r="AA663" s="26"/>
      <c r="AB663" s="26"/>
      <c r="AC663" s="931"/>
      <c r="AD663" s="512"/>
    </row>
    <row r="664" spans="6:30" ht="10.5" customHeight="1">
      <c r="F664" s="332"/>
      <c r="G664" s="312"/>
      <c r="H664" s="312"/>
      <c r="I664" s="312"/>
      <c r="J664" s="312"/>
      <c r="K664" s="312"/>
      <c r="L664" s="312"/>
      <c r="M664" s="312"/>
      <c r="N664" s="312"/>
      <c r="O664" s="312"/>
      <c r="P664" s="554" t="s">
        <v>2517</v>
      </c>
      <c r="Q664" s="292"/>
      <c r="R664" s="170"/>
      <c r="S664" s="389"/>
      <c r="T664" s="501" t="s">
        <v>2871</v>
      </c>
      <c r="U664" s="501" t="s">
        <v>1950</v>
      </c>
      <c r="AA664" s="26"/>
      <c r="AB664" s="26"/>
      <c r="AC664" s="931"/>
      <c r="AD664" s="512"/>
    </row>
    <row r="665" spans="6:30" ht="10.5" customHeight="1">
      <c r="F665" s="332"/>
      <c r="G665" s="312"/>
      <c r="H665" s="312"/>
      <c r="I665" s="312"/>
      <c r="J665" s="312"/>
      <c r="K665" s="312"/>
      <c r="L665" s="312"/>
      <c r="M665" s="312"/>
      <c r="N665" s="312"/>
      <c r="O665" s="312"/>
      <c r="P665" s="554" t="s">
        <v>1530</v>
      </c>
      <c r="Q665" s="292"/>
      <c r="R665" s="170"/>
      <c r="S665" s="389"/>
      <c r="T665" s="501" t="s">
        <v>1470</v>
      </c>
      <c r="U665" s="501" t="s">
        <v>325</v>
      </c>
      <c r="AA665" s="26"/>
      <c r="AB665" s="26"/>
      <c r="AC665" s="931"/>
      <c r="AD665" s="512"/>
    </row>
    <row r="666" spans="6:30" ht="10.5" customHeight="1">
      <c r="F666" s="332"/>
      <c r="G666" s="312"/>
      <c r="H666" s="312"/>
      <c r="I666" s="312"/>
      <c r="J666" s="312"/>
      <c r="K666" s="312"/>
      <c r="L666" s="312"/>
      <c r="M666" s="312"/>
      <c r="N666" s="312"/>
      <c r="O666" s="312"/>
      <c r="P666" s="554" t="s">
        <v>1531</v>
      </c>
      <c r="Q666" s="292"/>
      <c r="R666" s="170"/>
      <c r="S666" s="389"/>
      <c r="T666" s="501" t="s">
        <v>1072</v>
      </c>
      <c r="U666" s="501" t="s">
        <v>657</v>
      </c>
      <c r="AA666" s="26"/>
      <c r="AB666" s="26"/>
      <c r="AC666" s="931"/>
      <c r="AD666" s="512"/>
    </row>
    <row r="667" spans="6:30" ht="10.5" customHeight="1">
      <c r="F667" s="332"/>
      <c r="G667" s="312"/>
      <c r="H667" s="312"/>
      <c r="I667" s="312"/>
      <c r="J667" s="312"/>
      <c r="K667" s="312"/>
      <c r="L667" s="312"/>
      <c r="M667" s="312"/>
      <c r="N667" s="312"/>
      <c r="O667" s="312"/>
      <c r="P667" s="554" t="s">
        <v>2099</v>
      </c>
      <c r="Q667" s="292"/>
      <c r="R667" s="170"/>
      <c r="S667" s="389"/>
      <c r="T667" s="501" t="s">
        <v>1305</v>
      </c>
      <c r="U667" s="501" t="s">
        <v>2180</v>
      </c>
      <c r="AA667" s="26"/>
      <c r="AB667" s="26"/>
      <c r="AC667" s="931"/>
      <c r="AD667" s="512"/>
    </row>
    <row r="668" spans="6:30" ht="10.5" customHeight="1">
      <c r="F668" s="332"/>
      <c r="G668" s="312"/>
      <c r="H668" s="312"/>
      <c r="I668" s="312"/>
      <c r="J668" s="312"/>
      <c r="K668" s="312"/>
      <c r="L668" s="312"/>
      <c r="M668" s="312"/>
      <c r="N668" s="312"/>
      <c r="O668" s="312"/>
      <c r="P668" s="554" t="s">
        <v>2100</v>
      </c>
      <c r="Q668" s="292"/>
      <c r="R668" s="170"/>
      <c r="S668" s="389"/>
      <c r="T668" s="501" t="s">
        <v>1307</v>
      </c>
      <c r="U668" s="501" t="s">
        <v>2530</v>
      </c>
      <c r="AA668" s="26"/>
      <c r="AB668" s="26"/>
      <c r="AC668" s="931"/>
      <c r="AD668" s="512"/>
    </row>
    <row r="669" spans="6:30" ht="10.5" customHeight="1">
      <c r="F669" s="332"/>
      <c r="G669" s="312"/>
      <c r="H669" s="312"/>
      <c r="I669" s="312"/>
      <c r="J669" s="312"/>
      <c r="K669" s="312"/>
      <c r="L669" s="312"/>
      <c r="M669" s="312"/>
      <c r="N669" s="312"/>
      <c r="O669" s="312"/>
      <c r="P669" s="554" t="s">
        <v>1621</v>
      </c>
      <c r="Q669" s="292"/>
      <c r="R669" s="170"/>
      <c r="S669" s="389"/>
      <c r="T669" s="501" t="s">
        <v>1991</v>
      </c>
      <c r="U669" s="501" t="s">
        <v>1106</v>
      </c>
      <c r="AA669" s="26"/>
      <c r="AB669" s="26"/>
      <c r="AC669" s="931"/>
      <c r="AD669" s="512"/>
    </row>
    <row r="670" spans="6:30" ht="10.5" customHeight="1">
      <c r="F670" s="332"/>
      <c r="G670" s="312"/>
      <c r="H670" s="312"/>
      <c r="I670" s="312"/>
      <c r="J670" s="312"/>
      <c r="K670" s="312"/>
      <c r="L670" s="312"/>
      <c r="M670" s="312"/>
      <c r="N670" s="312"/>
      <c r="O670" s="312"/>
      <c r="P670" s="554" t="s">
        <v>1623</v>
      </c>
      <c r="Q670" s="292"/>
      <c r="R670" s="170"/>
      <c r="S670" s="389"/>
      <c r="T670" s="501" t="s">
        <v>734</v>
      </c>
      <c r="U670" s="501" t="s">
        <v>315</v>
      </c>
      <c r="AA670" s="26"/>
      <c r="AB670" s="26"/>
      <c r="AC670" s="931"/>
      <c r="AD670" s="512"/>
    </row>
    <row r="671" spans="6:30" ht="10.5" customHeight="1">
      <c r="F671" s="332"/>
      <c r="G671" s="312"/>
      <c r="H671" s="312"/>
      <c r="I671" s="312"/>
      <c r="J671" s="312"/>
      <c r="K671" s="312"/>
      <c r="L671" s="312"/>
      <c r="M671" s="312"/>
      <c r="N671" s="312"/>
      <c r="O671" s="312"/>
      <c r="P671" s="554" t="s">
        <v>935</v>
      </c>
      <c r="Q671" s="292"/>
      <c r="R671" s="170"/>
      <c r="S671" s="389"/>
      <c r="T671" s="501" t="s">
        <v>1266</v>
      </c>
      <c r="U671" s="501" t="s">
        <v>670</v>
      </c>
      <c r="AA671" s="26"/>
      <c r="AB671" s="26"/>
      <c r="AC671" s="931"/>
      <c r="AD671" s="512"/>
    </row>
    <row r="672" spans="6:30" ht="10.5" customHeight="1">
      <c r="F672" s="332"/>
      <c r="G672" s="312"/>
      <c r="H672" s="312"/>
      <c r="I672" s="312"/>
      <c r="J672" s="312"/>
      <c r="K672" s="312"/>
      <c r="L672" s="312"/>
      <c r="M672" s="312"/>
      <c r="N672" s="312"/>
      <c r="O672" s="312"/>
      <c r="P672" s="554" t="s">
        <v>937</v>
      </c>
      <c r="Q672" s="292"/>
      <c r="R672" s="170"/>
      <c r="S672" s="389"/>
      <c r="T672" s="501" t="s">
        <v>1073</v>
      </c>
      <c r="U672" s="501" t="s">
        <v>159</v>
      </c>
      <c r="AA672" s="26"/>
      <c r="AB672" s="26"/>
      <c r="AC672" s="931"/>
      <c r="AD672" s="512"/>
    </row>
    <row r="673" spans="6:30" ht="10.5" customHeight="1">
      <c r="F673" s="332"/>
      <c r="G673" s="312"/>
      <c r="H673" s="312"/>
      <c r="I673" s="312"/>
      <c r="J673" s="312"/>
      <c r="K673" s="312"/>
      <c r="L673" s="312"/>
      <c r="M673" s="312"/>
      <c r="N673" s="312"/>
      <c r="O673" s="312"/>
      <c r="P673" s="554" t="s">
        <v>939</v>
      </c>
      <c r="Q673" s="292"/>
      <c r="R673" s="170"/>
      <c r="S673" s="389"/>
      <c r="T673" s="555" t="s">
        <v>1883</v>
      </c>
      <c r="U673" s="555" t="s">
        <v>1104</v>
      </c>
      <c r="AA673" s="26"/>
      <c r="AB673" s="26"/>
      <c r="AC673" s="931"/>
      <c r="AD673" s="512"/>
    </row>
    <row r="674" spans="6:30" ht="10.5" customHeight="1">
      <c r="F674" s="332"/>
      <c r="G674" s="312"/>
      <c r="H674" s="312"/>
      <c r="I674" s="312"/>
      <c r="J674" s="312"/>
      <c r="K674" s="312"/>
      <c r="L674" s="312"/>
      <c r="M674" s="312"/>
      <c r="N674" s="312"/>
      <c r="O674" s="312"/>
      <c r="P674" s="554" t="s">
        <v>2500</v>
      </c>
      <c r="Q674" s="292"/>
      <c r="R674" s="170"/>
      <c r="S674" s="389"/>
      <c r="T674" s="555" t="s">
        <v>1885</v>
      </c>
      <c r="U674" s="555" t="s">
        <v>1454</v>
      </c>
      <c r="AA674" s="26"/>
      <c r="AB674" s="26"/>
      <c r="AC674" s="932"/>
      <c r="AD674" s="512"/>
    </row>
    <row r="675" spans="6:30" ht="10.5" customHeight="1">
      <c r="F675" s="332"/>
      <c r="G675" s="312"/>
      <c r="H675" s="312"/>
      <c r="I675" s="312"/>
      <c r="J675" s="312"/>
      <c r="K675" s="312"/>
      <c r="L675" s="312"/>
      <c r="M675" s="312"/>
      <c r="N675" s="312"/>
      <c r="O675" s="312"/>
      <c r="P675" s="554" t="s">
        <v>2502</v>
      </c>
      <c r="Q675" s="292"/>
      <c r="R675" s="170"/>
      <c r="S675" s="389"/>
      <c r="T675" s="501" t="s">
        <v>1887</v>
      </c>
      <c r="U675" s="501" t="s">
        <v>2485</v>
      </c>
      <c r="AA675" s="26"/>
      <c r="AB675" s="26"/>
      <c r="AC675" s="932"/>
      <c r="AD675" s="512"/>
    </row>
    <row r="676" spans="6:30" ht="10.5" customHeight="1">
      <c r="F676" s="332"/>
      <c r="G676" s="312"/>
      <c r="H676" s="312"/>
      <c r="I676" s="312"/>
      <c r="J676" s="312"/>
      <c r="K676" s="312"/>
      <c r="L676" s="312"/>
      <c r="M676" s="312"/>
      <c r="N676" s="312"/>
      <c r="O676" s="312"/>
      <c r="P676" s="554" t="s">
        <v>2503</v>
      </c>
      <c r="Q676" s="292"/>
      <c r="R676" s="170"/>
      <c r="S676" s="389"/>
      <c r="T676" s="501" t="s">
        <v>1889</v>
      </c>
      <c r="U676" s="501" t="s">
        <v>121</v>
      </c>
      <c r="AA676" s="26"/>
      <c r="AB676" s="26"/>
      <c r="AC676" s="931"/>
      <c r="AD676" s="512"/>
    </row>
    <row r="677" spans="6:30" ht="10.5" customHeight="1">
      <c r="F677" s="332"/>
      <c r="G677" s="312"/>
      <c r="H677" s="312"/>
      <c r="I677" s="312"/>
      <c r="J677" s="312"/>
      <c r="K677" s="312"/>
      <c r="L677" s="312"/>
      <c r="M677" s="312"/>
      <c r="N677" s="312"/>
      <c r="O677" s="312"/>
      <c r="P677" s="554" t="s">
        <v>1900</v>
      </c>
      <c r="Q677" s="292"/>
      <c r="R677" s="170"/>
      <c r="S677" s="389"/>
      <c r="T677" s="501" t="s">
        <v>501</v>
      </c>
      <c r="U677" s="501" t="s">
        <v>2007</v>
      </c>
      <c r="AA677" s="26"/>
      <c r="AB677" s="26"/>
      <c r="AC677" s="931"/>
      <c r="AD677" s="512"/>
    </row>
    <row r="678" spans="6:30" ht="10.5" customHeight="1">
      <c r="F678" s="332"/>
      <c r="G678" s="312"/>
      <c r="H678" s="312"/>
      <c r="I678" s="312"/>
      <c r="J678" s="312"/>
      <c r="K678" s="312"/>
      <c r="L678" s="312"/>
      <c r="M678" s="312"/>
      <c r="N678" s="312"/>
      <c r="O678" s="312"/>
      <c r="P678" s="554" t="s">
        <v>1901</v>
      </c>
      <c r="Q678" s="292"/>
      <c r="R678" s="170"/>
      <c r="S678" s="389"/>
      <c r="T678" s="501" t="s">
        <v>2535</v>
      </c>
      <c r="U678" s="501" t="s">
        <v>1912</v>
      </c>
      <c r="AA678" s="26"/>
      <c r="AB678" s="26"/>
      <c r="AC678" s="931"/>
      <c r="AD678" s="512"/>
    </row>
    <row r="679" spans="6:30" ht="10.5" customHeight="1">
      <c r="F679" s="332"/>
      <c r="G679" s="312"/>
      <c r="H679" s="312"/>
      <c r="I679" s="312"/>
      <c r="J679" s="312"/>
      <c r="K679" s="312"/>
      <c r="L679" s="312"/>
      <c r="M679" s="312"/>
      <c r="N679" s="312"/>
      <c r="O679" s="312"/>
      <c r="P679" s="554" t="s">
        <v>1903</v>
      </c>
      <c r="Q679" s="292"/>
      <c r="R679" s="170"/>
      <c r="S679" s="389"/>
      <c r="T679" s="501" t="s">
        <v>4740</v>
      </c>
      <c r="U679" s="501" t="s">
        <v>1205</v>
      </c>
      <c r="AA679" s="26"/>
      <c r="AB679" s="26"/>
      <c r="AC679" s="931"/>
      <c r="AD679" s="512"/>
    </row>
    <row r="680" spans="6:30" ht="10.5" customHeight="1">
      <c r="F680" s="332"/>
      <c r="G680" s="312"/>
      <c r="H680" s="312"/>
      <c r="I680" s="312"/>
      <c r="J680" s="312"/>
      <c r="K680" s="312"/>
      <c r="L680" s="312"/>
      <c r="M680" s="312"/>
      <c r="N680" s="312"/>
      <c r="O680" s="312"/>
      <c r="P680" s="554" t="s">
        <v>642</v>
      </c>
      <c r="Q680" s="292"/>
      <c r="R680" s="170"/>
      <c r="S680" s="389"/>
      <c r="T680" s="501" t="s">
        <v>2537</v>
      </c>
      <c r="U680" s="501" t="s">
        <v>2528</v>
      </c>
      <c r="AA680" s="26"/>
      <c r="AB680" s="26"/>
      <c r="AC680" s="931"/>
      <c r="AD680" s="512"/>
    </row>
    <row r="681" spans="6:30" ht="10.5" customHeight="1">
      <c r="F681" s="332"/>
      <c r="G681" s="312"/>
      <c r="H681" s="312"/>
      <c r="I681" s="312"/>
      <c r="J681" s="312"/>
      <c r="K681" s="312"/>
      <c r="L681" s="312"/>
      <c r="M681" s="312"/>
      <c r="N681" s="312"/>
      <c r="O681" s="312"/>
      <c r="P681" s="554" t="s">
        <v>644</v>
      </c>
      <c r="Q681" s="292"/>
      <c r="R681" s="170"/>
      <c r="S681" s="389"/>
      <c r="T681" s="501" t="s">
        <v>1154</v>
      </c>
      <c r="U681" s="501" t="s">
        <v>312</v>
      </c>
      <c r="AA681" s="26"/>
      <c r="AB681" s="26"/>
      <c r="AC681" s="931"/>
      <c r="AD681" s="512"/>
    </row>
    <row r="682" spans="6:30" ht="10.5" customHeight="1">
      <c r="F682" s="332"/>
      <c r="G682" s="312"/>
      <c r="H682" s="312"/>
      <c r="I682" s="312"/>
      <c r="J682" s="312"/>
      <c r="K682" s="312"/>
      <c r="L682" s="312"/>
      <c r="M682" s="312"/>
      <c r="N682" s="312"/>
      <c r="O682" s="312"/>
      <c r="P682" s="554" t="s">
        <v>645</v>
      </c>
      <c r="Q682" s="292"/>
      <c r="R682" s="170"/>
      <c r="S682" s="389"/>
      <c r="T682" s="501" t="s">
        <v>2516</v>
      </c>
      <c r="U682" s="501" t="s">
        <v>876</v>
      </c>
      <c r="AA682" s="26"/>
      <c r="AB682" s="26"/>
      <c r="AC682" s="931"/>
      <c r="AD682" s="512"/>
    </row>
    <row r="683" spans="6:30" ht="10.5" customHeight="1">
      <c r="F683" s="332"/>
      <c r="G683" s="312"/>
      <c r="H683" s="312"/>
      <c r="I683" s="312"/>
      <c r="J683" s="312"/>
      <c r="K683" s="312"/>
      <c r="L683" s="312"/>
      <c r="M683" s="312"/>
      <c r="N683" s="312"/>
      <c r="O683" s="312"/>
      <c r="P683" s="554" t="s">
        <v>2307</v>
      </c>
      <c r="Q683" s="292"/>
      <c r="R683" s="170"/>
      <c r="S683" s="389"/>
      <c r="T683" s="501" t="s">
        <v>815</v>
      </c>
      <c r="U683" s="501" t="s">
        <v>1333</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1069</v>
      </c>
      <c r="U684" s="501" t="s">
        <v>665</v>
      </c>
      <c r="AA684" s="26"/>
      <c r="AB684" s="26"/>
      <c r="AC684" s="931"/>
      <c r="AD684" s="512"/>
    </row>
    <row r="685" spans="6:30" ht="10.5" customHeight="1">
      <c r="F685" s="332"/>
      <c r="G685" s="312"/>
      <c r="H685" s="312"/>
      <c r="I685" s="312"/>
      <c r="J685" s="312"/>
      <c r="K685" s="312"/>
      <c r="L685" s="312"/>
      <c r="M685" s="312"/>
      <c r="N685" s="312"/>
      <c r="O685" s="312"/>
      <c r="P685" s="554" t="s">
        <v>1413</v>
      </c>
      <c r="Q685" s="292"/>
      <c r="R685" s="170"/>
      <c r="S685" s="389"/>
      <c r="T685" s="501" t="s">
        <v>1532</v>
      </c>
      <c r="U685" s="501" t="s">
        <v>328</v>
      </c>
      <c r="AA685" s="26"/>
      <c r="AB685" s="26"/>
      <c r="AC685" s="931"/>
      <c r="AD685" s="512"/>
    </row>
    <row r="686" spans="6:30" ht="10.5" customHeight="1">
      <c r="F686" s="332"/>
      <c r="G686" s="312"/>
      <c r="H686" s="312"/>
      <c r="I686" s="312"/>
      <c r="J686" s="312"/>
      <c r="K686" s="312"/>
      <c r="L686" s="312"/>
      <c r="M686" s="312"/>
      <c r="N686" s="312"/>
      <c r="O686" s="312"/>
      <c r="P686" s="554" t="s">
        <v>2256</v>
      </c>
      <c r="Q686" s="292"/>
      <c r="R686" s="170"/>
      <c r="S686" s="389"/>
      <c r="T686" s="501" t="s">
        <v>2872</v>
      </c>
      <c r="U686" s="501" t="s">
        <v>875</v>
      </c>
      <c r="AA686" s="26"/>
      <c r="AB686" s="26"/>
      <c r="AC686" s="931"/>
      <c r="AD686" s="512"/>
    </row>
    <row r="687" spans="6:30" ht="10.5" customHeight="1">
      <c r="F687" s="332"/>
      <c r="G687" s="312"/>
      <c r="H687" s="312"/>
      <c r="I687" s="312"/>
      <c r="J687" s="312"/>
      <c r="K687" s="312"/>
      <c r="L687" s="312"/>
      <c r="M687" s="312"/>
      <c r="N687" s="312"/>
      <c r="O687" s="312"/>
      <c r="P687" s="554" t="s">
        <v>2258</v>
      </c>
      <c r="Q687" s="292"/>
      <c r="R687" s="170"/>
      <c r="S687" s="389"/>
      <c r="T687" s="501" t="s">
        <v>2101</v>
      </c>
      <c r="U687" s="501" t="s">
        <v>1326</v>
      </c>
      <c r="AA687" s="26"/>
      <c r="AB687" s="26"/>
      <c r="AC687" s="931"/>
      <c r="AD687" s="512"/>
    </row>
    <row r="688" spans="6:30" ht="10.5" customHeight="1">
      <c r="F688" s="332"/>
      <c r="G688" s="312"/>
      <c r="H688" s="312"/>
      <c r="I688" s="312"/>
      <c r="J688" s="312"/>
      <c r="K688" s="312"/>
      <c r="L688" s="312"/>
      <c r="M688" s="312"/>
      <c r="N688" s="312"/>
      <c r="O688" s="312"/>
      <c r="P688" s="554" t="s">
        <v>1803</v>
      </c>
      <c r="Q688" s="292"/>
      <c r="R688" s="170"/>
      <c r="S688" s="389"/>
      <c r="T688" s="501" t="s">
        <v>1622</v>
      </c>
      <c r="U688" s="501" t="s">
        <v>1312</v>
      </c>
      <c r="AA688" s="26"/>
      <c r="AB688" s="26"/>
      <c r="AC688" s="931"/>
      <c r="AD688" s="512"/>
    </row>
    <row r="689" spans="6:30" ht="10.5" customHeight="1">
      <c r="F689" s="332"/>
      <c r="G689" s="312"/>
      <c r="H689" s="312"/>
      <c r="I689" s="312"/>
      <c r="J689" s="312"/>
      <c r="K689" s="312"/>
      <c r="L689" s="312"/>
      <c r="M689" s="312"/>
      <c r="N689" s="312"/>
      <c r="O689" s="312"/>
      <c r="P689" s="554" t="s">
        <v>1116</v>
      </c>
      <c r="Q689" s="292"/>
      <c r="R689" s="170"/>
      <c r="S689" s="389"/>
      <c r="T689" s="501" t="s">
        <v>936</v>
      </c>
      <c r="U689" s="501" t="s">
        <v>2241</v>
      </c>
      <c r="AA689" s="26"/>
      <c r="AB689" s="26"/>
      <c r="AC689" s="931"/>
      <c r="AD689" s="512"/>
    </row>
    <row r="690" spans="6:30" ht="10.5" customHeight="1">
      <c r="F690" s="332"/>
      <c r="G690" s="312"/>
      <c r="H690" s="312"/>
      <c r="I690" s="312"/>
      <c r="J690" s="312"/>
      <c r="K690" s="312"/>
      <c r="L690" s="312"/>
      <c r="M690" s="312"/>
      <c r="N690" s="312"/>
      <c r="O690" s="312"/>
      <c r="P690" s="554" t="s">
        <v>2046</v>
      </c>
      <c r="Q690" s="292"/>
      <c r="R690" s="170"/>
      <c r="S690" s="389"/>
      <c r="T690" s="501" t="s">
        <v>938</v>
      </c>
      <c r="U690" s="501" t="s">
        <v>319</v>
      </c>
      <c r="AA690" s="26"/>
      <c r="AB690" s="26"/>
      <c r="AC690" s="931"/>
      <c r="AD690" s="512"/>
    </row>
    <row r="691" spans="6:30" ht="10.5" customHeight="1">
      <c r="F691" s="332"/>
      <c r="G691" s="312"/>
      <c r="H691" s="312"/>
      <c r="I691" s="312"/>
      <c r="J691" s="312"/>
      <c r="K691" s="312"/>
      <c r="L691" s="312"/>
      <c r="M691" s="312"/>
      <c r="N691" s="312"/>
      <c r="O691" s="312"/>
      <c r="P691" s="554" t="s">
        <v>1967</v>
      </c>
      <c r="Q691" s="292"/>
      <c r="R691" s="170"/>
      <c r="S691" s="389"/>
      <c r="T691" s="501" t="s">
        <v>2501</v>
      </c>
      <c r="U691" s="501" t="s">
        <v>627</v>
      </c>
      <c r="AA691" s="26"/>
      <c r="AB691" s="26"/>
      <c r="AC691" s="931"/>
      <c r="AD691" s="512"/>
    </row>
    <row r="692" spans="6:30" ht="10.5" customHeight="1">
      <c r="F692" s="332"/>
      <c r="G692" s="312"/>
      <c r="H692" s="312"/>
      <c r="I692" s="312"/>
      <c r="J692" s="312"/>
      <c r="K692" s="312"/>
      <c r="L692" s="312"/>
      <c r="M692" s="312"/>
      <c r="N692" s="312"/>
      <c r="O692" s="312"/>
      <c r="P692" s="554" t="s">
        <v>1969</v>
      </c>
      <c r="Q692" s="292"/>
      <c r="R692" s="170"/>
      <c r="S692" s="389"/>
      <c r="T692" s="501" t="s">
        <v>4741</v>
      </c>
      <c r="U692" s="501" t="s">
        <v>627</v>
      </c>
      <c r="AA692" s="26"/>
      <c r="AB692" s="26"/>
      <c r="AC692" s="931"/>
      <c r="AD692" s="512"/>
    </row>
    <row r="693" spans="6:30" ht="10.5" customHeight="1">
      <c r="F693" s="332"/>
      <c r="G693" s="312"/>
      <c r="H693" s="312"/>
      <c r="I693" s="312"/>
      <c r="J693" s="312"/>
      <c r="K693" s="312"/>
      <c r="L693" s="312"/>
      <c r="M693" s="312"/>
      <c r="N693" s="312"/>
      <c r="O693" s="312"/>
      <c r="P693" s="554" t="s">
        <v>1971</v>
      </c>
      <c r="Q693" s="292"/>
      <c r="R693" s="170"/>
      <c r="S693" s="389"/>
      <c r="T693" s="501" t="s">
        <v>1899</v>
      </c>
      <c r="U693" s="501" t="s">
        <v>121</v>
      </c>
      <c r="AA693" s="26"/>
      <c r="AB693" s="26"/>
      <c r="AC693" s="931"/>
      <c r="AD693" s="512"/>
    </row>
    <row r="694" spans="6:30" ht="10.5" customHeight="1">
      <c r="F694" s="332"/>
      <c r="G694" s="312"/>
      <c r="H694" s="312"/>
      <c r="I694" s="312"/>
      <c r="J694" s="312"/>
      <c r="K694" s="312"/>
      <c r="L694" s="312"/>
      <c r="M694" s="312"/>
      <c r="N694" s="312"/>
      <c r="O694" s="312"/>
      <c r="P694" s="554" t="s">
        <v>493</v>
      </c>
      <c r="Q694" s="292"/>
      <c r="R694" s="170"/>
      <c r="S694" s="389"/>
      <c r="T694" s="501" t="s">
        <v>1902</v>
      </c>
      <c r="U694" s="501" t="s">
        <v>2241</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1904</v>
      </c>
      <c r="U695" s="501" t="s">
        <v>162</v>
      </c>
      <c r="AA695" s="26"/>
      <c r="AB695" s="26"/>
      <c r="AC695" s="931"/>
      <c r="AD695" s="512"/>
    </row>
    <row r="696" spans="6:30" ht="10.5" customHeight="1">
      <c r="F696" s="332"/>
      <c r="G696" s="312"/>
      <c r="H696" s="312"/>
      <c r="I696" s="312"/>
      <c r="J696" s="312"/>
      <c r="K696" s="312"/>
      <c r="L696" s="312"/>
      <c r="M696" s="312"/>
      <c r="N696" s="312"/>
      <c r="O696" s="312"/>
      <c r="P696" s="554" t="s">
        <v>2096</v>
      </c>
      <c r="Q696" s="292"/>
      <c r="R696" s="170"/>
      <c r="S696" s="389"/>
      <c r="T696" s="501" t="s">
        <v>643</v>
      </c>
      <c r="U696" s="501" t="s">
        <v>2400</v>
      </c>
      <c r="AA696" s="26"/>
      <c r="AB696" s="26"/>
      <c r="AC696" s="931"/>
      <c r="AD696" s="512"/>
    </row>
    <row r="697" spans="6:30" ht="10.5" customHeight="1">
      <c r="F697" s="332"/>
      <c r="G697" s="312"/>
      <c r="H697" s="312"/>
      <c r="I697" s="312"/>
      <c r="J697" s="312"/>
      <c r="K697" s="312"/>
      <c r="L697" s="312"/>
      <c r="M697" s="312"/>
      <c r="N697" s="312"/>
      <c r="O697" s="312"/>
      <c r="P697" s="554" t="s">
        <v>2123</v>
      </c>
      <c r="Q697" s="968"/>
      <c r="R697" s="968"/>
      <c r="S697" s="969"/>
      <c r="T697" s="501" t="s">
        <v>816</v>
      </c>
      <c r="U697" s="501" t="s">
        <v>2171</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1074</v>
      </c>
      <c r="U698" s="501" t="s">
        <v>1910</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1075</v>
      </c>
      <c r="U699" s="501" t="s">
        <v>2004</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1463</v>
      </c>
      <c r="U700" s="501" t="s">
        <v>1209</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2308</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1412</v>
      </c>
      <c r="U702" s="555" t="s">
        <v>2241</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2255</v>
      </c>
      <c r="U703" s="501" t="s">
        <v>1916</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2257</v>
      </c>
      <c r="U704" s="501" t="s">
        <v>2167</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2259</v>
      </c>
      <c r="U705" s="501" t="s">
        <v>2400</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2873</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1115</v>
      </c>
      <c r="U707" s="501" t="s">
        <v>2178</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1117</v>
      </c>
      <c r="U708" s="501" t="s">
        <v>1092</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2047</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1968</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1970</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1972</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2874</v>
      </c>
      <c r="U713" s="501" t="s">
        <v>1910</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1313</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2097</v>
      </c>
      <c r="U715" s="501" t="s">
        <v>732</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2124</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832</v>
      </c>
      <c r="U717" s="501" t="s">
        <v>2004</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2125</v>
      </c>
      <c r="U718" s="501" t="s">
        <v>2004</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2126</v>
      </c>
      <c r="U719" s="501" t="s">
        <v>1665</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2331</v>
      </c>
      <c r="U720" s="501" t="s">
        <v>1875</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2332</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2333</v>
      </c>
      <c r="U722" s="501" t="s">
        <v>1667</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2334</v>
      </c>
      <c r="U723" s="501" t="s">
        <v>1104</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2335</v>
      </c>
      <c r="U724" s="501" t="s">
        <v>2396</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2260</v>
      </c>
      <c r="U725" s="501" t="s">
        <v>2172</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1625</v>
      </c>
      <c r="U726" s="501" t="s">
        <v>2398</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1626</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1685</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1076</v>
      </c>
      <c r="U729" s="501" t="s">
        <v>627</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817</v>
      </c>
      <c r="U730" s="501" t="s">
        <v>1949</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1686</v>
      </c>
      <c r="U731" s="501" t="s">
        <v>2530</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1687</v>
      </c>
      <c r="U732" s="501" t="s">
        <v>2241</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1688</v>
      </c>
      <c r="U733" s="501" t="s">
        <v>1667</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1689</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1690</v>
      </c>
      <c r="U735" s="501" t="s">
        <v>656</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1691</v>
      </c>
      <c r="U736" s="501" t="s">
        <v>952</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1692</v>
      </c>
      <c r="U737" s="501" t="s">
        <v>1205</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1693</v>
      </c>
      <c r="U738" s="501" t="s">
        <v>670</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1077</v>
      </c>
      <c r="U739" s="501" t="s">
        <v>1667</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1694</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1695</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1696</v>
      </c>
      <c r="U742" s="501" t="s">
        <v>1949</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1697</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1698</v>
      </c>
      <c r="U744" s="501" t="s">
        <v>1908</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1699</v>
      </c>
      <c r="U745" s="555" t="s">
        <v>1328</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1700</v>
      </c>
      <c r="U746" s="501" t="s">
        <v>952</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1701</v>
      </c>
      <c r="U747" s="501" t="s">
        <v>732</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1078</v>
      </c>
      <c r="U748" s="501" t="s">
        <v>2485</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1702</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1703</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1704</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1705</v>
      </c>
      <c r="U752" s="501" t="s">
        <v>2007</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1706</v>
      </c>
      <c r="U753" s="501" t="s">
        <v>1455</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1707</v>
      </c>
      <c r="U754" s="501" t="s">
        <v>1877</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1708</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1709</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2400</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2396</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2589</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2008</v>
      </c>
      <c r="AA761" s="26"/>
      <c r="AB761" s="26"/>
      <c r="AC761" s="931"/>
      <c r="AD761" s="512"/>
    </row>
    <row r="762" spans="6:30" ht="13.8">
      <c r="F762" s="332"/>
      <c r="G762" s="312"/>
      <c r="H762" s="312"/>
      <c r="I762" s="312"/>
      <c r="J762" s="558"/>
      <c r="K762" s="559"/>
      <c r="L762" s="168"/>
      <c r="M762" s="312"/>
      <c r="N762" s="312"/>
      <c r="O762" s="312"/>
      <c r="P762" s="312"/>
      <c r="Q762" s="312"/>
      <c r="R762" s="312"/>
      <c r="S762" s="312"/>
      <c r="T762" s="389" t="s">
        <v>297</v>
      </c>
      <c r="U762" s="389" t="s">
        <v>1328</v>
      </c>
      <c r="AA762" s="26"/>
      <c r="AB762" s="26"/>
      <c r="AC762" s="931"/>
      <c r="AD762" s="512"/>
    </row>
    <row r="763" spans="6:30" ht="13.8">
      <c r="F763" s="332"/>
      <c r="G763" s="312"/>
      <c r="H763" s="312"/>
      <c r="I763" s="312"/>
      <c r="J763" s="558"/>
      <c r="K763" s="559"/>
      <c r="L763" s="168"/>
      <c r="M763" s="312"/>
      <c r="N763" s="312"/>
      <c r="O763" s="312"/>
      <c r="P763" s="312"/>
      <c r="Q763" s="312"/>
      <c r="R763" s="312"/>
      <c r="S763" s="312"/>
      <c r="T763" s="389" t="s">
        <v>298</v>
      </c>
      <c r="U763" s="389" t="s">
        <v>1914</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668</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1313</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1538</v>
      </c>
      <c r="U767" s="389" t="s">
        <v>670</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1079</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1539</v>
      </c>
      <c r="U769" s="389" t="s">
        <v>732</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1540</v>
      </c>
      <c r="U770" s="389" t="s">
        <v>1776</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1541</v>
      </c>
      <c r="U771" s="389" t="s">
        <v>1095</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1080</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1542</v>
      </c>
      <c r="U773" s="389" t="s">
        <v>1312</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1543</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1544</v>
      </c>
      <c r="U775" s="389" t="s">
        <v>1333</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1545</v>
      </c>
      <c r="U776" s="389" t="s">
        <v>1877</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1546</v>
      </c>
      <c r="U777" s="389" t="s">
        <v>2178</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1547</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2380</v>
      </c>
      <c r="U779" s="389" t="s">
        <v>670</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2381</v>
      </c>
      <c r="U780" s="389" t="s">
        <v>656</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2382</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833</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834</v>
      </c>
      <c r="U783" s="389" t="s">
        <v>2004</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2875</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835</v>
      </c>
      <c r="U785" s="389" t="s">
        <v>1910</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836</v>
      </c>
      <c r="U786" s="389" t="s">
        <v>1095</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ZqXoYyTv7SGfriBM5Vii0KauAjGbgVLwJ6+E8a+J32xBGDWQsBvemMb+mnLohOYsKtrSzGGHlZuAdUucodsVMg==" saltValue="cIpaDjMIeXUAe0cy24RZ/A=="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dimension ref="A1:MS2102"/>
  <sheetViews>
    <sheetView showGridLines="0" zoomScaleNormal="100" workbookViewId="0">
      <selection sqref="A1:XFD1048576"/>
    </sheetView>
  </sheetViews>
  <sheetFormatPr defaultColWidth="9.33203125" defaultRowHeight="13.2"/>
  <cols>
    <col min="1" max="1" width="9.5546875" style="638" bestFit="1" customWidth="1"/>
    <col min="2" max="2" width="10.77734375" style="638" bestFit="1" customWidth="1"/>
    <col min="3" max="7" width="9.5546875" style="638" bestFit="1" customWidth="1"/>
    <col min="8" max="8" width="12.5546875" style="638" bestFit="1" customWidth="1"/>
    <col min="9" max="9" width="14.5546875" style="638" bestFit="1" customWidth="1"/>
    <col min="10" max="10" width="12.5546875" style="638" bestFit="1" customWidth="1"/>
    <col min="11" max="15" width="13" style="638" bestFit="1" customWidth="1"/>
    <col min="16" max="16" width="14" style="638" bestFit="1" customWidth="1"/>
    <col min="17" max="17" width="11.77734375" style="638" bestFit="1" customWidth="1"/>
    <col min="18" max="357" width="9.5546875" style="638" bestFit="1" customWidth="1"/>
    <col min="358" max="16384" width="9.33203125" style="638"/>
  </cols>
  <sheetData>
    <row r="1" spans="1:1" ht="15.6">
      <c r="A1" s="2315" t="s">
        <v>978</v>
      </c>
    </row>
    <row r="2" spans="1:1" ht="13.8">
      <c r="A2" s="1327" t="str">
        <f>'Part I-Project Information'!F34</f>
        <v>Woodstone Apartments II</v>
      </c>
    </row>
    <row r="3" spans="1:1" ht="13.8">
      <c r="A3" s="1327" t="str">
        <f>CONCATENATE('Part I-Project Information'!F38,", ", 'Part I-Project Information'!J39," County")</f>
        <v>Leesburg, Lee County</v>
      </c>
    </row>
    <row r="5" spans="1:1" ht="12.75" customHeight="1">
      <c r="A5" s="1365" t="str">
        <f>'Project Narrative'!$A$5</f>
        <v xml:space="preserve">Woodstone Apartments II will be a substantial rehab of the existing Woodstone Apartments located at 320 Main Street just east of downtown Leesburg. The complex has 40 low income tax credit/HOME units and a community building. There are 12, one-bedroom units, 24 units that are two-bedroom, and 4, three-bedroom units. Woodstone is a well maintained and well managed property that has served the residents of this community for over 20 years. The complex is only 2 blocks from the Lee County High School and near downtown Leesburg. This location provides convenient and easy access to all area amenities and services. The PNA and scope of work indicate the  need for significant rehabilitation as originally planned. Some items include replacing all HVAC units, appliances, siding and gable repairs as needed, cabinets, stairways and railings, gutters and downspouts, grounds improvements and other cosmetic work as necessary. Also included will be all necessary work to guarantee proper accessibility. An outdoor gathering space will be added as well as a computer center in the community building. With the ability to bring energy efficiency to the complex and an elimination of debt, Woodstone Apartments will operate efficiently and be in a position to serve low income residents for many years to come. This project meets all the requirements for the Rural HOME Preservation set-aside and is a worthwhile preservation of existing housing.  The project team of Olympia Construction and its affiliates has 30 years of experience in Affordable Housing ownership, development, construction, and management in many states. This experience does include a substantial number of rehab and preservation projects. With the assistance of CRS, Relocation Specialists, Woodstone Apartments II anticipates nominal disturbance to tenants and expects to be able to relocate tenants within the complex and not displace anyone during renovation. </v>
      </c>
    </row>
    <row r="6" spans="1:1" ht="13.8">
      <c r="A6" s="1365"/>
    </row>
    <row r="7" spans="1:1" ht="13.8">
      <c r="A7" s="1365"/>
    </row>
    <row r="8" spans="1:1" ht="13.8">
      <c r="A8" s="1365"/>
    </row>
    <row r="9" spans="1:1" ht="13.8">
      <c r="A9" s="1365"/>
    </row>
    <row r="10" spans="1:1" ht="13.8">
      <c r="A10" s="1365"/>
    </row>
    <row r="11" spans="1:1" ht="13.8">
      <c r="A11" s="1365"/>
    </row>
    <row r="12" spans="1:1" ht="13.8">
      <c r="A12" s="1365"/>
    </row>
    <row r="13" spans="1:1" ht="13.8">
      <c r="A13" s="1365"/>
    </row>
    <row r="14" spans="1:1" ht="13.8">
      <c r="A14" s="1365"/>
    </row>
    <row r="15" spans="1:1" ht="13.8">
      <c r="A15" s="1365"/>
    </row>
    <row r="16" spans="1:1" ht="13.8">
      <c r="A16" s="1365"/>
    </row>
    <row r="17" spans="1:16" ht="13.8">
      <c r="A17" s="1365"/>
    </row>
    <row r="18" spans="1:16" ht="13.8">
      <c r="A18" s="1365"/>
    </row>
    <row r="19" spans="1:16" ht="13.8">
      <c r="A19" s="1365"/>
    </row>
    <row r="20" spans="1:16" ht="13.8">
      <c r="A20" s="1365"/>
    </row>
    <row r="21" spans="1:16" ht="13.8">
      <c r="A21" s="1365"/>
    </row>
    <row r="22" spans="1:16" ht="13.8">
      <c r="A22" s="1365"/>
    </row>
    <row r="23" spans="1:16" ht="13.8">
      <c r="A23" s="1365"/>
    </row>
    <row r="24" spans="1:16" ht="13.8">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ht="13.8">
      <c r="A25" s="1334"/>
      <c r="B25" s="1334"/>
      <c r="C25" s="1334"/>
      <c r="D25" s="1334"/>
      <c r="E25" s="1334"/>
      <c r="F25" s="1334"/>
      <c r="G25" s="1334"/>
      <c r="H25" s="1334"/>
      <c r="I25" s="1334"/>
      <c r="J25" s="1334"/>
      <c r="K25" s="1334"/>
      <c r="L25" s="1334"/>
      <c r="M25" s="1334"/>
      <c r="N25" s="1334"/>
      <c r="O25" s="1334"/>
      <c r="P25" s="1334"/>
    </row>
    <row r="26" spans="1:16" ht="12.75" customHeight="1">
      <c r="A26" s="1386" t="s">
        <v>4457</v>
      </c>
      <c r="B26" s="1386"/>
      <c r="C26" s="1386"/>
      <c r="D26" s="1386"/>
      <c r="E26" s="1386"/>
      <c r="F26" s="1386"/>
      <c r="G26" s="1386"/>
      <c r="H26" s="1386"/>
      <c r="I26" s="1386"/>
      <c r="J26" s="1386"/>
      <c r="K26" s="1386"/>
      <c r="L26" s="1386"/>
      <c r="M26" s="1386"/>
      <c r="N26" s="1386"/>
      <c r="O26" s="1386"/>
      <c r="P26" s="1386"/>
    </row>
    <row r="27" spans="1:16" ht="13.8">
      <c r="A27" s="1334"/>
      <c r="B27" s="1334"/>
      <c r="C27" s="1334"/>
      <c r="D27" s="1334"/>
      <c r="E27" s="1334"/>
      <c r="F27" s="1334"/>
      <c r="G27" s="1334"/>
      <c r="H27" s="1334"/>
      <c r="I27" s="1334"/>
      <c r="J27" s="1334"/>
      <c r="K27" s="1334"/>
      <c r="L27" s="1334"/>
      <c r="M27" s="1334"/>
      <c r="N27" s="1334"/>
      <c r="O27" s="1334"/>
      <c r="P27" s="1334"/>
    </row>
    <row r="28" spans="1:16" ht="13.8">
      <c r="A28" s="1330"/>
      <c r="B28" s="1337" t="s">
        <v>2363</v>
      </c>
      <c r="C28" s="1330"/>
      <c r="D28" s="1330"/>
      <c r="E28" s="1330"/>
      <c r="F28" s="1334"/>
      <c r="G28" s="1332" t="s">
        <v>5304</v>
      </c>
      <c r="H28" s="1330"/>
      <c r="I28" s="1330"/>
      <c r="J28" s="1330"/>
      <c r="K28" s="1330"/>
      <c r="L28" s="1334"/>
      <c r="M28" s="1330"/>
      <c r="N28" s="1330"/>
      <c r="O28" s="1330"/>
      <c r="P28" s="1340" t="s">
        <v>3867</v>
      </c>
    </row>
    <row r="29" spans="1:16" ht="14.25" customHeight="1">
      <c r="A29" s="1330"/>
      <c r="B29" s="2316" t="str">
        <f>'Part I-Project Information'!B6</f>
        <v>April 2019 Final</v>
      </c>
      <c r="C29" s="2316">
        <f>'Part I-Project Information'!C6</f>
        <v>0</v>
      </c>
      <c r="D29" s="2316">
        <f>'Part I-Project Information'!D6</f>
        <v>0</v>
      </c>
      <c r="E29" s="1319"/>
      <c r="F29" s="1334"/>
      <c r="G29" s="1332" t="s">
        <v>5305</v>
      </c>
      <c r="H29" s="1334"/>
      <c r="I29" s="1334"/>
      <c r="J29" s="1334"/>
      <c r="K29" s="1330"/>
      <c r="L29" s="1330"/>
      <c r="M29" s="1330"/>
      <c r="N29" s="1330"/>
      <c r="O29" s="1330" t="str">
        <f>'Part I-Project Information'!$O$6</f>
        <v>2019-049</v>
      </c>
      <c r="P29" s="1330"/>
    </row>
    <row r="30" spans="1:16" ht="12.75" customHeight="1">
      <c r="A30" s="1330"/>
      <c r="B30" s="2316">
        <f>'Part I-Project Information'!B7</f>
        <v>0</v>
      </c>
      <c r="C30" s="2316">
        <f>'Part I-Project Information'!C7</f>
        <v>0</v>
      </c>
      <c r="D30" s="2316">
        <f>'Part I-Project Information'!D7</f>
        <v>0</v>
      </c>
      <c r="E30" s="1319"/>
      <c r="F30" s="1330"/>
      <c r="G30" s="1335" t="s">
        <v>3316</v>
      </c>
      <c r="H30" s="1334"/>
      <c r="I30" s="1334"/>
      <c r="J30" s="1334"/>
      <c r="K30" s="1330"/>
      <c r="L30" s="1330"/>
      <c r="M30" s="1330"/>
      <c r="N30" s="1330"/>
      <c r="O30" s="1330"/>
      <c r="P30" s="1330"/>
    </row>
    <row r="31" spans="1:16" ht="12.75" customHeight="1">
      <c r="A31" s="1334"/>
      <c r="B31" s="2316">
        <f>'Part I-Project Information'!B8</f>
        <v>0</v>
      </c>
      <c r="C31" s="2316">
        <f>'Part I-Project Information'!C8</f>
        <v>0</v>
      </c>
      <c r="D31" s="2316">
        <f>'Part I-Project Information'!D8</f>
        <v>0</v>
      </c>
      <c r="E31" s="1334"/>
      <c r="F31" s="1330"/>
      <c r="G31" s="1330"/>
      <c r="H31" s="1334"/>
      <c r="I31" s="1334"/>
      <c r="J31" s="1330"/>
      <c r="K31" s="1330"/>
      <c r="L31" s="1330"/>
      <c r="M31" s="1334"/>
      <c r="N31" s="1330"/>
      <c r="O31" s="1330"/>
      <c r="P31" s="1330"/>
    </row>
    <row r="32" spans="1:16" ht="13.8">
      <c r="A32" s="1330" t="s">
        <v>615</v>
      </c>
      <c r="B32" s="1330" t="s">
        <v>2374</v>
      </c>
      <c r="C32" s="1330"/>
      <c r="D32" s="1336"/>
      <c r="E32" s="1334"/>
      <c r="F32" s="1337" t="s">
        <v>3795</v>
      </c>
      <c r="G32" s="1330"/>
      <c r="H32" s="1330"/>
      <c r="I32" s="1338">
        <f>'Part I-Project Information'!I9</f>
        <v>369181</v>
      </c>
      <c r="J32" s="1338">
        <f>'Part I-Project Information'!J9</f>
        <v>0</v>
      </c>
      <c r="K32" s="1330"/>
      <c r="L32" s="1330" t="s">
        <v>3796</v>
      </c>
      <c r="M32" s="1330"/>
      <c r="N32" s="1330"/>
      <c r="O32" s="1339">
        <f>'Part I-Project Information'!O9</f>
        <v>0</v>
      </c>
      <c r="P32" s="1339">
        <f>'Part I-Project Information'!P9</f>
        <v>0</v>
      </c>
    </row>
    <row r="33" spans="1:16" ht="13.8">
      <c r="A33" s="1330"/>
      <c r="B33" s="1330"/>
      <c r="C33" s="1330"/>
      <c r="D33" s="1336"/>
      <c r="E33" s="1334"/>
      <c r="F33" s="1334"/>
      <c r="G33" s="1330"/>
      <c r="H33" s="1330"/>
      <c r="I33" s="1337"/>
      <c r="J33" s="1330"/>
      <c r="K33" s="1330"/>
      <c r="L33" s="1330"/>
      <c r="M33" s="1330"/>
      <c r="N33" s="1340"/>
      <c r="O33" s="1330"/>
      <c r="P33" s="1330"/>
    </row>
    <row r="34" spans="1:16" ht="13.8">
      <c r="A34" s="1337" t="s">
        <v>739</v>
      </c>
      <c r="B34" s="1330" t="s">
        <v>2039</v>
      </c>
      <c r="C34" s="1330"/>
      <c r="D34" s="1330"/>
      <c r="E34" s="1330"/>
      <c r="F34" s="1393" t="str">
        <f>'Part I-Project Information'!$F$11</f>
        <v>9% Credit Competitive Round only</v>
      </c>
      <c r="G34" s="1393"/>
      <c r="H34" s="1393"/>
      <c r="I34" s="2317" t="s">
        <v>3712</v>
      </c>
      <c r="J34" s="1330" t="s">
        <v>5306</v>
      </c>
      <c r="K34" s="1330"/>
      <c r="L34" s="1334"/>
      <c r="M34" s="1330"/>
      <c r="N34" s="1330"/>
      <c r="O34" s="1330" t="str">
        <f>'Part I-Project Information'!$O$11</f>
        <v>2019PA-033</v>
      </c>
      <c r="P34" s="1330"/>
    </row>
    <row r="35" spans="1:16" ht="13.8">
      <c r="A35" s="1334"/>
      <c r="B35" s="1348"/>
      <c r="C35" s="1348"/>
      <c r="D35" s="1348"/>
      <c r="E35" s="1348"/>
      <c r="F35" s="1330"/>
      <c r="G35" s="1330"/>
      <c r="H35" s="1334"/>
      <c r="I35" s="1330"/>
      <c r="J35" s="1332" t="s">
        <v>5089</v>
      </c>
      <c r="K35" s="1337"/>
      <c r="L35" s="1330"/>
      <c r="M35" s="1334"/>
      <c r="N35" s="1330"/>
      <c r="O35" s="1330" t="str">
        <f>'Part I-Project Information'!$O$12</f>
        <v>No</v>
      </c>
      <c r="P35" s="1330"/>
    </row>
    <row r="36" spans="1:16" ht="13.8">
      <c r="A36" s="1334"/>
      <c r="B36" s="1348"/>
      <c r="C36" s="1348"/>
      <c r="D36" s="1348"/>
      <c r="E36" s="1348"/>
      <c r="F36" s="1330"/>
      <c r="G36" s="1330"/>
      <c r="H36" s="1334"/>
      <c r="I36" s="1330"/>
      <c r="J36" s="1337"/>
      <c r="K36" s="1337"/>
      <c r="L36" s="1330"/>
      <c r="M36" s="1334"/>
      <c r="N36" s="1330"/>
      <c r="O36" s="1330"/>
      <c r="P36" s="1330"/>
    </row>
    <row r="37" spans="1:16" ht="13.8">
      <c r="A37" s="1334"/>
      <c r="B37" s="1348" t="s">
        <v>5048</v>
      </c>
      <c r="C37" s="1348"/>
      <c r="D37" s="1348"/>
      <c r="E37" s="1348"/>
      <c r="F37" s="1412" t="str">
        <f>'Part I-Project Information'!F14</f>
        <v>No</v>
      </c>
      <c r="G37" s="1337" t="s">
        <v>5049</v>
      </c>
      <c r="H37" s="1330"/>
      <c r="I37" s="1330"/>
      <c r="J37" s="1330"/>
      <c r="K37" s="1330"/>
      <c r="L37" s="1330"/>
      <c r="M37" s="1330"/>
      <c r="N37" s="1393" t="str">
        <f>'Part I-Project Information'!N14</f>
        <v>&lt;&lt;Select previous Application Type&gt;&gt;</v>
      </c>
      <c r="O37" s="1393">
        <f>'Part I-Project Information'!O14</f>
        <v>0</v>
      </c>
      <c r="P37" s="1393">
        <f>'Part I-Project Information'!P14</f>
        <v>0</v>
      </c>
    </row>
    <row r="38" spans="1:16" ht="13.8">
      <c r="A38" s="1334"/>
      <c r="B38" s="1330" t="s">
        <v>3868</v>
      </c>
      <c r="C38" s="1330"/>
      <c r="D38" s="1330"/>
      <c r="E38" s="1330"/>
      <c r="F38" s="1706">
        <f>'Part I-Project Information'!F15</f>
        <v>0</v>
      </c>
      <c r="G38" s="1706">
        <f>'Part I-Project Information'!G15</f>
        <v>0</v>
      </c>
      <c r="H38" s="1706">
        <f>'Part I-Project Information'!H15</f>
        <v>0</v>
      </c>
      <c r="I38" s="1706">
        <f>'Part I-Project Information'!I15</f>
        <v>0</v>
      </c>
      <c r="J38" s="1706">
        <f>'Part I-Project Information'!J15</f>
        <v>0</v>
      </c>
      <c r="K38" s="1706">
        <f>'Part I-Project Information'!K15</f>
        <v>0</v>
      </c>
      <c r="L38" s="1330" t="s">
        <v>5035</v>
      </c>
      <c r="M38" s="1330"/>
      <c r="N38" s="1330"/>
      <c r="O38" s="1330">
        <f>'Part I-Project Information'!O15</f>
        <v>0</v>
      </c>
      <c r="P38" s="1330">
        <f>'Part I-Project Information'!P15</f>
        <v>0</v>
      </c>
    </row>
    <row r="39" spans="1:16" ht="13.8">
      <c r="A39" s="1334"/>
      <c r="B39" s="1330" t="s">
        <v>3794</v>
      </c>
      <c r="C39" s="1330"/>
      <c r="D39" s="1330"/>
      <c r="E39" s="1330"/>
      <c r="F39" s="1412" t="str">
        <f>'Part I-Project Information'!F16</f>
        <v>No</v>
      </c>
      <c r="G39" s="1330" t="s">
        <v>5036</v>
      </c>
      <c r="H39" s="1334"/>
      <c r="I39" s="1335"/>
      <c r="J39" s="1337"/>
      <c r="K39" s="1330"/>
      <c r="L39" s="1330"/>
      <c r="M39" s="1330"/>
      <c r="N39" s="1393" t="str">
        <f>'Part I-Project Information'!N16</f>
        <v>Qualified w/out Conditions</v>
      </c>
      <c r="O39" s="1393">
        <f>'Part I-Project Information'!O16</f>
        <v>0</v>
      </c>
      <c r="P39" s="1393">
        <f>'Part I-Project Information'!P16</f>
        <v>0</v>
      </c>
    </row>
    <row r="40" spans="1:16" ht="13.8">
      <c r="A40" s="1330"/>
      <c r="B40" s="1330"/>
      <c r="C40" s="1330"/>
      <c r="D40" s="1330"/>
      <c r="E40" s="1330"/>
      <c r="F40" s="1330"/>
      <c r="G40" s="1330"/>
      <c r="H40" s="1330"/>
      <c r="I40" s="1336"/>
      <c r="J40" s="1336"/>
      <c r="K40" s="1336"/>
      <c r="L40" s="1336"/>
      <c r="M40" s="1336"/>
      <c r="N40" s="1336"/>
      <c r="O40" s="1336"/>
      <c r="P40" s="1336"/>
    </row>
    <row r="41" spans="1:16" ht="13.8">
      <c r="A41" s="1337" t="s">
        <v>741</v>
      </c>
      <c r="B41" s="1330" t="s">
        <v>4477</v>
      </c>
      <c r="C41" s="1330"/>
      <c r="D41" s="1337"/>
      <c r="E41" s="1334"/>
      <c r="F41" s="1330"/>
      <c r="G41" s="1334"/>
      <c r="H41" s="1334"/>
      <c r="I41" s="1334"/>
      <c r="J41" s="1330"/>
      <c r="K41" s="1330"/>
      <c r="L41" s="1340"/>
      <c r="M41" s="1330"/>
      <c r="N41" s="1330"/>
      <c r="O41" s="1330"/>
      <c r="P41" s="1330"/>
    </row>
    <row r="42" spans="1:16" ht="13.8">
      <c r="A42" s="1337"/>
      <c r="B42" s="1334"/>
      <c r="C42" s="1330"/>
      <c r="D42" s="1337"/>
      <c r="E42" s="1334"/>
      <c r="F42" s="1330"/>
      <c r="G42" s="1334"/>
      <c r="H42" s="1334"/>
      <c r="I42" s="1334"/>
      <c r="J42" s="1330"/>
      <c r="K42" s="1340"/>
      <c r="L42" s="1340"/>
      <c r="M42" s="1330"/>
      <c r="N42" s="1330"/>
      <c r="O42" s="1334"/>
      <c r="P42" s="1330"/>
    </row>
    <row r="43" spans="1:16" ht="13.8">
      <c r="A43" s="1330"/>
      <c r="B43" s="1330" t="s">
        <v>3877</v>
      </c>
      <c r="C43" s="1330"/>
      <c r="D43" s="1330"/>
      <c r="E43" s="1330"/>
      <c r="F43" s="1330" t="str">
        <f>'Part I-Project Information'!F20</f>
        <v>Woodstone Apartments II, LP</v>
      </c>
      <c r="G43" s="1330">
        <f>'Part I-Project Information'!G20</f>
        <v>0</v>
      </c>
      <c r="H43" s="1330">
        <f>'Part I-Project Information'!H20</f>
        <v>0</v>
      </c>
      <c r="I43" s="1330" t="s">
        <v>1796</v>
      </c>
      <c r="J43" s="1330" t="str">
        <f>'Part I-Project Information'!J20</f>
        <v>Pat Dobbins</v>
      </c>
      <c r="K43" s="1330">
        <f>'Part I-Project Information'!K20</f>
        <v>0</v>
      </c>
      <c r="L43" s="1330">
        <f>'Part I-Project Information'!L20</f>
        <v>0</v>
      </c>
      <c r="M43" s="1337" t="s">
        <v>1979</v>
      </c>
      <c r="N43" s="1330" t="str">
        <f>'Part I-Project Information'!N20</f>
        <v>CFO</v>
      </c>
      <c r="O43" s="1330">
        <f>'Part I-Project Information'!O20</f>
        <v>0</v>
      </c>
      <c r="P43" s="1330">
        <f>'Part I-Project Information'!P20</f>
        <v>0</v>
      </c>
    </row>
    <row r="44" spans="1:16" ht="12.75" customHeight="1">
      <c r="A44" s="1330"/>
      <c r="B44" s="1337" t="s">
        <v>1980</v>
      </c>
      <c r="C44" s="1330"/>
      <c r="D44" s="1330"/>
      <c r="E44" s="1330"/>
      <c r="F44" s="1330" t="str">
        <f>'Part I-Project Information'!F21</f>
        <v>P.O. Box 1909</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3876</v>
      </c>
      <c r="N44" s="1342"/>
      <c r="O44" s="1342"/>
      <c r="P44" s="1342"/>
    </row>
    <row r="45" spans="1:16" ht="12.75" customHeight="1">
      <c r="A45" s="1330"/>
      <c r="B45" s="1337" t="s">
        <v>617</v>
      </c>
      <c r="C45" s="1330"/>
      <c r="D45" s="1330"/>
      <c r="E45" s="1330"/>
      <c r="F45" s="1330" t="str">
        <f>'Part I-Project Information'!F22</f>
        <v>Albertville</v>
      </c>
      <c r="G45" s="1330">
        <f>'Part I-Project Information'!G22</f>
        <v>0</v>
      </c>
      <c r="H45" s="1330">
        <f>'Part I-Project Information'!H22</f>
        <v>0</v>
      </c>
      <c r="I45" s="1337" t="s">
        <v>1798</v>
      </c>
      <c r="J45" s="1363" t="str">
        <f>'Part I-Project Information'!J22</f>
        <v>AL</v>
      </c>
      <c r="K45" s="1330"/>
      <c r="L45" s="1330"/>
      <c r="M45" s="1342"/>
      <c r="N45" s="1342"/>
      <c r="O45" s="1342"/>
      <c r="P45" s="1342"/>
    </row>
    <row r="46" spans="1:16" ht="13.8">
      <c r="A46" s="1330"/>
      <c r="B46" s="1337" t="s">
        <v>2228</v>
      </c>
      <c r="C46" s="1330"/>
      <c r="D46" s="1330"/>
      <c r="E46" s="1330"/>
      <c r="F46" s="1798">
        <f>'Part I-Project Information'!F23</f>
        <v>359500032</v>
      </c>
      <c r="G46" s="1798">
        <f>'Part I-Project Information'!G23</f>
        <v>0</v>
      </c>
      <c r="H46" s="1798">
        <f>'Part I-Project Information'!H23</f>
        <v>0</v>
      </c>
      <c r="I46" s="1337" t="s">
        <v>1719</v>
      </c>
      <c r="J46" s="1799">
        <f>'Part I-Project Information'!J23</f>
        <v>2568786054</v>
      </c>
      <c r="K46" s="1799">
        <f>'Part I-Project Information'!K23</f>
        <v>0</v>
      </c>
      <c r="L46" s="1334" t="s">
        <v>1718</v>
      </c>
      <c r="M46" s="1334">
        <f>'Part I-Project Information'!M23</f>
        <v>0</v>
      </c>
      <c r="N46" s="1337" t="s">
        <v>1720</v>
      </c>
      <c r="O46" s="1799">
        <f>'Part I-Project Information'!O23</f>
        <v>2568786054</v>
      </c>
      <c r="P46" s="1799">
        <f>'Part I-Project Information'!P23</f>
        <v>0</v>
      </c>
    </row>
    <row r="47" spans="1:16" ht="13.8">
      <c r="A47" s="1330"/>
      <c r="B47" s="1337" t="s">
        <v>1983</v>
      </c>
      <c r="C47" s="1330"/>
      <c r="D47" s="1330"/>
      <c r="E47" s="1330"/>
      <c r="F47" s="1330" t="str">
        <f>'Part I-Project Information'!F24</f>
        <v>patdobbins@olympiaconstruction.net</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1978</v>
      </c>
      <c r="O47" s="1799">
        <f>'Part I-Project Information'!O24</f>
        <v>2565582773</v>
      </c>
      <c r="P47" s="1799">
        <f>'Part I-Project Information'!P24</f>
        <v>0</v>
      </c>
    </row>
    <row r="48" spans="1:16" ht="13.8">
      <c r="A48" s="1334"/>
      <c r="B48" s="1330" t="s">
        <v>4476</v>
      </c>
      <c r="C48" s="1336"/>
      <c r="D48" s="1330"/>
      <c r="E48" s="1330"/>
      <c r="F48" s="1330"/>
      <c r="G48" s="1330"/>
      <c r="H48" s="1334"/>
      <c r="I48" s="1330"/>
      <c r="J48" s="1336"/>
      <c r="K48" s="1330"/>
      <c r="L48" s="1330"/>
      <c r="M48" s="1330"/>
      <c r="N48" s="1330"/>
      <c r="O48" s="1330"/>
      <c r="P48" s="1343"/>
    </row>
    <row r="49" spans="1:16" ht="13.8">
      <c r="A49" s="1330"/>
      <c r="B49" s="1330" t="s">
        <v>3877</v>
      </c>
      <c r="C49" s="1330"/>
      <c r="D49" s="1330"/>
      <c r="E49" s="1330"/>
      <c r="F49" s="1330" t="str">
        <f>'Part I-Project Information'!F26</f>
        <v>Woodstone Apartments II, LP</v>
      </c>
      <c r="G49" s="1330">
        <f>'Part I-Project Information'!G26</f>
        <v>0</v>
      </c>
      <c r="H49" s="1330">
        <f>'Part I-Project Information'!H26</f>
        <v>0</v>
      </c>
      <c r="I49" s="1330" t="s">
        <v>1796</v>
      </c>
      <c r="J49" s="1330" t="str">
        <f>'Part I-Project Information'!J26</f>
        <v>Butch Richardson</v>
      </c>
      <c r="K49" s="1330">
        <f>'Part I-Project Information'!K26</f>
        <v>0</v>
      </c>
      <c r="L49" s="1330">
        <f>'Part I-Project Information'!L26</f>
        <v>0</v>
      </c>
      <c r="M49" s="1337" t="s">
        <v>1979</v>
      </c>
      <c r="N49" s="1330" t="str">
        <f>'Part I-Project Information'!N26</f>
        <v>Manager of Development</v>
      </c>
      <c r="O49" s="1330">
        <f>'Part I-Project Information'!O26</f>
        <v>0</v>
      </c>
      <c r="P49" s="1330">
        <f>'Part I-Project Information'!P26</f>
        <v>0</v>
      </c>
    </row>
    <row r="50" spans="1:16" ht="12.75" customHeight="1">
      <c r="A50" s="1330"/>
      <c r="B50" s="1337" t="s">
        <v>1980</v>
      </c>
      <c r="C50" s="1330"/>
      <c r="D50" s="1330"/>
      <c r="E50" s="1330"/>
      <c r="F50" s="1330" t="str">
        <f>'Part I-Project Information'!F27</f>
        <v>P.O. Box 1909</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3876</v>
      </c>
      <c r="N50" s="1342"/>
      <c r="O50" s="1342"/>
      <c r="P50" s="1342"/>
    </row>
    <row r="51" spans="1:16" ht="12.75" customHeight="1">
      <c r="A51" s="1330"/>
      <c r="B51" s="1337" t="s">
        <v>617</v>
      </c>
      <c r="C51" s="1330"/>
      <c r="D51" s="1330"/>
      <c r="E51" s="1330"/>
      <c r="F51" s="1330" t="str">
        <f>'Part I-Project Information'!F28</f>
        <v>Albertville</v>
      </c>
      <c r="G51" s="1330">
        <f>'Part I-Project Information'!G28</f>
        <v>0</v>
      </c>
      <c r="H51" s="1330">
        <f>'Part I-Project Information'!H28</f>
        <v>0</v>
      </c>
      <c r="I51" s="1337" t="s">
        <v>1798</v>
      </c>
      <c r="J51" s="1363" t="str">
        <f>'Part I-Project Information'!J28</f>
        <v>AL</v>
      </c>
      <c r="K51" s="1330"/>
      <c r="L51" s="1330"/>
      <c r="M51" s="1342"/>
      <c r="N51" s="1342"/>
      <c r="O51" s="1342"/>
      <c r="P51" s="1342"/>
    </row>
    <row r="52" spans="1:16" ht="13.8">
      <c r="A52" s="1330"/>
      <c r="B52" s="1337" t="s">
        <v>2228</v>
      </c>
      <c r="C52" s="1330"/>
      <c r="D52" s="1330"/>
      <c r="E52" s="1330"/>
      <c r="F52" s="1798">
        <f>'Part I-Project Information'!F29</f>
        <v>359500032</v>
      </c>
      <c r="G52" s="1798">
        <f>'Part I-Project Information'!G29</f>
        <v>0</v>
      </c>
      <c r="H52" s="1798">
        <f>'Part I-Project Information'!H29</f>
        <v>0</v>
      </c>
      <c r="I52" s="1337" t="s">
        <v>1719</v>
      </c>
      <c r="J52" s="1799">
        <f>'Part I-Project Information'!J29</f>
        <v>2568786054</v>
      </c>
      <c r="K52" s="1799">
        <f>'Part I-Project Information'!K29</f>
        <v>0</v>
      </c>
      <c r="L52" s="1334" t="s">
        <v>1718</v>
      </c>
      <c r="M52" s="1334">
        <f>'Part I-Project Information'!M29</f>
        <v>0</v>
      </c>
      <c r="N52" s="1337" t="s">
        <v>1720</v>
      </c>
      <c r="O52" s="1799">
        <f>'Part I-Project Information'!O29</f>
        <v>2568786054</v>
      </c>
      <c r="P52" s="1799">
        <f>'Part I-Project Information'!P29</f>
        <v>0</v>
      </c>
    </row>
    <row r="53" spans="1:16" ht="13.8">
      <c r="A53" s="1330"/>
      <c r="B53" s="1337" t="s">
        <v>1983</v>
      </c>
      <c r="C53" s="1330"/>
      <c r="D53" s="1330"/>
      <c r="E53" s="1330"/>
      <c r="F53" s="1330" t="str">
        <f>'Part I-Project Information'!F30</f>
        <v>tobutch51@yahoo.com</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1978</v>
      </c>
      <c r="O53" s="1799">
        <f>'Part I-Project Information'!O30</f>
        <v>2565722208</v>
      </c>
      <c r="P53" s="1799">
        <f>'Part I-Project Information'!P30</f>
        <v>0</v>
      </c>
    </row>
    <row r="54" spans="1:16" ht="13.8">
      <c r="A54" s="1334"/>
      <c r="B54" s="1334"/>
      <c r="C54" s="1336"/>
      <c r="D54" s="1330"/>
      <c r="E54" s="1330"/>
      <c r="F54" s="1330"/>
      <c r="G54" s="1330"/>
      <c r="H54" s="1334"/>
      <c r="I54" s="1330"/>
      <c r="J54" s="1336"/>
      <c r="K54" s="1330"/>
      <c r="L54" s="1330"/>
      <c r="M54" s="1330"/>
      <c r="N54" s="1330"/>
      <c r="O54" s="1330"/>
      <c r="P54" s="1343"/>
    </row>
    <row r="55" spans="1:16" ht="13.8">
      <c r="A55" s="1337" t="s">
        <v>1791</v>
      </c>
      <c r="B55" s="1330" t="s">
        <v>1473</v>
      </c>
      <c r="C55" s="1330"/>
      <c r="D55" s="1336"/>
      <c r="E55" s="1334"/>
      <c r="F55" s="1334"/>
      <c r="G55" s="1337"/>
      <c r="H55" s="1334"/>
      <c r="I55" s="1334"/>
      <c r="J55" s="1334"/>
      <c r="K55" s="1330"/>
      <c r="L55" s="1340"/>
      <c r="M55" s="1340"/>
      <c r="N55" s="1330"/>
      <c r="O55" s="1330"/>
      <c r="P55" s="1330"/>
    </row>
    <row r="56" spans="1:16" ht="13.8">
      <c r="A56" s="1337"/>
      <c r="B56" s="1330"/>
      <c r="C56" s="1330"/>
      <c r="D56" s="1336"/>
      <c r="E56" s="1334"/>
      <c r="F56" s="1334"/>
      <c r="G56" s="1337"/>
      <c r="H56" s="1334"/>
      <c r="I56" s="1334"/>
      <c r="J56" s="1334"/>
      <c r="K56" s="1330"/>
      <c r="L56" s="1340"/>
      <c r="M56" s="1330"/>
      <c r="N56" s="1330"/>
      <c r="O56" s="1330"/>
      <c r="P56" s="1330"/>
    </row>
    <row r="57" spans="1:16" ht="13.8">
      <c r="A57" s="1330"/>
      <c r="B57" s="1330" t="s">
        <v>616</v>
      </c>
      <c r="C57" s="1330"/>
      <c r="D57" s="1330"/>
      <c r="E57" s="1330"/>
      <c r="F57" s="1706" t="str">
        <f>'Part I-Project Information'!F34</f>
        <v>Woodstone Apartments II</v>
      </c>
      <c r="G57" s="1706">
        <f>'Part I-Project Information'!G34</f>
        <v>0</v>
      </c>
      <c r="H57" s="1706">
        <f>'Part I-Project Information'!H34</f>
        <v>0</v>
      </c>
      <c r="I57" s="1706">
        <f>'Part I-Project Information'!I34</f>
        <v>0</v>
      </c>
      <c r="J57" s="1706">
        <f>'Part I-Project Information'!J34</f>
        <v>0</v>
      </c>
      <c r="K57" s="1706">
        <f>'Part I-Project Information'!K34</f>
        <v>0</v>
      </c>
      <c r="L57" s="1337" t="s">
        <v>2191</v>
      </c>
      <c r="M57" s="1330"/>
      <c r="N57" s="1330"/>
      <c r="O57" s="1330" t="str">
        <f>'Part I-Project Information'!O34</f>
        <v>No</v>
      </c>
      <c r="P57" s="1330">
        <f>'Part I-Project Information'!P34</f>
        <v>0</v>
      </c>
    </row>
    <row r="58" spans="1:16" ht="13.8">
      <c r="A58" s="1340"/>
      <c r="B58" s="1330" t="s">
        <v>2698</v>
      </c>
      <c r="C58" s="1330"/>
      <c r="D58" s="1340"/>
      <c r="E58" s="1330"/>
      <c r="F58" s="1706" t="str">
        <f>'Part I-Project Information'!F35</f>
        <v>320 Main Street East</v>
      </c>
      <c r="G58" s="1706">
        <f>'Part I-Project Information'!G35</f>
        <v>0</v>
      </c>
      <c r="H58" s="1706">
        <f>'Part I-Project Information'!H35</f>
        <v>0</v>
      </c>
      <c r="I58" s="1706">
        <f>'Part I-Project Information'!I35</f>
        <v>0</v>
      </c>
      <c r="J58" s="1706">
        <f>'Part I-Project Information'!J35</f>
        <v>0</v>
      </c>
      <c r="K58" s="1706">
        <f>'Part I-Project Information'!K35</f>
        <v>0</v>
      </c>
      <c r="L58" s="1330" t="s">
        <v>3680</v>
      </c>
      <c r="M58" s="1330"/>
      <c r="N58" s="1330"/>
      <c r="O58" s="1330">
        <f>'Part I-Project Information'!O35</f>
        <v>0</v>
      </c>
      <c r="P58" s="1330">
        <f>'Part I-Project Information'!P35</f>
        <v>0</v>
      </c>
    </row>
    <row r="59" spans="1:16" ht="13.8">
      <c r="A59" s="1340"/>
      <c r="B59" s="1330" t="s">
        <v>5090</v>
      </c>
      <c r="C59" s="1330"/>
      <c r="D59" s="1340"/>
      <c r="E59" s="1330"/>
      <c r="F59" s="1706" t="str">
        <f>'Part I-Project Information'!F36</f>
        <v>320 Main Street East</v>
      </c>
      <c r="G59" s="1706">
        <f>'Part I-Project Information'!G36</f>
        <v>0</v>
      </c>
      <c r="H59" s="1706">
        <f>'Part I-Project Information'!H36</f>
        <v>0</v>
      </c>
      <c r="I59" s="1706">
        <f>'Part I-Project Information'!I36</f>
        <v>0</v>
      </c>
      <c r="J59" s="1706">
        <f>'Part I-Project Information'!J36</f>
        <v>0</v>
      </c>
      <c r="K59" s="1706">
        <f>'Part I-Project Information'!K36</f>
        <v>0</v>
      </c>
      <c r="L59" s="1337" t="s">
        <v>2049</v>
      </c>
      <c r="M59" s="1330"/>
      <c r="N59" s="1334" t="str">
        <f>'Part I-Project Information'!N36</f>
        <v>No</v>
      </c>
      <c r="O59" s="1334" t="s">
        <v>3679</v>
      </c>
      <c r="P59" s="1334">
        <f>'Part I-Project Information'!P36</f>
        <v>1</v>
      </c>
    </row>
    <row r="60" spans="1:16" ht="13.8">
      <c r="A60" s="1340"/>
      <c r="B60" s="1330" t="s">
        <v>3733</v>
      </c>
      <c r="C60" s="1330"/>
      <c r="D60" s="1340"/>
      <c r="E60" s="1330"/>
      <c r="F60" s="1330" t="s">
        <v>3714</v>
      </c>
      <c r="G60" s="1800">
        <f>'Part I-Project Information'!G37</f>
        <v>31.732171999999998</v>
      </c>
      <c r="H60" s="1800">
        <f>'Part I-Project Information'!H37</f>
        <v>0</v>
      </c>
      <c r="I60" s="1334" t="s">
        <v>3715</v>
      </c>
      <c r="J60" s="1800">
        <f>'Part I-Project Information'!J37</f>
        <v>84.153563000000005</v>
      </c>
      <c r="K60" s="1800">
        <f>'Part I-Project Information'!K37</f>
        <v>0</v>
      </c>
      <c r="L60" s="1337" t="s">
        <v>2282</v>
      </c>
      <c r="M60" s="1330"/>
      <c r="N60" s="1330"/>
      <c r="O60" s="1801">
        <f>'Part I-Project Information'!O37</f>
        <v>5.7460000000000004</v>
      </c>
      <c r="P60" s="1801">
        <f>'Part I-Project Information'!P37</f>
        <v>0</v>
      </c>
    </row>
    <row r="61" spans="1:16" ht="14.4">
      <c r="A61" s="1334"/>
      <c r="B61" s="1330" t="s">
        <v>617</v>
      </c>
      <c r="C61" s="1330"/>
      <c r="D61" s="1330"/>
      <c r="E61" s="1330"/>
      <c r="F61" s="1330" t="str">
        <f>'Part I-Project Information'!F38</f>
        <v>Leesburg</v>
      </c>
      <c r="G61" s="1330">
        <f>'Part I-Project Information'!G38</f>
        <v>0</v>
      </c>
      <c r="H61" s="1330">
        <f>'Part I-Project Information'!H38</f>
        <v>0</v>
      </c>
      <c r="I61" s="1344" t="s">
        <v>5307</v>
      </c>
      <c r="J61" s="1798">
        <f>'Part I-Project Information'!J38</f>
        <v>317633787</v>
      </c>
      <c r="K61" s="1798">
        <f>'Part I-Project Information'!K38</f>
        <v>0</v>
      </c>
      <c r="L61" s="1330" t="str">
        <f>IF(AND(NOT(F57=""),NOT(F61="Select from list"),J61=""),"Enter Zip!","")</f>
        <v/>
      </c>
      <c r="M61" s="1345" t="s">
        <v>2904</v>
      </c>
      <c r="N61" s="1330"/>
      <c r="O61" s="1802" t="str">
        <f>'Part I-Project Information'!O38</f>
        <v>203.00</v>
      </c>
      <c r="P61" s="1803">
        <f>'Part I-Project Information'!P38</f>
        <v>0</v>
      </c>
    </row>
    <row r="62" spans="1:16" ht="13.8">
      <c r="A62" s="1334"/>
      <c r="B62" s="1330" t="s">
        <v>3566</v>
      </c>
      <c r="C62" s="1330"/>
      <c r="D62" s="1330"/>
      <c r="E62" s="1330"/>
      <c r="F62" s="1330" t="str">
        <f>'Part I-Project Information'!F39</f>
        <v>Within City Limits</v>
      </c>
      <c r="G62" s="1330">
        <f>'Part I-Project Information'!G39</f>
        <v>0</v>
      </c>
      <c r="H62" s="1330">
        <f>'Part I-Project Information'!H39</f>
        <v>0</v>
      </c>
      <c r="I62" s="1346" t="s">
        <v>618</v>
      </c>
      <c r="J62" s="1706" t="str">
        <f>'Part I-Project Information'!J39</f>
        <v>Lee</v>
      </c>
      <c r="K62" s="1706"/>
      <c r="L62" s="1330"/>
      <c r="M62" s="1337" t="s">
        <v>451</v>
      </c>
      <c r="N62" s="1347" t="str">
        <f>'Part I-Project Information'!N39</f>
        <v>No</v>
      </c>
      <c r="O62" s="1334" t="s">
        <v>452</v>
      </c>
      <c r="P62" s="1347" t="str">
        <f>'Part I-Project Information'!P39</f>
        <v>No</v>
      </c>
    </row>
    <row r="63" spans="1:16" ht="13.8">
      <c r="A63" s="1334"/>
      <c r="B63" s="1330"/>
      <c r="C63" s="1330" t="s">
        <v>1557</v>
      </c>
      <c r="D63" s="1330"/>
      <c r="E63" s="1330"/>
      <c r="F63" s="1337" t="str">
        <f>'Part I-Project Information'!F40</f>
        <v>Yes</v>
      </c>
      <c r="G63" s="1330" t="s">
        <v>2779</v>
      </c>
      <c r="H63" s="1330"/>
      <c r="I63" s="1334" t="str">
        <f>'Part I-Project Information'!I40</f>
        <v>Yes</v>
      </c>
      <c r="J63" s="1334" t="s">
        <v>2799</v>
      </c>
      <c r="K63" s="1334" t="str">
        <f>'Part I-Project Information'!K40</f>
        <v>Rural</v>
      </c>
      <c r="L63" s="1330"/>
      <c r="M63" s="1337" t="s">
        <v>2610</v>
      </c>
      <c r="N63" s="1334" t="str">
        <f>'Part I-Project Information'!N40</f>
        <v>MSA</v>
      </c>
      <c r="O63" s="1330" t="str">
        <f>'Part I-Project Information'!O40</f>
        <v>Albany</v>
      </c>
      <c r="P63" s="1330">
        <f>'Part I-Project Information'!P40</f>
        <v>0</v>
      </c>
    </row>
    <row r="64" spans="1:16" ht="13.8">
      <c r="A64" s="1334"/>
      <c r="B64" s="1330"/>
      <c r="C64" s="1330"/>
      <c r="D64" s="1330"/>
      <c r="E64" s="1330"/>
      <c r="F64" s="1330"/>
      <c r="G64" s="1330"/>
      <c r="H64" s="1330"/>
      <c r="I64" s="1337"/>
      <c r="J64" s="1330"/>
      <c r="K64" s="1330"/>
      <c r="L64" s="1347"/>
      <c r="M64" s="1347"/>
      <c r="N64" s="1347"/>
      <c r="O64" s="1347"/>
      <c r="P64" s="1347"/>
    </row>
    <row r="65" spans="1:16" ht="13.8">
      <c r="A65" s="1334"/>
      <c r="B65" s="1330"/>
      <c r="C65" s="1330" t="s">
        <v>5308</v>
      </c>
      <c r="D65" s="1330"/>
      <c r="E65" s="1330"/>
      <c r="F65" s="1348" t="s">
        <v>2760</v>
      </c>
      <c r="G65" s="1348"/>
      <c r="H65" s="1330" t="s">
        <v>735</v>
      </c>
      <c r="I65" s="1330"/>
      <c r="J65" s="1330" t="s">
        <v>736</v>
      </c>
      <c r="K65" s="1330"/>
      <c r="L65" s="1470" t="s">
        <v>5309</v>
      </c>
      <c r="M65" s="1330"/>
      <c r="N65" s="1330"/>
      <c r="O65" s="1330"/>
      <c r="P65" s="1330"/>
    </row>
    <row r="66" spans="1:16" ht="13.8">
      <c r="A66" s="1334"/>
      <c r="B66" s="1330" t="s">
        <v>5091</v>
      </c>
      <c r="C66" s="1330"/>
      <c r="D66" s="1330"/>
      <c r="E66" s="1330"/>
      <c r="F66" s="1804">
        <f>'Part I-Project Information'!F43</f>
        <v>2</v>
      </c>
      <c r="G66" s="1804">
        <f>'Part I-Project Information'!G43</f>
        <v>0</v>
      </c>
      <c r="H66" s="1804">
        <f>'Part I-Project Information'!H43</f>
        <v>13</v>
      </c>
      <c r="I66" s="1804">
        <f>'Part I-Project Information'!I43</f>
        <v>0</v>
      </c>
      <c r="J66" s="1804">
        <f>'Part I-Project Information'!J43</f>
        <v>152</v>
      </c>
      <c r="K66" s="1804">
        <f>'Part I-Project Information'!K43</f>
        <v>0</v>
      </c>
      <c r="L66" s="1335" t="s">
        <v>1282</v>
      </c>
      <c r="M66" s="1330"/>
      <c r="N66" s="1350" t="s">
        <v>1283</v>
      </c>
      <c r="O66" s="1350"/>
      <c r="P66" s="1350"/>
    </row>
    <row r="67" spans="1:16" ht="13.8">
      <c r="A67" s="1334"/>
      <c r="B67" s="1337" t="s">
        <v>737</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2758</v>
      </c>
      <c r="M67" s="1330"/>
      <c r="N67" s="1351" t="s">
        <v>2757</v>
      </c>
      <c r="O67" s="1351"/>
      <c r="P67" s="1330"/>
    </row>
    <row r="68" spans="1:16" ht="13.8">
      <c r="A68" s="1334"/>
      <c r="B68" s="1330"/>
      <c r="C68" s="1330"/>
      <c r="D68" s="1330"/>
      <c r="E68" s="1330"/>
      <c r="F68" s="1330"/>
      <c r="G68" s="1330"/>
      <c r="H68" s="1330"/>
      <c r="I68" s="1347"/>
      <c r="J68" s="1347"/>
      <c r="K68" s="1347"/>
      <c r="L68" s="1330"/>
      <c r="M68" s="1330"/>
      <c r="N68" s="1330"/>
      <c r="O68" s="1330"/>
      <c r="P68" s="1330"/>
    </row>
    <row r="69" spans="1:16" ht="13.8">
      <c r="A69" s="1334"/>
      <c r="B69" s="1330" t="s">
        <v>636</v>
      </c>
      <c r="C69" s="1330"/>
      <c r="D69" s="1330"/>
      <c r="E69" s="1330"/>
      <c r="F69" s="1462" t="str">
        <f>'Part I-Project Information'!F46</f>
        <v>City of Leesburg</v>
      </c>
      <c r="G69" s="1462">
        <f>'Part I-Project Information'!G46</f>
        <v>0</v>
      </c>
      <c r="H69" s="1462">
        <f>'Part I-Project Information'!H46</f>
        <v>0</v>
      </c>
      <c r="I69" s="1462">
        <f>'Part I-Project Information'!I46</f>
        <v>0</v>
      </c>
      <c r="J69" s="1462">
        <f>'Part I-Project Information'!J46</f>
        <v>0</v>
      </c>
      <c r="K69" s="1462">
        <f>'Part I-Project Information'!K46</f>
        <v>0</v>
      </c>
      <c r="L69" s="1352" t="s">
        <v>2703</v>
      </c>
      <c r="M69" s="1330" t="str">
        <f>'Part I-Project Information'!M46</f>
        <v xml:space="preserve">http://www.cityofleesburgga.com/index.php </v>
      </c>
      <c r="N69" s="1330">
        <f>'Part I-Project Information'!N46</f>
        <v>0</v>
      </c>
      <c r="O69" s="1330">
        <f>'Part I-Project Information'!O46</f>
        <v>0</v>
      </c>
      <c r="P69" s="1330">
        <f>'Part I-Project Information'!P46</f>
        <v>0</v>
      </c>
    </row>
    <row r="70" spans="1:16" ht="13.8">
      <c r="A70" s="1334"/>
      <c r="B70" s="1330" t="s">
        <v>637</v>
      </c>
      <c r="C70" s="1330"/>
      <c r="D70" s="1330"/>
      <c r="E70" s="1330"/>
      <c r="F70" s="1462" t="str">
        <f>'Part I-Project Information'!F47</f>
        <v>Jim Quinn</v>
      </c>
      <c r="G70" s="1462">
        <f>'Part I-Project Information'!G47</f>
        <v>0</v>
      </c>
      <c r="H70" s="1462">
        <f>'Part I-Project Information'!H47</f>
        <v>0</v>
      </c>
      <c r="I70" s="1334" t="s">
        <v>1979</v>
      </c>
      <c r="J70" s="1330" t="str">
        <f>'Part I-Project Information'!J47</f>
        <v>Mayor</v>
      </c>
      <c r="K70" s="1330">
        <f>'Part I-Project Information'!K47</f>
        <v>0</v>
      </c>
      <c r="L70" s="1352"/>
      <c r="M70" s="1330"/>
      <c r="N70" s="1330"/>
      <c r="O70" s="1330"/>
      <c r="P70" s="1330"/>
    </row>
    <row r="71" spans="1:16" ht="13.8">
      <c r="A71" s="1334"/>
      <c r="B71" s="1330" t="s">
        <v>1980</v>
      </c>
      <c r="C71" s="1330"/>
      <c r="D71" s="1330"/>
      <c r="E71" s="1330"/>
      <c r="F71" s="1462" t="str">
        <f>'Part I-Project Information'!F48</f>
        <v>107 Walnut Ave South</v>
      </c>
      <c r="G71" s="1462">
        <f>'Part I-Project Information'!G48</f>
        <v>0</v>
      </c>
      <c r="H71" s="1462">
        <f>'Part I-Project Information'!H48</f>
        <v>0</v>
      </c>
      <c r="I71" s="1462">
        <f>'Part I-Project Information'!I48</f>
        <v>0</v>
      </c>
      <c r="J71" s="1462">
        <f>'Part I-Project Information'!J48</f>
        <v>0</v>
      </c>
      <c r="K71" s="1462">
        <f>'Part I-Project Information'!K48</f>
        <v>0</v>
      </c>
      <c r="L71" s="1337" t="s">
        <v>617</v>
      </c>
      <c r="M71" s="1462" t="str">
        <f>'Part I-Project Information'!M48</f>
        <v>Leesburg</v>
      </c>
      <c r="N71" s="1462">
        <f>'Part I-Project Information'!N48</f>
        <v>0</v>
      </c>
      <c r="O71" s="1462">
        <f>'Part I-Project Information'!O48</f>
        <v>0</v>
      </c>
      <c r="P71" s="1462">
        <f>'Part I-Project Information'!P48</f>
        <v>0</v>
      </c>
    </row>
    <row r="72" spans="1:16" ht="13.8">
      <c r="A72" s="1334"/>
      <c r="B72" s="1337" t="s">
        <v>2228</v>
      </c>
      <c r="C72" s="1330"/>
      <c r="D72" s="1330"/>
      <c r="E72" s="1330"/>
      <c r="F72" s="1798">
        <f>'Part I-Project Information'!F49</f>
        <v>317634366</v>
      </c>
      <c r="G72" s="1798">
        <f>'Part I-Project Information'!G49</f>
        <v>0</v>
      </c>
      <c r="H72" s="1334" t="s">
        <v>1981</v>
      </c>
      <c r="I72" s="1799">
        <f>'Part I-Project Information'!I49</f>
        <v>2297596465</v>
      </c>
      <c r="J72" s="1799">
        <f>'Part I-Project Information'!J49</f>
        <v>0</v>
      </c>
      <c r="K72" s="1799">
        <f>'Part I-Project Information'!K49</f>
        <v>0</v>
      </c>
      <c r="L72" s="1337" t="s">
        <v>1799</v>
      </c>
      <c r="M72" s="1462" t="str">
        <f>'Part I-Project Information'!M49</f>
        <v>spayne@cityofleesburgga.com</v>
      </c>
      <c r="N72" s="1462">
        <f>'Part I-Project Information'!N49</f>
        <v>0</v>
      </c>
      <c r="O72" s="1462">
        <f>'Part I-Project Information'!O49</f>
        <v>0</v>
      </c>
      <c r="P72" s="1462">
        <f>'Part I-Project Information'!P49</f>
        <v>0</v>
      </c>
    </row>
    <row r="73" spans="1:16" ht="13.8">
      <c r="A73" s="1334"/>
      <c r="B73" s="1334"/>
      <c r="C73" s="1344"/>
      <c r="D73" s="1344"/>
      <c r="E73" s="1344"/>
      <c r="F73" s="1334"/>
      <c r="G73" s="1334"/>
      <c r="H73" s="1334"/>
      <c r="I73" s="1334"/>
      <c r="J73" s="1344"/>
      <c r="K73" s="1334"/>
      <c r="L73" s="1334"/>
      <c r="M73" s="1330"/>
      <c r="N73" s="1330"/>
      <c r="O73" s="1330"/>
      <c r="P73" s="1343"/>
    </row>
    <row r="74" spans="1:16" ht="13.8">
      <c r="A74" s="1337" t="s">
        <v>1793</v>
      </c>
      <c r="B74" s="1330" t="s">
        <v>1474</v>
      </c>
      <c r="C74" s="1330"/>
      <c r="D74" s="1330"/>
      <c r="E74" s="1330"/>
      <c r="F74" s="1354"/>
      <c r="G74" s="1330"/>
      <c r="H74" s="1330"/>
      <c r="I74" s="1337"/>
      <c r="J74" s="1330"/>
      <c r="K74" s="1330"/>
      <c r="L74" s="1330"/>
      <c r="M74" s="1330"/>
      <c r="N74" s="1330"/>
      <c r="O74" s="1330"/>
      <c r="P74" s="1330"/>
    </row>
    <row r="75" spans="1:16" ht="13.8">
      <c r="A75" s="1334"/>
      <c r="B75" s="1330"/>
      <c r="C75" s="1330"/>
      <c r="D75" s="1330"/>
      <c r="E75" s="1330"/>
      <c r="F75" s="1330"/>
      <c r="G75" s="1330"/>
      <c r="H75" s="1330"/>
      <c r="I75" s="1337"/>
      <c r="J75" s="1330"/>
      <c r="K75" s="1330"/>
      <c r="L75" s="1330"/>
      <c r="M75" s="1330"/>
      <c r="N75" s="1330"/>
      <c r="O75" s="1330"/>
      <c r="P75" s="1330"/>
    </row>
    <row r="76" spans="1:16" ht="13.8">
      <c r="A76" s="1334"/>
      <c r="B76" s="1334" t="s">
        <v>1982</v>
      </c>
      <c r="C76" s="1330" t="s">
        <v>5092</v>
      </c>
      <c r="D76" s="1330"/>
      <c r="E76" s="1330"/>
      <c r="F76" s="1330"/>
      <c r="G76" s="1330"/>
      <c r="H76" s="1330"/>
      <c r="I76" s="1330"/>
      <c r="J76" s="1330"/>
      <c r="K76" s="1335"/>
      <c r="L76" s="1330"/>
      <c r="M76" s="1350"/>
      <c r="N76" s="1350"/>
      <c r="O76" s="1350"/>
      <c r="P76" s="1350"/>
    </row>
    <row r="77" spans="1:16" ht="13.8">
      <c r="A77" s="1336"/>
      <c r="B77" s="1334"/>
      <c r="C77" s="1330" t="s">
        <v>2294</v>
      </c>
      <c r="D77" s="1330"/>
      <c r="E77" s="1330"/>
      <c r="F77" s="1336"/>
      <c r="G77" s="1336"/>
      <c r="H77" s="1355">
        <f>'Part VI-Revenues &amp; Expenses'!$O$103</f>
        <v>0</v>
      </c>
      <c r="I77" s="1336"/>
      <c r="J77" s="1336"/>
      <c r="K77" s="1337" t="s">
        <v>3671</v>
      </c>
      <c r="L77" s="1330"/>
      <c r="M77" s="1356" t="s">
        <v>3670</v>
      </c>
      <c r="N77" s="1355">
        <f>'Part VI-Revenues &amp; Expenses'!$O$110</f>
        <v>0</v>
      </c>
      <c r="O77" s="1357" t="s">
        <v>3355</v>
      </c>
      <c r="P77" s="1355">
        <f>'Part VI-Revenues &amp; Expenses'!$O$111</f>
        <v>0</v>
      </c>
    </row>
    <row r="78" spans="1:16" ht="13.8">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ht="13.8">
      <c r="A79" s="1330"/>
      <c r="B79" s="1334"/>
      <c r="C79" s="1337" t="s">
        <v>346</v>
      </c>
      <c r="D79" s="1330"/>
      <c r="E79" s="1330"/>
      <c r="F79" s="1330"/>
      <c r="G79" s="1330"/>
      <c r="H79" s="1355">
        <f>'Part VI-Revenues &amp; Expenses'!$O$106</f>
        <v>40</v>
      </c>
      <c r="I79" s="1359" t="s">
        <v>2908</v>
      </c>
      <c r="J79" s="1330"/>
      <c r="K79" s="1330" t="s">
        <v>348</v>
      </c>
      <c r="L79" s="1330"/>
      <c r="M79" s="1330"/>
      <c r="N79" s="1330"/>
      <c r="O79" s="1330"/>
      <c r="P79" s="1805">
        <f>'Part I-Project Information'!P56</f>
        <v>36109</v>
      </c>
    </row>
    <row r="80" spans="1:16" ht="13.8">
      <c r="A80" s="1334"/>
      <c r="B80" s="1330"/>
      <c r="C80" s="1330"/>
      <c r="D80" s="1330"/>
      <c r="E80" s="1330"/>
      <c r="F80" s="1330"/>
      <c r="G80" s="1330"/>
      <c r="H80" s="1330"/>
      <c r="I80" s="1330"/>
      <c r="J80" s="1330"/>
      <c r="K80" s="1330"/>
      <c r="L80" s="1330"/>
      <c r="M80" s="1330"/>
      <c r="N80" s="1330"/>
      <c r="O80" s="1330"/>
      <c r="P80" s="1330"/>
    </row>
    <row r="81" spans="1:16" ht="13.8">
      <c r="A81" s="1334"/>
      <c r="B81" s="1334" t="s">
        <v>1984</v>
      </c>
      <c r="C81" s="1330" t="s">
        <v>2295</v>
      </c>
      <c r="D81" s="1330"/>
      <c r="E81" s="1330"/>
      <c r="F81" s="1330"/>
      <c r="G81" s="1330"/>
      <c r="H81" s="1334" t="str">
        <f>'Part I-Project Information'!H58</f>
        <v>No</v>
      </c>
      <c r="I81" s="1330"/>
      <c r="J81" s="1330"/>
      <c r="K81" s="1330"/>
      <c r="L81" s="1330"/>
      <c r="M81" s="1330"/>
      <c r="N81" s="1330"/>
      <c r="O81" s="1350"/>
      <c r="P81" s="1335"/>
    </row>
    <row r="82" spans="1:16" ht="13.8">
      <c r="A82" s="1334"/>
      <c r="B82" s="1330"/>
      <c r="C82" s="1330"/>
      <c r="D82" s="1330"/>
      <c r="E82" s="1330"/>
      <c r="F82" s="1330"/>
      <c r="G82" s="1330"/>
      <c r="H82" s="1330"/>
      <c r="I82" s="1330"/>
      <c r="J82" s="1335"/>
      <c r="K82" s="1360"/>
      <c r="L82" s="1335"/>
      <c r="M82" s="1360"/>
      <c r="N82" s="1360"/>
      <c r="O82" s="1360"/>
      <c r="P82" s="1360"/>
    </row>
    <row r="83" spans="1:16" ht="13.8">
      <c r="A83" s="1334"/>
      <c r="B83" s="1340" t="s">
        <v>748</v>
      </c>
      <c r="C83" s="1330" t="s">
        <v>2275</v>
      </c>
      <c r="D83" s="1330"/>
      <c r="E83" s="1330"/>
      <c r="F83" s="1330"/>
      <c r="G83" s="1330"/>
      <c r="H83" s="1330"/>
      <c r="I83" s="1361" t="s">
        <v>3562</v>
      </c>
      <c r="J83" s="1340" t="s">
        <v>2114</v>
      </c>
      <c r="K83" s="1336" t="s">
        <v>2301</v>
      </c>
      <c r="L83" s="1330"/>
      <c r="M83" s="1330"/>
      <c r="N83" s="1330"/>
      <c r="O83" s="1330"/>
      <c r="P83" s="1334"/>
    </row>
    <row r="84" spans="1:16" ht="13.8">
      <c r="A84" s="1334"/>
      <c r="B84" s="1363"/>
      <c r="C84" s="1336" t="s">
        <v>2276</v>
      </c>
      <c r="D84" s="1330"/>
      <c r="E84" s="1330"/>
      <c r="F84" s="1330"/>
      <c r="G84" s="1330"/>
      <c r="H84" s="1364">
        <f>SUM(H85:H91)</f>
        <v>39</v>
      </c>
      <c r="I84" s="1364">
        <f>SUM(I85:I91)</f>
        <v>0</v>
      </c>
      <c r="J84" s="1334"/>
      <c r="K84" s="1336" t="s">
        <v>2771</v>
      </c>
      <c r="L84" s="1330"/>
      <c r="M84" s="1330"/>
      <c r="N84" s="1330"/>
      <c r="O84" s="1330"/>
      <c r="P84" s="1364">
        <f>SUM(P85:P91)</f>
        <v>34661</v>
      </c>
    </row>
    <row r="85" spans="1:16" ht="13.8">
      <c r="A85" s="1334"/>
      <c r="B85" s="1363"/>
      <c r="C85" s="1336"/>
      <c r="D85" s="1348" t="s">
        <v>4711</v>
      </c>
      <c r="E85" s="1330"/>
      <c r="F85" s="1330"/>
      <c r="G85" s="1330"/>
      <c r="H85" s="1364">
        <f>'Part VI-Revenues &amp; Expenses'!$O56</f>
        <v>0</v>
      </c>
      <c r="I85" s="1364">
        <f>'Part VI-Revenues &amp; Expenses'!$O81</f>
        <v>0</v>
      </c>
      <c r="J85" s="1334"/>
      <c r="K85" s="1336"/>
      <c r="L85" s="1348" t="s">
        <v>4711</v>
      </c>
      <c r="M85" s="1330"/>
      <c r="N85" s="1330"/>
      <c r="O85" s="1330"/>
      <c r="P85" s="1364">
        <f>'Part VI-Revenues &amp; Expenses'!$O145</f>
        <v>0</v>
      </c>
    </row>
    <row r="86" spans="1:16" ht="13.8">
      <c r="A86" s="1334"/>
      <c r="B86" s="1363"/>
      <c r="C86" s="1336"/>
      <c r="D86" s="1348" t="s">
        <v>4712</v>
      </c>
      <c r="E86" s="1330"/>
      <c r="F86" s="1330"/>
      <c r="G86" s="1330"/>
      <c r="H86" s="1364">
        <f>'Part VI-Revenues &amp; Expenses'!$O57</f>
        <v>0</v>
      </c>
      <c r="I86" s="1364">
        <f>'Part VI-Revenues &amp; Expenses'!$O82</f>
        <v>0</v>
      </c>
      <c r="J86" s="1334"/>
      <c r="K86" s="1336"/>
      <c r="L86" s="1348" t="s">
        <v>4712</v>
      </c>
      <c r="M86" s="1330"/>
      <c r="N86" s="1330"/>
      <c r="O86" s="1330"/>
      <c r="P86" s="1364">
        <f>'Part VI-Revenues &amp; Expenses'!$O146</f>
        <v>0</v>
      </c>
    </row>
    <row r="87" spans="1:16" ht="13.8">
      <c r="A87" s="1334"/>
      <c r="B87" s="1336"/>
      <c r="C87" s="1330"/>
      <c r="D87" s="1348" t="s">
        <v>4709</v>
      </c>
      <c r="E87" s="1348"/>
      <c r="F87" s="1330"/>
      <c r="G87" s="1330"/>
      <c r="H87" s="1364">
        <f>'Part VI-Revenues &amp; Expenses'!$O58</f>
        <v>19</v>
      </c>
      <c r="I87" s="1364">
        <f>'Part VI-Revenues &amp; Expenses'!$O83</f>
        <v>0</v>
      </c>
      <c r="J87" s="1330"/>
      <c r="K87" s="1330"/>
      <c r="L87" s="1348" t="s">
        <v>4709</v>
      </c>
      <c r="M87" s="1330"/>
      <c r="N87" s="1330"/>
      <c r="O87" s="1330"/>
      <c r="P87" s="1364">
        <f>'Part VI-Revenues &amp; Expenses'!$O147</f>
        <v>16873</v>
      </c>
    </row>
    <row r="88" spans="1:16" ht="13.8">
      <c r="A88" s="1334"/>
      <c r="B88" s="1330"/>
      <c r="C88" s="1330"/>
      <c r="D88" s="1348" t="s">
        <v>4710</v>
      </c>
      <c r="E88" s="1330"/>
      <c r="F88" s="1330"/>
      <c r="G88" s="1330"/>
      <c r="H88" s="1364">
        <f>'Part VI-Revenues &amp; Expenses'!$O59</f>
        <v>20</v>
      </c>
      <c r="I88" s="1364">
        <f>'Part VI-Revenues &amp; Expenses'!$O84</f>
        <v>0</v>
      </c>
      <c r="J88" s="1330"/>
      <c r="K88" s="1330"/>
      <c r="L88" s="1348" t="s">
        <v>4710</v>
      </c>
      <c r="M88" s="1330"/>
      <c r="N88" s="1330"/>
      <c r="O88" s="1330"/>
      <c r="P88" s="1364">
        <f>'Part VI-Revenues &amp; Expenses'!$O148</f>
        <v>17788</v>
      </c>
    </row>
    <row r="89" spans="1:16" ht="13.8">
      <c r="A89" s="1334"/>
      <c r="B89" s="1330"/>
      <c r="C89" s="1330"/>
      <c r="D89" s="1348" t="s">
        <v>4713</v>
      </c>
      <c r="E89" s="1348"/>
      <c r="F89" s="1330"/>
      <c r="G89" s="1330"/>
      <c r="H89" s="1364">
        <f>'Part VI-Revenues &amp; Expenses'!$O60</f>
        <v>0</v>
      </c>
      <c r="I89" s="1364">
        <f>'Part VI-Revenues &amp; Expenses'!$O85</f>
        <v>0</v>
      </c>
      <c r="J89" s="1330"/>
      <c r="K89" s="1330"/>
      <c r="L89" s="1348" t="s">
        <v>4713</v>
      </c>
      <c r="M89" s="1330"/>
      <c r="N89" s="1330"/>
      <c r="O89" s="1330"/>
      <c r="P89" s="1364">
        <f>'Part VI-Revenues &amp; Expenses'!$O149</f>
        <v>0</v>
      </c>
    </row>
    <row r="90" spans="1:16" ht="13.8">
      <c r="A90" s="1334"/>
      <c r="B90" s="1330"/>
      <c r="C90" s="1330"/>
      <c r="D90" s="1348" t="s">
        <v>4714</v>
      </c>
      <c r="E90" s="1348"/>
      <c r="F90" s="1330"/>
      <c r="G90" s="1330"/>
      <c r="H90" s="1364">
        <f>'Part VI-Revenues &amp; Expenses'!$O61</f>
        <v>0</v>
      </c>
      <c r="I90" s="1364">
        <f>'Part VI-Revenues &amp; Expenses'!$O86</f>
        <v>0</v>
      </c>
      <c r="J90" s="1330"/>
      <c r="K90" s="1330"/>
      <c r="L90" s="1348" t="s">
        <v>4714</v>
      </c>
      <c r="M90" s="1330"/>
      <c r="N90" s="1330"/>
      <c r="O90" s="1330"/>
      <c r="P90" s="1364">
        <f>'Part VI-Revenues &amp; Expenses'!$O150</f>
        <v>0</v>
      </c>
    </row>
    <row r="91" spans="1:16" ht="13.8">
      <c r="A91" s="1334"/>
      <c r="B91" s="1330"/>
      <c r="C91" s="1330"/>
      <c r="D91" s="1348" t="s">
        <v>4715</v>
      </c>
      <c r="E91" s="1348"/>
      <c r="F91" s="1330"/>
      <c r="G91" s="1330"/>
      <c r="H91" s="1364">
        <f>'Part VI-Revenues &amp; Expenses'!$O62</f>
        <v>0</v>
      </c>
      <c r="I91" s="1364">
        <f>'Part VI-Revenues &amp; Expenses'!$O87</f>
        <v>0</v>
      </c>
      <c r="J91" s="1330"/>
      <c r="K91" s="1330"/>
      <c r="L91" s="1348" t="s">
        <v>4715</v>
      </c>
      <c r="M91" s="1330"/>
      <c r="N91" s="1330"/>
      <c r="O91" s="1330"/>
      <c r="P91" s="1364">
        <f>'Part VI-Revenues &amp; Expenses'!$O151</f>
        <v>0</v>
      </c>
    </row>
    <row r="92" spans="1:16" ht="13.8">
      <c r="A92" s="1334"/>
      <c r="B92" s="1330"/>
      <c r="C92" s="1336" t="s">
        <v>253</v>
      </c>
      <c r="D92" s="1330"/>
      <c r="E92" s="1330"/>
      <c r="F92" s="1330"/>
      <c r="G92" s="1330"/>
      <c r="H92" s="1364">
        <f>'Part VI-Revenues &amp; Expenses'!$O$64</f>
        <v>0</v>
      </c>
      <c r="I92" s="1330"/>
      <c r="J92" s="1334"/>
      <c r="K92" s="1336" t="s">
        <v>2772</v>
      </c>
      <c r="L92" s="1330"/>
      <c r="M92" s="1330"/>
      <c r="N92" s="1330"/>
      <c r="O92" s="1330"/>
      <c r="P92" s="1364">
        <f>'Part VI-Revenues &amp; Expenses'!$O$153</f>
        <v>0</v>
      </c>
    </row>
    <row r="93" spans="1:16" ht="13.8">
      <c r="A93" s="1334"/>
      <c r="B93" s="1330"/>
      <c r="C93" s="1336" t="s">
        <v>2406</v>
      </c>
      <c r="D93" s="1330"/>
      <c r="E93" s="1330"/>
      <c r="F93" s="1330"/>
      <c r="G93" s="1330"/>
      <c r="H93" s="1364">
        <f>H84+H92</f>
        <v>39</v>
      </c>
      <c r="I93" s="1330"/>
      <c r="J93" s="1334"/>
      <c r="K93" s="1336" t="s">
        <v>2773</v>
      </c>
      <c r="L93" s="1330"/>
      <c r="M93" s="1330"/>
      <c r="N93" s="1330"/>
      <c r="O93" s="1330"/>
      <c r="P93" s="1364">
        <f>P84+P92</f>
        <v>34661</v>
      </c>
    </row>
    <row r="94" spans="1:16" ht="13.8">
      <c r="A94" s="1334"/>
      <c r="B94" s="1330"/>
      <c r="C94" s="1336" t="s">
        <v>2407</v>
      </c>
      <c r="D94" s="1330"/>
      <c r="E94" s="1330"/>
      <c r="F94" s="1330"/>
      <c r="G94" s="1330"/>
      <c r="H94" s="1364">
        <f>'Part VI-Revenues &amp; Expenses'!$O$66</f>
        <v>1</v>
      </c>
      <c r="I94" s="1330"/>
      <c r="J94" s="1334"/>
      <c r="K94" s="1336" t="s">
        <v>2774</v>
      </c>
      <c r="L94" s="1330"/>
      <c r="M94" s="1330"/>
      <c r="N94" s="1330"/>
      <c r="O94" s="1330"/>
      <c r="P94" s="1364">
        <f>'Part VI-Revenues &amp; Expenses'!$O$155</f>
        <v>915</v>
      </c>
    </row>
    <row r="95" spans="1:16" ht="13.8">
      <c r="A95" s="1334"/>
      <c r="B95" s="1330"/>
      <c r="C95" s="1336" t="s">
        <v>1792</v>
      </c>
      <c r="D95" s="1330"/>
      <c r="E95" s="1330"/>
      <c r="F95" s="1330"/>
      <c r="G95" s="1330"/>
      <c r="H95" s="1364">
        <f>+H93+H94</f>
        <v>40</v>
      </c>
      <c r="I95" s="1330"/>
      <c r="J95" s="1330"/>
      <c r="K95" s="1336" t="s">
        <v>1419</v>
      </c>
      <c r="L95" s="1330"/>
      <c r="M95" s="1330"/>
      <c r="N95" s="1330"/>
      <c r="O95" s="1330"/>
      <c r="P95" s="1364">
        <f>+P93+P94</f>
        <v>35576</v>
      </c>
    </row>
    <row r="96" spans="1:16" ht="13.8">
      <c r="A96" s="1334"/>
      <c r="B96" s="1330"/>
      <c r="C96" s="1330"/>
      <c r="D96" s="1330"/>
      <c r="E96" s="1330"/>
      <c r="F96" s="1330"/>
      <c r="G96" s="1330"/>
      <c r="H96" s="1330"/>
      <c r="I96" s="1334"/>
      <c r="J96" s="1330"/>
      <c r="K96" s="1330"/>
      <c r="L96" s="1334"/>
      <c r="M96" s="1334"/>
      <c r="N96" s="1330"/>
      <c r="O96" s="1330"/>
      <c r="P96" s="1343"/>
    </row>
    <row r="97" spans="1:16" ht="13.8">
      <c r="A97" s="1334"/>
      <c r="B97" s="1334" t="s">
        <v>1734</v>
      </c>
      <c r="C97" s="1330" t="s">
        <v>2296</v>
      </c>
      <c r="D97" s="1348" t="s">
        <v>1995</v>
      </c>
      <c r="E97" s="1330"/>
      <c r="F97" s="1330"/>
      <c r="G97" s="1330"/>
      <c r="H97" s="1364">
        <f>'Part I-Project Information'!H74</f>
        <v>5</v>
      </c>
      <c r="I97" s="1330"/>
      <c r="J97" s="1330"/>
      <c r="K97" s="1336" t="s">
        <v>5310</v>
      </c>
      <c r="L97" s="1330"/>
      <c r="M97" s="1330"/>
      <c r="N97" s="1330"/>
      <c r="O97" s="1330"/>
      <c r="P97" s="1364">
        <f>'Part I-Project Information'!P74</f>
        <v>1396</v>
      </c>
    </row>
    <row r="98" spans="1:16" ht="13.8">
      <c r="A98" s="1334"/>
      <c r="B98" s="1334"/>
      <c r="C98" s="1330"/>
      <c r="D98" s="1363" t="s">
        <v>1996</v>
      </c>
      <c r="E98" s="1330"/>
      <c r="F98" s="1330"/>
      <c r="G98" s="1330"/>
      <c r="H98" s="1364">
        <f>'Part I-Project Information'!H75</f>
        <v>1</v>
      </c>
      <c r="I98" s="1330"/>
      <c r="J98" s="1330"/>
      <c r="K98" s="1336" t="s">
        <v>252</v>
      </c>
      <c r="L98" s="1330"/>
      <c r="M98" s="1330"/>
      <c r="N98" s="1330"/>
      <c r="O98" s="1330"/>
      <c r="P98" s="1364">
        <f>+P95+P97</f>
        <v>36972</v>
      </c>
    </row>
    <row r="99" spans="1:16" ht="13.8">
      <c r="A99" s="1334"/>
      <c r="B99" s="1334"/>
      <c r="C99" s="1330"/>
      <c r="D99" s="1363" t="s">
        <v>1997</v>
      </c>
      <c r="E99" s="1330"/>
      <c r="F99" s="1330"/>
      <c r="G99" s="1330"/>
      <c r="H99" s="1364">
        <f>+H97+H98</f>
        <v>6</v>
      </c>
      <c r="I99" s="1330"/>
      <c r="J99" s="1330"/>
      <c r="K99" s="1330"/>
      <c r="L99" s="1330"/>
      <c r="M99" s="1330"/>
      <c r="N99" s="1330"/>
      <c r="O99" s="1330"/>
      <c r="P99" s="1330"/>
    </row>
    <row r="100" spans="1:16" ht="13.8">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1735</v>
      </c>
      <c r="C101" s="1330" t="s">
        <v>2841</v>
      </c>
      <c r="D101" s="1330"/>
      <c r="E101" s="1330"/>
      <c r="F101" s="1330"/>
      <c r="G101" s="1330"/>
      <c r="H101" s="1364">
        <f>'Part I-Project Information'!H78</f>
        <v>60</v>
      </c>
      <c r="I101" s="1330"/>
      <c r="J101" s="1330"/>
      <c r="K101" s="1365" t="s">
        <v>3851</v>
      </c>
      <c r="L101" s="1365"/>
      <c r="M101" s="1365"/>
      <c r="N101" s="1365"/>
      <c r="O101" s="1365"/>
      <c r="P101" s="1365"/>
    </row>
    <row r="102" spans="1:16" ht="13.8">
      <c r="A102" s="1334"/>
      <c r="B102" s="1334"/>
      <c r="C102" s="1336"/>
      <c r="D102" s="1330"/>
      <c r="E102" s="1330"/>
      <c r="F102" s="1330"/>
      <c r="G102" s="1334"/>
      <c r="H102" s="1330"/>
      <c r="I102" s="1336"/>
      <c r="J102" s="1336"/>
      <c r="K102" s="1365"/>
      <c r="L102" s="1365"/>
      <c r="M102" s="1365"/>
      <c r="N102" s="1365"/>
      <c r="O102" s="1365"/>
      <c r="P102" s="1365"/>
    </row>
    <row r="103" spans="1:16" ht="13.8">
      <c r="A103" s="1334" t="s">
        <v>529</v>
      </c>
      <c r="B103" s="1348" t="s">
        <v>1190</v>
      </c>
      <c r="C103" s="1330"/>
      <c r="D103" s="1348"/>
      <c r="E103" s="1348"/>
      <c r="F103" s="1330"/>
      <c r="G103" s="1334"/>
      <c r="H103" s="1330"/>
      <c r="I103" s="1330"/>
      <c r="J103" s="1330"/>
      <c r="K103" s="1365"/>
      <c r="L103" s="1365"/>
      <c r="M103" s="1365"/>
      <c r="N103" s="1365"/>
      <c r="O103" s="1365"/>
      <c r="P103" s="1365"/>
    </row>
    <row r="104" spans="1:16" ht="13.8">
      <c r="A104" s="1334"/>
      <c r="B104" s="1330"/>
      <c r="C104" s="1363"/>
      <c r="D104" s="1363"/>
      <c r="E104" s="1363"/>
      <c r="F104" s="1330"/>
      <c r="G104" s="1334"/>
      <c r="H104" s="1330"/>
      <c r="I104" s="1330"/>
      <c r="J104" s="1330"/>
      <c r="K104" s="1330"/>
      <c r="L104" s="1330"/>
      <c r="M104" s="1330"/>
      <c r="N104" s="1330"/>
      <c r="O104" s="1330"/>
      <c r="P104" s="1343"/>
    </row>
    <row r="105" spans="1:16" ht="13.8">
      <c r="A105" s="1334"/>
      <c r="B105" s="1334" t="s">
        <v>1982</v>
      </c>
      <c r="C105" s="1337" t="s">
        <v>4488</v>
      </c>
      <c r="D105" s="1363"/>
      <c r="E105" s="1363"/>
      <c r="F105" s="1330"/>
      <c r="G105" s="1334"/>
      <c r="H105" s="1330" t="str">
        <f>'Part I-Project Information'!H82</f>
        <v>Family</v>
      </c>
      <c r="I105" s="1330">
        <f>'Part I-Project Information'!I82</f>
        <v>0</v>
      </c>
      <c r="J105" s="1330"/>
      <c r="K105" s="1330" t="s">
        <v>1771</v>
      </c>
      <c r="L105" s="1330"/>
      <c r="M105" s="1330">
        <f>'Part I-Project Information'!M82</f>
        <v>0</v>
      </c>
      <c r="N105" s="1330">
        <f>'Part I-Project Information'!N82</f>
        <v>0</v>
      </c>
      <c r="O105" s="1330">
        <f>'Part I-Project Information'!O82</f>
        <v>0</v>
      </c>
      <c r="P105" s="1330">
        <f>'Part I-Project Information'!P82</f>
        <v>0</v>
      </c>
    </row>
    <row r="106" spans="1:16" ht="13.8">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4960</v>
      </c>
      <c r="L107" s="1368" t="s">
        <v>2909</v>
      </c>
      <c r="M107" s="1364">
        <f>'Part I-Project Information'!M84</f>
        <v>40</v>
      </c>
      <c r="N107" s="1368" t="s">
        <v>2910</v>
      </c>
      <c r="O107" s="1364">
        <f>'Part I-Project Information'!O84</f>
        <v>0</v>
      </c>
      <c r="P107" s="1337" t="s">
        <v>4959</v>
      </c>
    </row>
    <row r="108" spans="1:16" ht="13.8">
      <c r="A108" s="1334"/>
      <c r="B108" s="1334"/>
      <c r="C108" s="1330"/>
      <c r="D108" s="1337"/>
      <c r="E108" s="1363"/>
      <c r="F108" s="1330"/>
      <c r="G108" s="1330"/>
      <c r="H108" s="1330"/>
      <c r="I108" s="1330"/>
      <c r="J108" s="1365"/>
      <c r="K108" s="1365"/>
      <c r="L108" s="1340" t="s">
        <v>2911</v>
      </c>
      <c r="M108" s="1364">
        <f>'Part I-Project Information'!M85</f>
        <v>0</v>
      </c>
      <c r="N108" s="1340" t="s">
        <v>3872</v>
      </c>
      <c r="O108" s="1364">
        <f>'Part I-Project Information'!O85</f>
        <v>0</v>
      </c>
      <c r="P108" s="1364">
        <f>'Part I-Project Information'!P85</f>
        <v>0</v>
      </c>
    </row>
    <row r="109" spans="1:16" ht="13.8">
      <c r="A109" s="1334"/>
      <c r="B109" s="1334"/>
      <c r="C109" s="1330"/>
      <c r="D109" s="1363"/>
      <c r="E109" s="1363"/>
      <c r="F109" s="1363"/>
      <c r="G109" s="1363"/>
      <c r="H109" s="1330"/>
      <c r="I109" s="1334"/>
      <c r="J109" s="1330"/>
      <c r="K109" s="1337"/>
      <c r="L109" s="1337"/>
      <c r="M109" s="1334"/>
      <c r="N109" s="1330"/>
      <c r="O109" s="1330"/>
      <c r="P109" s="1343"/>
    </row>
    <row r="110" spans="1:16" ht="13.8">
      <c r="A110" s="1334"/>
      <c r="B110" s="1334" t="s">
        <v>1984</v>
      </c>
      <c r="C110" s="1330" t="s">
        <v>1410</v>
      </c>
      <c r="D110" s="1330"/>
      <c r="E110" s="1348"/>
      <c r="F110" s="1363" t="s">
        <v>795</v>
      </c>
      <c r="G110" s="1330"/>
      <c r="H110" s="1364">
        <f>'Part VIII-Threshold Criteria'!K329</f>
        <v>0</v>
      </c>
      <c r="I110" s="1330"/>
      <c r="J110" s="1330"/>
      <c r="K110" s="1330" t="s">
        <v>519</v>
      </c>
      <c r="L110" s="1330"/>
      <c r="M110" s="1330"/>
      <c r="N110" s="1369">
        <f>IF('Part VI-Revenues &amp; Expenses'!$O$67=0,0,H110/'Part VI-Revenues &amp; Expenses'!$O$67)</f>
        <v>0</v>
      </c>
      <c r="O110" s="1340" t="s">
        <v>3693</v>
      </c>
      <c r="P110" s="1370">
        <f>'DCA Underwriting Assumptions'!$Q$139</f>
        <v>0.05</v>
      </c>
    </row>
    <row r="111" spans="1:16" ht="13.8">
      <c r="A111" s="1334"/>
      <c r="B111" s="1334"/>
      <c r="C111" s="1330"/>
      <c r="D111" s="1363" t="s">
        <v>2839</v>
      </c>
      <c r="E111" s="1363"/>
      <c r="F111" s="1363" t="s">
        <v>795</v>
      </c>
      <c r="G111" s="1330"/>
      <c r="H111" s="1364">
        <f>'Part VIII-Threshold Criteria'!K330</f>
        <v>0</v>
      </c>
      <c r="I111" s="1330"/>
      <c r="J111" s="1330"/>
      <c r="K111" s="1330" t="s">
        <v>2840</v>
      </c>
      <c r="L111" s="1330"/>
      <c r="M111" s="1330"/>
      <c r="N111" s="1369">
        <f>IF(H110=0,0,H111/H110)</f>
        <v>0</v>
      </c>
      <c r="O111" s="1340" t="s">
        <v>3693</v>
      </c>
      <c r="P111" s="1370">
        <f>'DCA Underwriting Assumptions'!$Q$140</f>
        <v>0.4</v>
      </c>
    </row>
    <row r="112" spans="1:16" ht="13.8">
      <c r="A112" s="1334"/>
      <c r="B112" s="1334"/>
      <c r="C112" s="1330"/>
      <c r="D112" s="1363"/>
      <c r="E112" s="1363"/>
      <c r="F112" s="1363"/>
      <c r="G112" s="1330"/>
      <c r="H112" s="1330"/>
      <c r="I112" s="1334"/>
      <c r="J112" s="1330"/>
      <c r="K112" s="1337"/>
      <c r="L112" s="1337"/>
      <c r="M112" s="1334"/>
      <c r="N112" s="1334"/>
      <c r="O112" s="1330"/>
      <c r="P112" s="1334"/>
    </row>
    <row r="113" spans="1:16" ht="13.8">
      <c r="A113" s="1334"/>
      <c r="B113" s="1334" t="s">
        <v>748</v>
      </c>
      <c r="C113" s="1330" t="s">
        <v>1843</v>
      </c>
      <c r="D113" s="1348"/>
      <c r="E113" s="1348"/>
      <c r="F113" s="1363" t="s">
        <v>795</v>
      </c>
      <c r="G113" s="1330"/>
      <c r="H113" s="1364">
        <f>'Part VIII-Threshold Criteria'!K332</f>
        <v>0</v>
      </c>
      <c r="I113" s="1330"/>
      <c r="J113" s="1330"/>
      <c r="K113" s="1330" t="s">
        <v>519</v>
      </c>
      <c r="L113" s="1330"/>
      <c r="M113" s="1330"/>
      <c r="N113" s="1369">
        <f>IF('Part VI-Revenues &amp; Expenses'!$O$67=0,0,H113/'Part VI-Revenues &amp; Expenses'!$O$67)</f>
        <v>0</v>
      </c>
      <c r="O113" s="1340" t="s">
        <v>3693</v>
      </c>
      <c r="P113" s="1370">
        <f>'DCA Underwriting Assumptions'!$Q$141</f>
        <v>0.02</v>
      </c>
    </row>
    <row r="114" spans="1:16" ht="13.8">
      <c r="A114" s="1334"/>
      <c r="B114" s="1334"/>
      <c r="C114" s="1330"/>
      <c r="D114" s="1363"/>
      <c r="E114" s="1363"/>
      <c r="F114" s="1363"/>
      <c r="G114" s="1363"/>
      <c r="H114" s="1330"/>
      <c r="I114" s="1334"/>
      <c r="J114" s="1334"/>
      <c r="K114" s="1334"/>
      <c r="L114" s="1334"/>
      <c r="M114" s="1334"/>
      <c r="N114" s="1330"/>
      <c r="O114" s="1330"/>
      <c r="P114" s="1343"/>
    </row>
    <row r="115" spans="1:16" ht="13.8">
      <c r="A115" s="1336" t="s">
        <v>771</v>
      </c>
      <c r="B115" s="1363" t="s">
        <v>4867</v>
      </c>
      <c r="C115" s="1330"/>
      <c r="D115" s="1363"/>
      <c r="E115" s="1363"/>
      <c r="F115" s="1363"/>
      <c r="G115" s="1363"/>
      <c r="H115" s="1363"/>
      <c r="I115" s="1334"/>
      <c r="J115" s="1330"/>
      <c r="K115" s="1330"/>
      <c r="L115" s="1330"/>
      <c r="M115" s="1334"/>
      <c r="N115" s="1330"/>
      <c r="O115" s="1330"/>
      <c r="P115" s="1343"/>
    </row>
    <row r="116" spans="1:16" ht="13.8">
      <c r="A116" s="1334"/>
      <c r="B116" s="1334"/>
      <c r="C116" s="1363"/>
      <c r="D116" s="1363"/>
      <c r="E116" s="1363"/>
      <c r="F116" s="1363"/>
      <c r="G116" s="1330"/>
      <c r="H116" s="1330"/>
      <c r="I116" s="1330"/>
      <c r="J116" s="1330"/>
      <c r="K116" s="1330"/>
      <c r="L116" s="1334"/>
      <c r="M116" s="1334"/>
      <c r="N116" s="1330"/>
      <c r="O116" s="1330"/>
      <c r="P116" s="1330"/>
    </row>
    <row r="117" spans="1:16" ht="13.8">
      <c r="A117" s="1334"/>
      <c r="B117" s="1334" t="s">
        <v>1982</v>
      </c>
      <c r="C117" s="1337" t="s">
        <v>2375</v>
      </c>
      <c r="D117" s="1363"/>
      <c r="E117" s="1330"/>
      <c r="F117" s="1337"/>
      <c r="G117" s="1330"/>
      <c r="H117" s="1330"/>
      <c r="I117" s="1330"/>
      <c r="J117" s="1330"/>
      <c r="K117" s="1330" t="str">
        <f>'Part I-Project Information'!K94</f>
        <v>40% of Units at 60% of AMI</v>
      </c>
      <c r="L117" s="1330">
        <f>'Part I-Project Information'!L94</f>
        <v>0</v>
      </c>
      <c r="M117" s="1330">
        <f>'Part I-Project Information'!M94</f>
        <v>0</v>
      </c>
      <c r="N117" s="1330"/>
      <c r="O117" s="1330"/>
      <c r="P117" s="1330"/>
    </row>
    <row r="118" spans="1:16" ht="13.8">
      <c r="A118" s="1334"/>
      <c r="B118" s="1334"/>
      <c r="C118" s="1330"/>
      <c r="D118" s="1363"/>
      <c r="E118" s="1330"/>
      <c r="F118" s="1363"/>
      <c r="G118" s="1363"/>
      <c r="H118" s="1330"/>
      <c r="I118" s="1330"/>
      <c r="J118" s="1330"/>
      <c r="K118" s="1330"/>
      <c r="L118" s="1334"/>
      <c r="M118" s="1334"/>
      <c r="N118" s="1330"/>
      <c r="O118" s="1330"/>
      <c r="P118" s="1330"/>
    </row>
    <row r="119" spans="1:16" ht="13.8">
      <c r="A119" s="1330"/>
      <c r="B119" s="1334" t="s">
        <v>1984</v>
      </c>
      <c r="C119" s="1330" t="s">
        <v>1533</v>
      </c>
      <c r="D119" s="1330"/>
      <c r="E119" s="1330"/>
      <c r="F119" s="1330"/>
      <c r="G119" s="1330"/>
      <c r="H119" s="1330"/>
      <c r="I119" s="1330"/>
      <c r="J119" s="1330"/>
      <c r="K119" s="1337" t="s">
        <v>4936</v>
      </c>
      <c r="L119" s="1330"/>
      <c r="M119" s="1330"/>
      <c r="N119" s="2318"/>
      <c r="O119" s="1330"/>
      <c r="P119" s="1334" t="str">
        <f>'Part I-Project Information'!P96</f>
        <v>N/a</v>
      </c>
    </row>
    <row r="120" spans="1:16" ht="13.8">
      <c r="A120" s="1334"/>
      <c r="B120" s="1334"/>
      <c r="C120" s="1330"/>
      <c r="D120" s="1363"/>
      <c r="E120" s="1363"/>
      <c r="F120" s="1363"/>
      <c r="G120" s="1363"/>
      <c r="H120" s="1330"/>
      <c r="I120" s="1334"/>
      <c r="J120" s="1334"/>
      <c r="K120" s="1334"/>
      <c r="L120" s="1334"/>
      <c r="M120" s="1334"/>
      <c r="N120" s="1330"/>
      <c r="O120" s="1330"/>
      <c r="P120" s="1343"/>
    </row>
    <row r="121" spans="1:16" ht="13.8">
      <c r="A121" s="1336" t="s">
        <v>292</v>
      </c>
      <c r="B121" s="1363" t="s">
        <v>2040</v>
      </c>
      <c r="C121" s="1330"/>
      <c r="D121" s="1363"/>
      <c r="E121" s="1330"/>
      <c r="F121" s="1330"/>
      <c r="G121" s="1330"/>
      <c r="H121" s="1330"/>
      <c r="I121" s="1330"/>
      <c r="J121" s="1330"/>
      <c r="K121" s="1330"/>
      <c r="L121" s="1330"/>
      <c r="M121" s="1330"/>
      <c r="N121" s="1330"/>
      <c r="O121" s="1330"/>
      <c r="P121" s="1330"/>
    </row>
    <row r="122" spans="1:16" ht="13.8">
      <c r="A122" s="1334"/>
      <c r="B122" s="1334"/>
      <c r="C122" s="1330"/>
      <c r="D122" s="1363"/>
      <c r="E122" s="1330"/>
      <c r="F122" s="1330"/>
      <c r="G122" s="1330"/>
      <c r="H122" s="1330"/>
      <c r="I122" s="1330"/>
      <c r="J122" s="1330"/>
      <c r="K122" s="1330"/>
      <c r="L122" s="1330"/>
      <c r="M122" s="1330"/>
      <c r="N122" s="1330"/>
      <c r="O122" s="1330"/>
      <c r="P122" s="1343"/>
    </row>
    <row r="123" spans="1:16" ht="13.8">
      <c r="A123" s="1336"/>
      <c r="B123" s="1334" t="s">
        <v>1982</v>
      </c>
      <c r="C123" s="1330" t="s">
        <v>2707</v>
      </c>
      <c r="D123" s="1330"/>
      <c r="E123" s="1330"/>
      <c r="F123" s="1348" t="s">
        <v>2599</v>
      </c>
      <c r="G123" s="1330"/>
      <c r="H123" s="1334" t="str">
        <f>'Part I-Project Information'!H100</f>
        <v>No</v>
      </c>
      <c r="I123" s="1330"/>
      <c r="J123" s="1330"/>
      <c r="K123" s="1337" t="s">
        <v>3889</v>
      </c>
      <c r="L123" s="1330"/>
      <c r="M123" s="1330"/>
      <c r="N123" s="1330"/>
      <c r="O123" s="1330"/>
      <c r="P123" s="1334" t="str">
        <f>'Part I-Project Information'!P100</f>
        <v>Yes</v>
      </c>
    </row>
    <row r="124" spans="1:16" ht="13.8">
      <c r="A124" s="1336"/>
      <c r="B124" s="1334"/>
      <c r="C124" s="1330"/>
      <c r="D124" s="1330"/>
      <c r="E124" s="1330"/>
      <c r="F124" s="1363" t="s">
        <v>3895</v>
      </c>
      <c r="G124" s="1330"/>
      <c r="H124" s="1334" t="str">
        <f>'Part I-Project Information'!H101</f>
        <v>No</v>
      </c>
      <c r="I124" s="1330"/>
      <c r="J124" s="1330"/>
      <c r="K124" s="1337" t="s">
        <v>4727</v>
      </c>
      <c r="L124" s="1330"/>
      <c r="M124" s="1330"/>
      <c r="N124" s="1330"/>
      <c r="O124" s="1330"/>
      <c r="P124" s="1334" t="str">
        <f>'Part I-Project Information'!P101</f>
        <v>No</v>
      </c>
    </row>
    <row r="125" spans="1:16" ht="13.8">
      <c r="A125" s="1334"/>
      <c r="B125" s="1334"/>
      <c r="C125" s="1363"/>
      <c r="D125" s="1330"/>
      <c r="E125" s="1330"/>
      <c r="F125" s="1363"/>
      <c r="G125" s="1330"/>
      <c r="H125" s="1363"/>
      <c r="I125" s="1330"/>
      <c r="J125" s="1334"/>
      <c r="K125" s="1334"/>
      <c r="L125" s="1334"/>
      <c r="M125" s="1334"/>
      <c r="N125" s="1334"/>
      <c r="O125" s="1330"/>
      <c r="P125" s="1343"/>
    </row>
    <row r="126" spans="1:16" ht="13.8">
      <c r="A126" s="1336"/>
      <c r="B126" s="1334" t="s">
        <v>1984</v>
      </c>
      <c r="C126" s="1330" t="s">
        <v>2708</v>
      </c>
      <c r="D126" s="1330"/>
      <c r="E126" s="1330"/>
      <c r="F126" s="1337" t="s">
        <v>2678</v>
      </c>
      <c r="G126" s="1330"/>
      <c r="H126" s="1334" t="str">
        <f>'Part I-Project Information'!H103</f>
        <v>No</v>
      </c>
      <c r="I126" s="1372" t="s">
        <v>2709</v>
      </c>
      <c r="J126" s="1334"/>
      <c r="K126" s="1330"/>
      <c r="L126" s="1334"/>
      <c r="M126" s="1330"/>
      <c r="N126" s="1330"/>
      <c r="O126" s="1330"/>
      <c r="P126" s="1330"/>
    </row>
    <row r="127" spans="1:16" ht="13.8">
      <c r="A127" s="1334"/>
      <c r="B127" s="1334"/>
      <c r="C127" s="1330"/>
      <c r="D127" s="1363"/>
      <c r="E127" s="1363"/>
      <c r="F127" s="1363"/>
      <c r="G127" s="1363"/>
      <c r="H127" s="1330"/>
      <c r="I127" s="1334"/>
      <c r="J127" s="1334"/>
      <c r="K127" s="1334"/>
      <c r="L127" s="1334"/>
      <c r="M127" s="1334"/>
      <c r="N127" s="1330"/>
      <c r="O127" s="1330"/>
      <c r="P127" s="1343"/>
    </row>
    <row r="128" spans="1:16" ht="13.8">
      <c r="A128" s="1336" t="s">
        <v>426</v>
      </c>
      <c r="B128" s="1363" t="s">
        <v>2781</v>
      </c>
      <c r="C128" s="1330"/>
      <c r="D128" s="1363"/>
      <c r="E128" s="1330"/>
      <c r="F128" s="1330"/>
      <c r="G128" s="1330"/>
      <c r="H128" s="1330" t="str">
        <f>'Part I-Project Information'!H105</f>
        <v>Rural</v>
      </c>
      <c r="I128" s="1330">
        <f>'Part I-Project Information'!I105</f>
        <v>0</v>
      </c>
      <c r="J128" s="1334"/>
      <c r="K128" s="1330"/>
      <c r="L128" s="1330"/>
      <c r="M128" s="1330"/>
      <c r="N128" s="1330"/>
      <c r="O128" s="1330"/>
      <c r="P128" s="1330"/>
    </row>
    <row r="129" spans="1:16" ht="13.8">
      <c r="A129" s="1334"/>
      <c r="B129" s="1330"/>
      <c r="C129" s="1330"/>
      <c r="D129" s="1344"/>
      <c r="E129" s="1330"/>
      <c r="F129" s="1330"/>
      <c r="G129" s="1330"/>
      <c r="H129" s="1330"/>
      <c r="I129" s="1344"/>
      <c r="J129" s="1336"/>
      <c r="K129" s="1330"/>
      <c r="L129" s="1330"/>
      <c r="M129" s="1330"/>
      <c r="N129" s="1330"/>
      <c r="O129" s="1330"/>
      <c r="P129" s="1343"/>
    </row>
    <row r="130" spans="1:16" ht="13.8">
      <c r="A130" s="1336" t="s">
        <v>362</v>
      </c>
      <c r="B130" s="1336" t="s">
        <v>1188</v>
      </c>
      <c r="C130" s="1330"/>
      <c r="D130" s="1330"/>
      <c r="E130" s="1330"/>
      <c r="F130" s="1330"/>
      <c r="G130" s="1330"/>
      <c r="H130" s="1330"/>
      <c r="I130" s="1344"/>
      <c r="J130" s="1336"/>
      <c r="K130" s="1330"/>
      <c r="L130" s="1330"/>
      <c r="M130" s="1330"/>
      <c r="N130" s="1330"/>
      <c r="O130" s="1330"/>
      <c r="P130" s="1343"/>
    </row>
    <row r="131" spans="1:16" ht="13.8">
      <c r="A131" s="1336"/>
      <c r="B131" s="1334"/>
      <c r="C131" s="1336"/>
      <c r="D131" s="1330"/>
      <c r="E131" s="1330"/>
      <c r="F131" s="1330"/>
      <c r="G131" s="1330"/>
      <c r="H131" s="1330"/>
      <c r="I131" s="1344"/>
      <c r="J131" s="1336"/>
      <c r="K131" s="1330"/>
      <c r="L131" s="1330"/>
      <c r="M131" s="1330"/>
      <c r="N131" s="1330"/>
      <c r="O131" s="1330"/>
      <c r="P131" s="1330"/>
    </row>
    <row r="132" spans="1:16" ht="13.8">
      <c r="A132" s="1334"/>
      <c r="B132" s="1334"/>
      <c r="C132" s="1336" t="s">
        <v>551</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552</v>
      </c>
      <c r="N132" s="1348"/>
      <c r="O132" s="1806">
        <f>'Part I-Project Information'!O109</f>
        <v>0</v>
      </c>
      <c r="P132" s="1806">
        <f>'Part I-Project Information'!P109</f>
        <v>0</v>
      </c>
    </row>
    <row r="133" spans="1:16" ht="13.8">
      <c r="A133" s="1330"/>
      <c r="B133" s="1330"/>
      <c r="C133" s="1337" t="s">
        <v>1020</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807</v>
      </c>
      <c r="N133" s="1348"/>
      <c r="O133" s="1706">
        <f>'Part I-Project Information'!O110</f>
        <v>0</v>
      </c>
      <c r="P133" s="1706">
        <f>'Part I-Project Information'!P110</f>
        <v>0</v>
      </c>
    </row>
    <row r="134" spans="1:16" ht="13.8">
      <c r="A134" s="1330"/>
      <c r="B134" s="1330"/>
      <c r="C134" s="1337" t="s">
        <v>617</v>
      </c>
      <c r="D134" s="1330"/>
      <c r="E134" s="1330">
        <f>'Part I-Project Information'!E111</f>
        <v>0</v>
      </c>
      <c r="F134" s="1348">
        <f>'Part I-Project Information'!F111</f>
        <v>0</v>
      </c>
      <c r="G134" s="1348">
        <f>'Part I-Project Information'!G111</f>
        <v>0</v>
      </c>
      <c r="H134" s="1334" t="s">
        <v>1798</v>
      </c>
      <c r="I134" s="1337">
        <f>'Part I-Project Information'!I111</f>
        <v>0</v>
      </c>
      <c r="J134" s="1334" t="s">
        <v>2228</v>
      </c>
      <c r="K134" s="1798">
        <f>'Part I-Project Information'!K111</f>
        <v>0</v>
      </c>
      <c r="L134" s="1348">
        <f>'Part I-Project Information'!L111</f>
        <v>0</v>
      </c>
      <c r="M134" s="1336" t="s">
        <v>3661</v>
      </c>
      <c r="N134" s="1336"/>
      <c r="O134" s="1449">
        <f>'Part I-Project Information'!O111</f>
        <v>0</v>
      </c>
      <c r="P134" s="1449">
        <f>'Part I-Project Information'!P111</f>
        <v>0</v>
      </c>
    </row>
    <row r="135" spans="1:16" ht="13.8">
      <c r="A135" s="1330"/>
      <c r="B135" s="1330"/>
      <c r="C135" s="1330" t="s">
        <v>2193</v>
      </c>
      <c r="D135" s="1330"/>
      <c r="E135" s="1330">
        <f>'Part I-Project Information'!E112</f>
        <v>0</v>
      </c>
      <c r="F135" s="1348">
        <f>'Part I-Project Information'!F112</f>
        <v>0</v>
      </c>
      <c r="G135" s="1348">
        <f>'Part I-Project Information'!G112</f>
        <v>0</v>
      </c>
      <c r="H135" s="1334" t="s">
        <v>1979</v>
      </c>
      <c r="I135" s="1330">
        <f>'Part I-Project Information'!I112</f>
        <v>0</v>
      </c>
      <c r="J135" s="1348">
        <f>'Part I-Project Information'!J112</f>
        <v>0</v>
      </c>
      <c r="K135" s="1348">
        <f>'Part I-Project Information'!K112</f>
        <v>0</v>
      </c>
      <c r="L135" s="1334" t="s">
        <v>1983</v>
      </c>
      <c r="M135" s="1330">
        <f>'Part I-Project Information'!M112</f>
        <v>0</v>
      </c>
      <c r="N135" s="1348">
        <f>'Part I-Project Information'!N112</f>
        <v>0</v>
      </c>
      <c r="O135" s="1348">
        <f>'Part I-Project Information'!O112</f>
        <v>0</v>
      </c>
      <c r="P135" s="1348">
        <f>'Part I-Project Information'!P112</f>
        <v>0</v>
      </c>
    </row>
    <row r="136" spans="1:16" ht="13.8">
      <c r="A136" s="1330"/>
      <c r="B136" s="1330"/>
      <c r="C136" s="1337" t="s">
        <v>2192</v>
      </c>
      <c r="D136" s="1330"/>
      <c r="E136" s="1799">
        <f>'Part I-Project Information'!E113</f>
        <v>0</v>
      </c>
      <c r="F136" s="1799">
        <f>'Part I-Project Information'!F113</f>
        <v>0</v>
      </c>
      <c r="G136" s="1799">
        <f>'Part I-Project Information'!G113</f>
        <v>0</v>
      </c>
      <c r="H136" s="1334" t="s">
        <v>1801</v>
      </c>
      <c r="I136" s="1799">
        <f>'Part I-Project Information'!I113</f>
        <v>0</v>
      </c>
      <c r="J136" s="1348">
        <f>'Part I-Project Information'!J113</f>
        <v>0</v>
      </c>
      <c r="K136" s="1334" t="s">
        <v>2703</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ht="13.8">
      <c r="A137" s="1334"/>
      <c r="B137" s="1334"/>
      <c r="C137" s="1330"/>
      <c r="D137" s="1330"/>
      <c r="E137" s="1330"/>
      <c r="F137" s="1330"/>
      <c r="G137" s="1344"/>
      <c r="H137" s="1334"/>
      <c r="I137" s="1334"/>
      <c r="J137" s="1330"/>
      <c r="K137" s="1330"/>
      <c r="L137" s="1330"/>
      <c r="M137" s="1343"/>
      <c r="N137" s="1330"/>
      <c r="O137" s="1330"/>
      <c r="P137" s="1330"/>
    </row>
    <row r="138" spans="1:16" ht="13.8">
      <c r="A138" s="1336" t="s">
        <v>363</v>
      </c>
      <c r="B138" s="1363" t="s">
        <v>1668</v>
      </c>
      <c r="C138" s="1330"/>
      <c r="D138" s="1344"/>
      <c r="E138" s="1344"/>
      <c r="F138" s="1334"/>
      <c r="G138" s="1334"/>
      <c r="H138" s="1334"/>
      <c r="I138" s="1330"/>
      <c r="J138" s="1330"/>
      <c r="K138" s="1330"/>
      <c r="L138" s="1330"/>
      <c r="M138" s="1330"/>
      <c r="N138" s="1330"/>
      <c r="O138" s="1330"/>
      <c r="P138" s="1343"/>
    </row>
    <row r="139" spans="1:16" ht="13.8">
      <c r="A139" s="1336"/>
      <c r="B139" s="1363"/>
      <c r="C139" s="1330"/>
      <c r="D139" s="1344"/>
      <c r="E139" s="1344"/>
      <c r="F139" s="1334"/>
      <c r="G139" s="1334"/>
      <c r="H139" s="1334"/>
      <c r="I139" s="1334"/>
      <c r="J139" s="1344"/>
      <c r="K139" s="1334"/>
      <c r="L139" s="1334"/>
      <c r="M139" s="1330"/>
      <c r="N139" s="1330"/>
      <c r="O139" s="1330"/>
      <c r="P139" s="1343"/>
    </row>
    <row r="140" spans="1:16" ht="13.8">
      <c r="A140" s="1330"/>
      <c r="B140" s="1348" t="s">
        <v>2152</v>
      </c>
      <c r="C140" s="1330"/>
      <c r="D140" s="1341"/>
      <c r="E140" s="1341"/>
      <c r="F140" s="1341"/>
      <c r="G140" s="1341"/>
      <c r="H140" s="1341"/>
      <c r="I140" s="1341"/>
      <c r="J140" s="1341"/>
      <c r="K140" s="1341"/>
      <c r="L140" s="1341"/>
      <c r="M140" s="1341"/>
      <c r="N140" s="1341"/>
      <c r="O140" s="1341"/>
      <c r="P140" s="1341"/>
    </row>
    <row r="141" spans="1:16" ht="13.8">
      <c r="A141" s="1334"/>
      <c r="B141" s="1334"/>
      <c r="C141" s="1373"/>
      <c r="D141" s="1373"/>
      <c r="E141" s="1373"/>
      <c r="F141" s="1373"/>
      <c r="G141" s="1373"/>
      <c r="H141" s="1373"/>
      <c r="I141" s="1373"/>
      <c r="J141" s="1373"/>
      <c r="K141" s="1373"/>
      <c r="L141" s="1373"/>
      <c r="M141" s="1373"/>
      <c r="N141" s="1373"/>
      <c r="O141" s="1373"/>
      <c r="P141" s="1373"/>
    </row>
    <row r="142" spans="1:16" ht="13.8">
      <c r="A142" s="1334"/>
      <c r="B142" s="1334" t="s">
        <v>1982</v>
      </c>
      <c r="C142" s="1363" t="s">
        <v>1411</v>
      </c>
      <c r="D142" s="1363"/>
      <c r="E142" s="1363"/>
      <c r="F142" s="1334"/>
      <c r="G142" s="1334"/>
      <c r="H142" s="1344">
        <f>'Part I-Project Information'!H119</f>
        <v>1</v>
      </c>
      <c r="I142" s="1330"/>
      <c r="J142" s="1330"/>
      <c r="K142" s="1330"/>
      <c r="L142" s="1330"/>
      <c r="M142" s="1330"/>
      <c r="N142" s="1330"/>
      <c r="O142" s="1330"/>
      <c r="P142" s="1330"/>
    </row>
    <row r="143" spans="1:16" ht="13.8">
      <c r="A143" s="1334"/>
      <c r="B143" s="1334"/>
      <c r="C143" s="1373"/>
      <c r="D143" s="1373"/>
      <c r="E143" s="1373"/>
      <c r="F143" s="1373"/>
      <c r="G143" s="1373"/>
      <c r="H143" s="1373"/>
      <c r="I143" s="1330"/>
      <c r="J143" s="1373"/>
      <c r="K143" s="1330"/>
      <c r="L143" s="1330"/>
      <c r="M143" s="1373"/>
      <c r="N143" s="1373"/>
      <c r="O143" s="1373"/>
      <c r="P143" s="1330"/>
    </row>
    <row r="144" spans="1:16" ht="13.8">
      <c r="A144" s="1334"/>
      <c r="B144" s="1334" t="s">
        <v>1984</v>
      </c>
      <c r="C144" s="1363" t="s">
        <v>416</v>
      </c>
      <c r="D144" s="1363"/>
      <c r="E144" s="1363"/>
      <c r="F144" s="1334"/>
      <c r="G144" s="1334"/>
      <c r="H144" s="1807">
        <f>'Part I-Project Information'!H121</f>
        <v>369181</v>
      </c>
      <c r="I144" s="1330"/>
      <c r="J144" s="1344"/>
      <c r="K144" s="1337"/>
      <c r="L144" s="1330"/>
      <c r="M144" s="1330"/>
      <c r="N144" s="1330"/>
      <c r="O144" s="1330"/>
      <c r="P144" s="1330"/>
    </row>
    <row r="145" spans="1:16" ht="13.8">
      <c r="A145" s="1334"/>
      <c r="B145" s="1334"/>
      <c r="C145" s="1373"/>
      <c r="D145" s="1373"/>
      <c r="E145" s="1373"/>
      <c r="F145" s="1373"/>
      <c r="G145" s="1373"/>
      <c r="H145" s="1373"/>
      <c r="I145" s="1373"/>
      <c r="J145" s="1373"/>
      <c r="K145" s="1373"/>
      <c r="L145" s="1330"/>
      <c r="M145" s="1373"/>
      <c r="N145" s="1373"/>
      <c r="O145" s="1373"/>
      <c r="P145" s="1373"/>
    </row>
    <row r="146" spans="1:16" ht="13.8">
      <c r="A146" s="1330"/>
      <c r="B146" s="1334" t="s">
        <v>748</v>
      </c>
      <c r="C146" s="1363" t="s">
        <v>302</v>
      </c>
      <c r="D146" s="1363"/>
      <c r="E146" s="1363"/>
      <c r="F146" s="1334"/>
      <c r="G146" s="1334"/>
      <c r="H146" s="1334"/>
      <c r="I146" s="1334"/>
      <c r="J146" s="1344"/>
      <c r="K146" s="1334"/>
      <c r="L146" s="1334"/>
      <c r="M146" s="1330"/>
      <c r="N146" s="1330"/>
      <c r="O146" s="1330"/>
      <c r="P146" s="1330"/>
    </row>
    <row r="147" spans="1:16" ht="13.8">
      <c r="A147" s="1330"/>
      <c r="B147" s="1334"/>
      <c r="C147" s="1363" t="s">
        <v>2134</v>
      </c>
      <c r="D147" s="1363"/>
      <c r="E147" s="1330"/>
      <c r="F147" s="1363" t="s">
        <v>1133</v>
      </c>
      <c r="G147" s="1334"/>
      <c r="H147" s="1334"/>
      <c r="I147" s="1334" t="s">
        <v>1293</v>
      </c>
      <c r="J147" s="1363" t="s">
        <v>2134</v>
      </c>
      <c r="K147" s="1363"/>
      <c r="L147" s="1330"/>
      <c r="M147" s="1363" t="s">
        <v>1133</v>
      </c>
      <c r="N147" s="1334"/>
      <c r="O147" s="1334"/>
      <c r="P147" s="1334" t="s">
        <v>1293</v>
      </c>
    </row>
    <row r="148" spans="1:16" ht="13.8">
      <c r="A148" s="1334"/>
      <c r="B148" s="1334"/>
      <c r="C148" s="1393" t="str">
        <f>'Part I-Project Information'!C125</f>
        <v>Woodstone Apartments II, LP</v>
      </c>
      <c r="D148" s="1393">
        <f>'Part I-Project Information'!D125</f>
        <v>0</v>
      </c>
      <c r="E148" s="1393">
        <f>'Part I-Project Information'!E125</f>
        <v>0</v>
      </c>
      <c r="F148" s="1393" t="str">
        <f>'Part I-Project Information'!F125</f>
        <v>Woodstone Apartments II</v>
      </c>
      <c r="G148" s="1393">
        <f>'Part I-Project Information'!G125</f>
        <v>0</v>
      </c>
      <c r="H148" s="1393">
        <f>'Part I-Project Information'!H125</f>
        <v>0</v>
      </c>
      <c r="I148" s="1816" t="str">
        <f>'Part I-Project Information'!I125</f>
        <v>Direct</v>
      </c>
      <c r="J148" s="1393">
        <f>'Part I-Project Information'!J125</f>
        <v>7</v>
      </c>
      <c r="K148" s="1393">
        <f>'Part I-Project Information'!K125</f>
        <v>0</v>
      </c>
      <c r="L148" s="1393">
        <f>'Part I-Project Information'!L125</f>
        <v>0</v>
      </c>
      <c r="M148" s="1393">
        <f>'Part I-Project Information'!M125</f>
        <v>0</v>
      </c>
      <c r="N148" s="1393">
        <f>'Part I-Project Information'!N125</f>
        <v>0</v>
      </c>
      <c r="O148" s="1393">
        <f>'Part I-Project Information'!O125</f>
        <v>0</v>
      </c>
      <c r="P148" s="1816">
        <f>'Part I-Project Information'!P125</f>
        <v>0</v>
      </c>
    </row>
    <row r="149" spans="1:16" ht="13.8">
      <c r="A149" s="1334"/>
      <c r="B149" s="1334"/>
      <c r="C149" s="1393">
        <f>'Part I-Project Information'!C126</f>
        <v>2</v>
      </c>
      <c r="D149" s="1393">
        <f>'Part I-Project Information'!D126</f>
        <v>0</v>
      </c>
      <c r="E149" s="1393">
        <f>'Part I-Project Information'!E126</f>
        <v>0</v>
      </c>
      <c r="F149" s="1393">
        <f>'Part I-Project Information'!F126</f>
        <v>0</v>
      </c>
      <c r="G149" s="1393">
        <f>'Part I-Project Information'!G126</f>
        <v>0</v>
      </c>
      <c r="H149" s="1393">
        <f>'Part I-Project Information'!H126</f>
        <v>0</v>
      </c>
      <c r="I149" s="1816">
        <f>'Part I-Project Information'!I126</f>
        <v>0</v>
      </c>
      <c r="J149" s="1393">
        <f>'Part I-Project Information'!J126</f>
        <v>8</v>
      </c>
      <c r="K149" s="1393">
        <f>'Part I-Project Information'!K126</f>
        <v>0</v>
      </c>
      <c r="L149" s="1393">
        <f>'Part I-Project Information'!L126</f>
        <v>0</v>
      </c>
      <c r="M149" s="1393">
        <f>'Part I-Project Information'!M126</f>
        <v>0</v>
      </c>
      <c r="N149" s="1393">
        <f>'Part I-Project Information'!N126</f>
        <v>0</v>
      </c>
      <c r="O149" s="1393">
        <f>'Part I-Project Information'!O126</f>
        <v>0</v>
      </c>
      <c r="P149" s="1816">
        <f>'Part I-Project Information'!P126</f>
        <v>0</v>
      </c>
    </row>
    <row r="150" spans="1:16" ht="13.8">
      <c r="A150" s="1334"/>
      <c r="B150" s="1334"/>
      <c r="C150" s="1393">
        <f>'Part I-Project Information'!C127</f>
        <v>3</v>
      </c>
      <c r="D150" s="1393">
        <f>'Part I-Project Information'!D127</f>
        <v>0</v>
      </c>
      <c r="E150" s="1393">
        <f>'Part I-Project Information'!E127</f>
        <v>0</v>
      </c>
      <c r="F150" s="1393">
        <f>'Part I-Project Information'!F127</f>
        <v>0</v>
      </c>
      <c r="G150" s="1393">
        <f>'Part I-Project Information'!G127</f>
        <v>0</v>
      </c>
      <c r="H150" s="1393">
        <f>'Part I-Project Information'!H127</f>
        <v>0</v>
      </c>
      <c r="I150" s="1816">
        <f>'Part I-Project Information'!I127</f>
        <v>0</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8">
      <c r="A151" s="1334"/>
      <c r="B151" s="1334"/>
      <c r="C151" s="1393">
        <f>'Part I-Project Information'!C128</f>
        <v>4</v>
      </c>
      <c r="D151" s="1393">
        <f>'Part I-Project Information'!D128</f>
        <v>0</v>
      </c>
      <c r="E151" s="1393">
        <f>'Part I-Project Information'!E128</f>
        <v>0</v>
      </c>
      <c r="F151" s="1393">
        <f>'Part I-Project Information'!F128</f>
        <v>0</v>
      </c>
      <c r="G151" s="1393">
        <f>'Part I-Project Information'!G128</f>
        <v>0</v>
      </c>
      <c r="H151" s="1393">
        <f>'Part I-Project Information'!H128</f>
        <v>0</v>
      </c>
      <c r="I151" s="1816">
        <f>'Part I-Project Information'!I128</f>
        <v>0</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8">
      <c r="A152" s="1334"/>
      <c r="B152" s="1334"/>
      <c r="C152" s="1393">
        <f>'Part I-Project Information'!C129</f>
        <v>5</v>
      </c>
      <c r="D152" s="1393">
        <f>'Part I-Project Information'!D129</f>
        <v>0</v>
      </c>
      <c r="E152" s="1393">
        <f>'Part I-Project Information'!E129</f>
        <v>0</v>
      </c>
      <c r="F152" s="1393">
        <f>'Part I-Project Information'!F129</f>
        <v>0</v>
      </c>
      <c r="G152" s="1393">
        <f>'Part I-Project Information'!G129</f>
        <v>0</v>
      </c>
      <c r="H152" s="1393">
        <f>'Part I-Project Information'!H129</f>
        <v>0</v>
      </c>
      <c r="I152" s="1816">
        <f>'Part I-Project Information'!I129</f>
        <v>0</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8">
      <c r="A153" s="1334"/>
      <c r="B153" s="1334"/>
      <c r="C153" s="1393">
        <f>'Part I-Project Information'!C130</f>
        <v>6</v>
      </c>
      <c r="D153" s="1393">
        <f>'Part I-Project Information'!D130</f>
        <v>0</v>
      </c>
      <c r="E153" s="1393">
        <f>'Part I-Project Information'!E130</f>
        <v>0</v>
      </c>
      <c r="F153" s="1393">
        <f>'Part I-Project Information'!F130</f>
        <v>0</v>
      </c>
      <c r="G153" s="1393">
        <f>'Part I-Project Information'!G130</f>
        <v>0</v>
      </c>
      <c r="H153" s="1393">
        <f>'Part I-Project Information'!H130</f>
        <v>0</v>
      </c>
      <c r="I153" s="1816">
        <f>'Part I-Project Information'!I130</f>
        <v>0</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ht="13.8">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2114</v>
      </c>
      <c r="C155" s="1341" t="s">
        <v>1846</v>
      </c>
      <c r="D155" s="1341"/>
      <c r="E155" s="1341"/>
      <c r="F155" s="1341"/>
      <c r="G155" s="1341"/>
      <c r="H155" s="1341"/>
      <c r="I155" s="1341"/>
      <c r="J155" s="1341"/>
      <c r="K155" s="1341"/>
      <c r="L155" s="1341"/>
      <c r="M155" s="1341"/>
      <c r="N155" s="1341"/>
      <c r="O155" s="1341"/>
      <c r="P155" s="1341"/>
    </row>
    <row r="156" spans="1:16" ht="13.8">
      <c r="A156" s="1334"/>
      <c r="B156" s="1334"/>
      <c r="C156" s="1341"/>
      <c r="D156" s="1341"/>
      <c r="E156" s="1341"/>
      <c r="F156" s="1341"/>
      <c r="G156" s="1341"/>
      <c r="H156" s="1341"/>
      <c r="I156" s="1341"/>
      <c r="J156" s="1341"/>
      <c r="K156" s="1341"/>
      <c r="L156" s="1341"/>
      <c r="M156" s="1341"/>
      <c r="N156" s="1341"/>
      <c r="O156" s="1341"/>
      <c r="P156" s="1341"/>
    </row>
    <row r="157" spans="1:16" ht="13.8">
      <c r="A157" s="1330"/>
      <c r="B157" s="1334"/>
      <c r="C157" s="1363" t="s">
        <v>2134</v>
      </c>
      <c r="D157" s="1363"/>
      <c r="E157" s="1330"/>
      <c r="F157" s="1363" t="s">
        <v>1133</v>
      </c>
      <c r="G157" s="1334"/>
      <c r="H157" s="1334"/>
      <c r="I157" s="1334"/>
      <c r="J157" s="1363" t="s">
        <v>2134</v>
      </c>
      <c r="K157" s="1363"/>
      <c r="L157" s="1330"/>
      <c r="M157" s="1363" t="s">
        <v>1133</v>
      </c>
      <c r="N157" s="1334"/>
      <c r="O157" s="1334"/>
      <c r="P157" s="1334"/>
    </row>
    <row r="158" spans="1:16" ht="13.8">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8">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8">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8">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8">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8">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ht="13.8">
      <c r="A164" s="1334"/>
      <c r="B164" s="1334"/>
      <c r="C164" s="1363"/>
      <c r="D164" s="1363"/>
      <c r="E164" s="1363"/>
      <c r="F164" s="1334"/>
      <c r="G164" s="1334"/>
      <c r="H164" s="1334"/>
      <c r="I164" s="1334"/>
      <c r="J164" s="1344"/>
      <c r="K164" s="1334"/>
      <c r="L164" s="1334"/>
      <c r="M164" s="1330"/>
      <c r="N164" s="1330"/>
      <c r="O164" s="1330"/>
      <c r="P164" s="1343"/>
    </row>
    <row r="165" spans="1:16" ht="13.8">
      <c r="A165" s="1334"/>
      <c r="B165" s="1334"/>
      <c r="C165" s="1363"/>
      <c r="D165" s="1363"/>
      <c r="E165" s="1363"/>
      <c r="F165" s="1334"/>
      <c r="G165" s="1334"/>
      <c r="H165" s="1334"/>
      <c r="I165" s="1334"/>
      <c r="J165" s="1344"/>
      <c r="K165" s="1334"/>
      <c r="L165" s="1334"/>
      <c r="M165" s="1330"/>
      <c r="N165" s="1330"/>
      <c r="O165" s="1330"/>
      <c r="P165" s="1343"/>
    </row>
    <row r="166" spans="1:16" ht="13.8">
      <c r="A166" s="1330" t="s">
        <v>364</v>
      </c>
      <c r="B166" s="1330" t="s">
        <v>5093</v>
      </c>
      <c r="C166" s="1330"/>
      <c r="D166" s="1330"/>
      <c r="E166" s="1330"/>
      <c r="F166" s="1330"/>
      <c r="G166" s="1330"/>
      <c r="H166" s="1330"/>
      <c r="I166" s="1334" t="str">
        <f>'Part I-Project Information'!I143</f>
        <v>Yes</v>
      </c>
      <c r="J166" s="1330"/>
      <c r="K166" s="1330"/>
      <c r="L166" s="1330"/>
      <c r="M166" s="1334"/>
      <c r="N166" s="1330"/>
      <c r="O166" s="1330"/>
      <c r="P166" s="1343"/>
    </row>
    <row r="167" spans="1:16" ht="13.8">
      <c r="A167" s="1336"/>
      <c r="B167" s="1334"/>
      <c r="C167" s="1363"/>
      <c r="D167" s="1363"/>
      <c r="E167" s="1363"/>
      <c r="F167" s="1363"/>
      <c r="G167" s="1334"/>
      <c r="H167" s="1330"/>
      <c r="I167" s="1330"/>
      <c r="J167" s="1330"/>
      <c r="K167" s="1330"/>
      <c r="L167" s="1330"/>
      <c r="M167" s="1334"/>
      <c r="N167" s="1330"/>
      <c r="O167" s="1330"/>
      <c r="P167" s="1330"/>
    </row>
    <row r="168" spans="1:16" ht="13.8">
      <c r="A168" s="1334"/>
      <c r="B168" s="1334" t="s">
        <v>1982</v>
      </c>
      <c r="C168" s="1337" t="s">
        <v>1712</v>
      </c>
      <c r="D168" s="1330"/>
      <c r="E168" s="1330"/>
      <c r="F168" s="1330"/>
      <c r="G168" s="1330"/>
      <c r="H168" s="1330"/>
      <c r="I168" s="1334" t="str">
        <f>'Part I-Project Information'!I145</f>
        <v>Yes</v>
      </c>
      <c r="J168" s="1330"/>
      <c r="K168" s="1330"/>
      <c r="L168" s="1330"/>
      <c r="M168" s="1334"/>
      <c r="N168" s="1330"/>
      <c r="O168" s="1330"/>
      <c r="P168" s="1343"/>
    </row>
    <row r="169" spans="1:16" ht="13.8">
      <c r="A169" s="1334"/>
      <c r="B169" s="1334"/>
      <c r="C169" s="1363" t="s">
        <v>2419</v>
      </c>
      <c r="D169" s="1363"/>
      <c r="E169" s="1363"/>
      <c r="F169" s="1334"/>
      <c r="G169" s="1330"/>
      <c r="H169" s="1330"/>
      <c r="I169" s="1334">
        <f>'Part I-Project Information'!I146</f>
        <v>1996</v>
      </c>
      <c r="J169" s="1330"/>
      <c r="K169" s="1330"/>
      <c r="L169" s="1330"/>
      <c r="M169" s="1330"/>
      <c r="N169" s="1330"/>
      <c r="O169" s="1330"/>
      <c r="P169" s="1343"/>
    </row>
    <row r="170" spans="1:16" ht="13.8">
      <c r="A170" s="1334"/>
      <c r="B170" s="1334"/>
      <c r="C170" s="1375" t="s">
        <v>1711</v>
      </c>
      <c r="D170" s="1337"/>
      <c r="E170" s="1330"/>
      <c r="F170" s="1330"/>
      <c r="G170" s="1330"/>
      <c r="H170" s="1330"/>
      <c r="I170" s="1334" t="str">
        <f>'Part I-Project Information'!I147</f>
        <v>96-091</v>
      </c>
      <c r="J170" s="1330"/>
      <c r="K170" s="1330"/>
      <c r="L170" s="1330"/>
      <c r="M170" s="1330"/>
      <c r="N170" s="1330"/>
      <c r="O170" s="1330"/>
      <c r="P170" s="1343"/>
    </row>
    <row r="171" spans="1:16" ht="13.8">
      <c r="A171" s="1334"/>
      <c r="B171" s="1334"/>
      <c r="C171" s="1363" t="s">
        <v>2420</v>
      </c>
      <c r="D171" s="1363"/>
      <c r="E171" s="1363"/>
      <c r="F171" s="1334"/>
      <c r="G171" s="1330"/>
      <c r="H171" s="1330"/>
      <c r="I171" s="1334">
        <f>'Part I-Project Information'!I148</f>
        <v>1999</v>
      </c>
      <c r="J171" s="1330"/>
      <c r="K171" s="1336" t="s">
        <v>2244</v>
      </c>
      <c r="L171" s="1330"/>
      <c r="M171" s="1330"/>
      <c r="N171" s="1330"/>
      <c r="O171" s="1330" t="str">
        <f>'Part I-Project Information'!O148</f>
        <v>GA-96-09101</v>
      </c>
      <c r="P171" s="1330">
        <f>'Part I-Project Information'!P148</f>
        <v>0</v>
      </c>
    </row>
    <row r="172" spans="1:16" ht="13.8">
      <c r="A172" s="1334"/>
      <c r="B172" s="1334"/>
      <c r="C172" s="1363" t="s">
        <v>2418</v>
      </c>
      <c r="D172" s="1330"/>
      <c r="E172" s="1330"/>
      <c r="F172" s="1334"/>
      <c r="G172" s="1330"/>
      <c r="H172" s="1330"/>
      <c r="I172" s="1334" t="str">
        <f>'Part I-Project Information'!I149</f>
        <v>Yes</v>
      </c>
      <c r="J172" s="1330"/>
      <c r="K172" s="1336" t="s">
        <v>2245</v>
      </c>
      <c r="L172" s="1330"/>
      <c r="M172" s="1330"/>
      <c r="N172" s="1330"/>
      <c r="O172" s="1330" t="str">
        <f>'Part I-Project Information'!O149</f>
        <v>GA-96-09105</v>
      </c>
      <c r="P172" s="1330">
        <f>'Part I-Project Information'!P149</f>
        <v>0</v>
      </c>
    </row>
    <row r="173" spans="1:16" ht="13.8">
      <c r="A173" s="1334"/>
      <c r="B173" s="1334"/>
      <c r="C173" s="1363" t="s">
        <v>2165</v>
      </c>
      <c r="D173" s="1363"/>
      <c r="E173" s="1363"/>
      <c r="F173" s="1334"/>
      <c r="G173" s="1330"/>
      <c r="H173" s="1330"/>
      <c r="I173" s="1806">
        <f>'Part I-Project Information'!I150</f>
        <v>41640</v>
      </c>
      <c r="J173" s="1806">
        <f>'Part I-Project Information'!J150</f>
        <v>0</v>
      </c>
      <c r="K173" s="1330"/>
      <c r="L173" s="1330"/>
      <c r="M173" s="1330"/>
      <c r="N173" s="1330"/>
      <c r="O173" s="1330"/>
      <c r="P173" s="1343"/>
    </row>
    <row r="174" spans="1:16" ht="13.8">
      <c r="A174" s="1334"/>
      <c r="B174" s="1334"/>
      <c r="C174" s="1363"/>
      <c r="D174" s="1363"/>
      <c r="E174" s="1363"/>
      <c r="F174" s="1334"/>
      <c r="G174" s="1334"/>
      <c r="H174" s="1330"/>
      <c r="I174" s="1330"/>
      <c r="J174" s="1330"/>
      <c r="K174" s="1330"/>
      <c r="L174" s="1330"/>
      <c r="M174" s="1334"/>
      <c r="N174" s="1330"/>
      <c r="O174" s="1330"/>
      <c r="P174" s="1343"/>
    </row>
    <row r="175" spans="1:16" ht="13.8">
      <c r="A175" s="1334"/>
      <c r="B175" s="1334" t="s">
        <v>1984</v>
      </c>
      <c r="C175" s="1439" t="s">
        <v>2700</v>
      </c>
      <c r="D175" s="1363"/>
      <c r="E175" s="1348" t="s">
        <v>5311</v>
      </c>
      <c r="F175" s="1348"/>
      <c r="G175" s="1348"/>
      <c r="H175" s="1330"/>
      <c r="I175" s="1344" t="str">
        <f>'Part I-Project Information'!I152</f>
        <v>No</v>
      </c>
      <c r="J175" s="1330"/>
      <c r="K175" s="1348" t="s">
        <v>5054</v>
      </c>
      <c r="L175" s="1348"/>
      <c r="M175" s="1348"/>
      <c r="N175" s="1330"/>
      <c r="O175" s="1344" t="str">
        <f>'Part I-Project Information'!O152</f>
        <v>No</v>
      </c>
      <c r="P175" s="1343"/>
    </row>
    <row r="176" spans="1:16" ht="13.8">
      <c r="A176" s="1334"/>
      <c r="B176" s="1330"/>
      <c r="C176" s="1363"/>
      <c r="D176" s="1363"/>
      <c r="E176" s="1348" t="s">
        <v>5312</v>
      </c>
      <c r="F176" s="1348"/>
      <c r="G176" s="1348"/>
      <c r="H176" s="1330"/>
      <c r="I176" s="1344" t="str">
        <f>'Part I-Project Information'!I153</f>
        <v>No</v>
      </c>
      <c r="J176" s="1330"/>
      <c r="K176" s="1348"/>
      <c r="L176" s="1348"/>
      <c r="M176" s="1348"/>
      <c r="N176" s="1330"/>
      <c r="O176" s="1330"/>
      <c r="P176" s="1343"/>
    </row>
    <row r="177" spans="1:16" ht="13.8">
      <c r="A177" s="1334"/>
      <c r="B177" s="1334"/>
      <c r="C177" s="1363"/>
      <c r="D177" s="1363"/>
      <c r="E177" s="1363"/>
      <c r="F177" s="1334"/>
      <c r="G177" s="1330"/>
      <c r="H177" s="1330"/>
      <c r="I177" s="1330"/>
      <c r="J177" s="1330"/>
      <c r="K177" s="1330"/>
      <c r="L177" s="1330"/>
      <c r="M177" s="1330"/>
      <c r="N177" s="1330"/>
      <c r="O177" s="1330"/>
      <c r="P177" s="1343"/>
    </row>
    <row r="178" spans="1:16" ht="13.8">
      <c r="A178" s="1334"/>
      <c r="B178" s="1334" t="s">
        <v>748</v>
      </c>
      <c r="C178" s="1363" t="s">
        <v>5051</v>
      </c>
      <c r="D178" s="1363"/>
      <c r="E178" s="1363"/>
      <c r="F178" s="1334"/>
      <c r="G178" s="1330"/>
      <c r="H178" s="1330"/>
      <c r="I178" s="1344" t="str">
        <f>'Part I-Project Information'!I155</f>
        <v>No</v>
      </c>
      <c r="J178" s="1330"/>
      <c r="K178" s="1330"/>
      <c r="L178" s="1330"/>
      <c r="M178" s="1330"/>
      <c r="N178" s="1330"/>
      <c r="O178" s="1330"/>
      <c r="P178" s="1343"/>
    </row>
    <row r="179" spans="1:16" ht="13.8">
      <c r="A179" s="1334"/>
      <c r="B179" s="1334"/>
      <c r="C179" s="1363"/>
      <c r="D179" s="1363"/>
      <c r="E179" s="1363"/>
      <c r="F179" s="1334"/>
      <c r="G179" s="1334"/>
      <c r="H179" s="1334"/>
      <c r="I179" s="1334"/>
      <c r="J179" s="1344"/>
      <c r="K179" s="1334"/>
      <c r="L179" s="1334"/>
      <c r="M179" s="1330"/>
      <c r="N179" s="1330"/>
      <c r="O179" s="1330"/>
      <c r="P179" s="1343"/>
    </row>
    <row r="180" spans="1:16" ht="13.8">
      <c r="A180" s="1336" t="s">
        <v>1725</v>
      </c>
      <c r="B180" s="1348" t="s">
        <v>1189</v>
      </c>
      <c r="C180" s="1330"/>
      <c r="D180" s="1348"/>
      <c r="E180" s="1348"/>
      <c r="F180" s="1348"/>
      <c r="G180" s="1334"/>
      <c r="H180" s="1334"/>
      <c r="I180" s="1334"/>
      <c r="J180" s="1344"/>
      <c r="K180" s="1334"/>
      <c r="L180" s="1334"/>
      <c r="M180" s="1330"/>
      <c r="N180" s="1330"/>
      <c r="O180" s="1330"/>
      <c r="P180" s="1343"/>
    </row>
    <row r="181" spans="1:16" ht="13.8">
      <c r="A181" s="1336"/>
      <c r="B181" s="1334"/>
      <c r="C181" s="1363"/>
      <c r="D181" s="1363"/>
      <c r="E181" s="1363"/>
      <c r="F181" s="1363"/>
      <c r="G181" s="1334"/>
      <c r="H181" s="1334"/>
      <c r="I181" s="1334"/>
      <c r="J181" s="1344"/>
      <c r="K181" s="1334"/>
      <c r="L181" s="1334"/>
      <c r="M181" s="1330"/>
      <c r="N181" s="1330"/>
      <c r="O181" s="1330"/>
      <c r="P181" s="1330"/>
    </row>
    <row r="182" spans="1:16" ht="13.8">
      <c r="A182" s="1334"/>
      <c r="B182" s="1334" t="s">
        <v>1982</v>
      </c>
      <c r="C182" s="1344" t="s">
        <v>1821</v>
      </c>
      <c r="D182" s="1330"/>
      <c r="E182" s="1330"/>
      <c r="F182" s="1334"/>
      <c r="G182" s="1334"/>
      <c r="H182" s="1334"/>
      <c r="I182" s="1334"/>
      <c r="J182" s="1344"/>
      <c r="K182" s="1334"/>
      <c r="L182" s="1334"/>
      <c r="M182" s="1330"/>
      <c r="N182" s="1330"/>
      <c r="O182" s="1330"/>
      <c r="P182" s="1343"/>
    </row>
    <row r="183" spans="1:16" ht="13.8">
      <c r="A183" s="1334"/>
      <c r="B183" s="1334"/>
      <c r="C183" s="1348" t="s">
        <v>1526</v>
      </c>
      <c r="D183" s="1344"/>
      <c r="E183" s="1344"/>
      <c r="F183" s="1334"/>
      <c r="G183" s="1334"/>
      <c r="H183" s="1334"/>
      <c r="I183" s="1344" t="str">
        <f>'Part I-Project Information'!I160</f>
        <v>No</v>
      </c>
      <c r="J183" s="1330"/>
      <c r="K183" s="1330"/>
      <c r="L183" s="1330"/>
      <c r="M183" s="1330"/>
      <c r="N183" s="1330"/>
      <c r="O183" s="1330"/>
      <c r="P183" s="1343"/>
    </row>
    <row r="184" spans="1:16" ht="12.75" customHeight="1">
      <c r="A184" s="1334"/>
      <c r="B184" s="1334"/>
      <c r="C184" s="1365" t="s">
        <v>5084</v>
      </c>
      <c r="D184" s="1365"/>
      <c r="E184" s="1365"/>
      <c r="F184" s="1365"/>
      <c r="G184" s="1330" t="s">
        <v>4780</v>
      </c>
      <c r="H184" s="1330"/>
      <c r="I184" s="1364">
        <f>'Part I-Project Information'!I161</f>
        <v>0</v>
      </c>
      <c r="J184" s="1330"/>
      <c r="K184" s="1337" t="s">
        <v>1794</v>
      </c>
      <c r="L184" s="1330"/>
      <c r="M184" s="1330"/>
      <c r="N184" s="1330"/>
      <c r="O184" s="1330"/>
      <c r="P184" s="1376">
        <f>IF('Part VI-Revenues &amp; Expenses'!$O$65=0,0,I184/'Part VI-Revenues &amp; Expenses'!$O$65)</f>
        <v>0</v>
      </c>
    </row>
    <row r="185" spans="1:16" ht="13.8">
      <c r="A185" s="1334"/>
      <c r="B185" s="1334"/>
      <c r="C185" s="1365"/>
      <c r="D185" s="1365"/>
      <c r="E185" s="1365"/>
      <c r="F185" s="1365"/>
      <c r="G185" s="1330" t="s">
        <v>4779</v>
      </c>
      <c r="H185" s="1330"/>
      <c r="I185" s="1364">
        <f>'Part I-Project Information'!I162</f>
        <v>0</v>
      </c>
      <c r="J185" s="1330"/>
      <c r="K185" s="1337" t="s">
        <v>1794</v>
      </c>
      <c r="L185" s="1330"/>
      <c r="M185" s="1330"/>
      <c r="N185" s="1330"/>
      <c r="O185" s="1330"/>
      <c r="P185" s="1376">
        <f>IF('Part VI-Revenues &amp; Expenses'!$O$65=0,0,I185/'Part VI-Revenues &amp; Expenses'!$O$65)</f>
        <v>0</v>
      </c>
    </row>
    <row r="186" spans="1:16" ht="13.8">
      <c r="A186" s="1334"/>
      <c r="B186" s="1334"/>
      <c r="C186" s="1337" t="s">
        <v>4781</v>
      </c>
      <c r="D186" s="1330"/>
      <c r="E186" s="1330"/>
      <c r="F186" s="1330"/>
      <c r="G186" s="1330"/>
      <c r="H186" s="1330"/>
      <c r="I186" s="1364">
        <f>'Part I-Project Information'!I163</f>
        <v>0</v>
      </c>
      <c r="J186" s="1330"/>
      <c r="K186" s="1337" t="s">
        <v>1794</v>
      </c>
      <c r="L186" s="1330"/>
      <c r="M186" s="1330"/>
      <c r="N186" s="1330"/>
      <c r="O186" s="1376"/>
      <c r="P186" s="1376">
        <f>IF('Part VI-Revenues &amp; Expenses'!$O$65=0,0,I186/'Part VI-Revenues &amp; Expenses'!$O$65)</f>
        <v>0</v>
      </c>
    </row>
    <row r="187" spans="1:16" ht="13.8">
      <c r="A187" s="1334"/>
      <c r="B187" s="1334"/>
      <c r="C187" s="1330"/>
      <c r="D187" s="1330"/>
      <c r="E187" s="1330"/>
      <c r="F187" s="1330"/>
      <c r="G187" s="1330"/>
      <c r="H187" s="1330"/>
      <c r="I187" s="1330"/>
      <c r="J187" s="1330"/>
      <c r="K187" s="1330"/>
      <c r="L187" s="1330"/>
      <c r="M187" s="1330"/>
      <c r="N187" s="1330"/>
      <c r="O187" s="1330"/>
      <c r="P187" s="1330"/>
    </row>
    <row r="188" spans="1:16" ht="13.8">
      <c r="A188" s="1334"/>
      <c r="B188" s="1334"/>
      <c r="C188" s="1330" t="s">
        <v>1795</v>
      </c>
      <c r="D188" s="1330">
        <f>'Part I-Project Information'!D165</f>
        <v>0</v>
      </c>
      <c r="E188" s="1330">
        <f>'Part I-Project Information'!E165</f>
        <v>0</v>
      </c>
      <c r="F188" s="1330">
        <f>'Part I-Project Information'!F165</f>
        <v>0</v>
      </c>
      <c r="G188" s="1330">
        <f>'Part I-Project Information'!G165</f>
        <v>0</v>
      </c>
      <c r="H188" s="1330">
        <f>'Part I-Project Information'!H165</f>
        <v>0</v>
      </c>
      <c r="I188" s="1337" t="s">
        <v>4725</v>
      </c>
      <c r="J188" s="1330"/>
      <c r="K188" s="1330"/>
      <c r="L188" s="1330"/>
      <c r="M188" s="1330"/>
      <c r="N188" s="1799">
        <f>'Part I-Project Information'!N165</f>
        <v>0</v>
      </c>
      <c r="O188" s="1799">
        <f>'Part I-Project Information'!O165</f>
        <v>0</v>
      </c>
      <c r="P188" s="1799">
        <f>'Part I-Project Information'!P165</f>
        <v>0</v>
      </c>
    </row>
    <row r="189" spans="1:16" ht="13.8">
      <c r="A189" s="1334"/>
      <c r="B189" s="1334"/>
      <c r="C189" s="1337" t="s">
        <v>4726</v>
      </c>
      <c r="D189" s="1330">
        <f>'Part I-Project Information'!D166</f>
        <v>0</v>
      </c>
      <c r="E189" s="1330">
        <f>'Part I-Project Information'!E166</f>
        <v>0</v>
      </c>
      <c r="F189" s="1330">
        <f>'Part I-Project Information'!F166</f>
        <v>0</v>
      </c>
      <c r="G189" s="1330">
        <f>'Part I-Project Information'!G166</f>
        <v>0</v>
      </c>
      <c r="H189" s="1330">
        <f>'Part I-Project Information'!H166</f>
        <v>0</v>
      </c>
      <c r="I189" s="1330" t="s">
        <v>1796</v>
      </c>
      <c r="J189" s="1330">
        <f>'Part I-Project Information'!J166</f>
        <v>0</v>
      </c>
      <c r="K189" s="1330">
        <f>'Part I-Project Information'!K166</f>
        <v>0</v>
      </c>
      <c r="L189" s="1330">
        <f>'Part I-Project Information'!L166</f>
        <v>0</v>
      </c>
      <c r="M189" s="1330" t="s">
        <v>1979</v>
      </c>
      <c r="N189" s="1799">
        <f>'Part I-Project Information'!N166</f>
        <v>0</v>
      </c>
      <c r="O189" s="1799">
        <f>'Part I-Project Information'!O166</f>
        <v>0</v>
      </c>
      <c r="P189" s="1799">
        <f>'Part I-Project Information'!P166</f>
        <v>0</v>
      </c>
    </row>
    <row r="190" spans="1:16" ht="13.8">
      <c r="A190" s="1334"/>
      <c r="B190" s="1334"/>
      <c r="C190" s="1337" t="s">
        <v>617</v>
      </c>
      <c r="D190" s="1330">
        <f>'Part I-Project Information'!D167</f>
        <v>0</v>
      </c>
      <c r="E190" s="1330">
        <f>'Part I-Project Information'!E167</f>
        <v>0</v>
      </c>
      <c r="F190" s="1330" t="s">
        <v>2228</v>
      </c>
      <c r="G190" s="1798">
        <f>'Part I-Project Information'!G167</f>
        <v>0</v>
      </c>
      <c r="H190" s="1798">
        <f>'Part I-Project Information'!H167</f>
        <v>0</v>
      </c>
      <c r="I190" s="1337" t="s">
        <v>1801</v>
      </c>
      <c r="J190" s="1330">
        <f>'Part I-Project Information'!J167</f>
        <v>0</v>
      </c>
      <c r="K190" s="1330">
        <f>'Part I-Project Information'!K167</f>
        <v>0</v>
      </c>
      <c r="L190" s="1330">
        <f>'Part I-Project Information'!L167</f>
        <v>0</v>
      </c>
      <c r="M190" s="1330" t="s">
        <v>1978</v>
      </c>
      <c r="N190" s="1799">
        <f>'Part I-Project Information'!N167</f>
        <v>0</v>
      </c>
      <c r="O190" s="1799">
        <f>'Part I-Project Information'!O167</f>
        <v>0</v>
      </c>
      <c r="P190" s="1799">
        <f>'Part I-Project Information'!P167</f>
        <v>0</v>
      </c>
    </row>
    <row r="191" spans="1:16" ht="13.8">
      <c r="A191" s="1334"/>
      <c r="B191" s="1334"/>
      <c r="C191" s="1330" t="s">
        <v>2703</v>
      </c>
      <c r="D191" s="1330">
        <f>'Part I-Project Information'!D168</f>
        <v>0</v>
      </c>
      <c r="E191" s="1330">
        <f>'Part I-Project Information'!E168</f>
        <v>0</v>
      </c>
      <c r="F191" s="1330">
        <f>'Part I-Project Information'!F168</f>
        <v>0</v>
      </c>
      <c r="G191" s="1330">
        <f>'Part I-Project Information'!G168</f>
        <v>0</v>
      </c>
      <c r="H191" s="1330">
        <f>'Part I-Project Information'!H168</f>
        <v>0</v>
      </c>
      <c r="I191" s="1337" t="s">
        <v>1799</v>
      </c>
      <c r="J191" s="1706">
        <f>'Part I-Project Information'!J168</f>
        <v>0</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ht="13.8">
      <c r="A192" s="1334"/>
      <c r="B192" s="1334"/>
      <c r="C192" s="1330" t="s">
        <v>4782</v>
      </c>
      <c r="D192" s="1330"/>
      <c r="E192" s="1378"/>
      <c r="F192" s="1378"/>
      <c r="G192" s="1378"/>
      <c r="H192" s="1334"/>
      <c r="I192" s="1344">
        <f>'Part I-Project Information'!I169</f>
        <v>0</v>
      </c>
      <c r="J192" s="1348" t="s">
        <v>760</v>
      </c>
      <c r="K192" s="1348"/>
      <c r="L192" s="1344">
        <f>'Part I-Project Information'!L169</f>
        <v>0</v>
      </c>
      <c r="M192" s="1378"/>
      <c r="N192" s="1334"/>
      <c r="O192" s="1378"/>
      <c r="P192" s="1378"/>
    </row>
    <row r="193" spans="1:16" ht="13.8">
      <c r="A193" s="1334"/>
      <c r="B193" s="1334"/>
      <c r="C193" s="1330"/>
      <c r="D193" s="1330"/>
      <c r="E193" s="1330"/>
      <c r="F193" s="1330"/>
      <c r="G193" s="1330"/>
      <c r="H193" s="1330"/>
      <c r="I193" s="1330"/>
      <c r="J193" s="1330"/>
      <c r="K193" s="1330"/>
      <c r="L193" s="1330"/>
      <c r="M193" s="1330"/>
      <c r="N193" s="1330"/>
      <c r="O193" s="1330"/>
      <c r="P193" s="1330"/>
    </row>
    <row r="194" spans="1:16" ht="13.8">
      <c r="A194" s="1334"/>
      <c r="B194" s="1334" t="s">
        <v>1984</v>
      </c>
      <c r="C194" s="1337" t="s">
        <v>2701</v>
      </c>
      <c r="D194" s="1337"/>
      <c r="E194" s="1337"/>
      <c r="F194" s="1337"/>
      <c r="G194" s="1337"/>
      <c r="H194" s="1330"/>
      <c r="I194" s="1334" t="str">
        <f>'Part I-Project Information'!I171</f>
        <v>No</v>
      </c>
      <c r="J194" s="1330" t="s">
        <v>760</v>
      </c>
      <c r="K194" s="1330"/>
      <c r="L194" s="1334">
        <f>'Part I-Project Information'!L171</f>
        <v>0</v>
      </c>
      <c r="M194" s="1330" t="s">
        <v>2325</v>
      </c>
      <c r="N194" s="1330"/>
      <c r="O194" s="1330"/>
      <c r="P194" s="1419">
        <f>'Part I-Project Information'!P171</f>
        <v>0</v>
      </c>
    </row>
    <row r="195" spans="1:16" ht="13.8">
      <c r="A195" s="1334"/>
      <c r="B195" s="1334"/>
      <c r="C195" s="1337" t="s">
        <v>2702</v>
      </c>
      <c r="D195" s="1337"/>
      <c r="E195" s="1337"/>
      <c r="F195" s="1337"/>
      <c r="G195" s="1337"/>
      <c r="H195" s="1330"/>
      <c r="I195" s="1334" t="str">
        <f>'Part I-Project Information'!I172</f>
        <v>No</v>
      </c>
      <c r="J195" s="1330" t="s">
        <v>760</v>
      </c>
      <c r="K195" s="1330"/>
      <c r="L195" s="1334">
        <f>'Part I-Project Information'!L172</f>
        <v>0</v>
      </c>
      <c r="M195" s="1330" t="s">
        <v>2325</v>
      </c>
      <c r="N195" s="1330"/>
      <c r="O195" s="1330"/>
      <c r="P195" s="1419">
        <f>'Part I-Project Information'!P172</f>
        <v>0</v>
      </c>
    </row>
    <row r="196" spans="1:16" ht="13.8">
      <c r="A196" s="1334"/>
      <c r="B196" s="1334"/>
      <c r="C196" s="1337"/>
      <c r="D196" s="1337"/>
      <c r="E196" s="1330"/>
      <c r="F196" s="1337"/>
      <c r="G196" s="1337"/>
      <c r="H196" s="1330"/>
      <c r="I196" s="1330"/>
      <c r="J196" s="1330"/>
      <c r="K196" s="1334"/>
      <c r="L196" s="1330"/>
      <c r="M196" s="1330"/>
      <c r="N196" s="1330"/>
      <c r="O196" s="1334"/>
      <c r="P196" s="1343"/>
    </row>
    <row r="197" spans="1:16" ht="13.8">
      <c r="A197" s="1334"/>
      <c r="B197" s="1334" t="s">
        <v>748</v>
      </c>
      <c r="C197" s="1337" t="s">
        <v>1756</v>
      </c>
      <c r="D197" s="1337"/>
      <c r="E197" s="1337"/>
      <c r="F197" s="1337"/>
      <c r="G197" s="1337"/>
      <c r="H197" s="1330"/>
      <c r="I197" s="1334" t="str">
        <f>'Part I-Project Information'!I174</f>
        <v>No</v>
      </c>
      <c r="J197" s="1330"/>
      <c r="K197" s="1330"/>
      <c r="L197" s="1330"/>
      <c r="M197" s="1330"/>
      <c r="N197" s="1330"/>
      <c r="O197" s="1330"/>
      <c r="P197" s="1343"/>
    </row>
    <row r="198" spans="1:16" ht="13.8">
      <c r="A198" s="1334"/>
      <c r="B198" s="1334"/>
      <c r="C198" s="1337"/>
      <c r="D198" s="1330"/>
      <c r="E198" s="1378"/>
      <c r="F198" s="1378"/>
      <c r="G198" s="1378"/>
      <c r="H198" s="1330"/>
      <c r="I198" s="1378"/>
      <c r="J198" s="1378"/>
      <c r="K198" s="1334"/>
      <c r="L198" s="1378"/>
      <c r="M198" s="1378"/>
      <c r="N198" s="1334"/>
      <c r="O198" s="1378"/>
      <c r="P198" s="1378"/>
    </row>
    <row r="199" spans="1:16" ht="13.8">
      <c r="A199" s="1334"/>
      <c r="B199" s="1334" t="s">
        <v>2114</v>
      </c>
      <c r="C199" s="1330" t="s">
        <v>1977</v>
      </c>
      <c r="D199" s="1330"/>
      <c r="E199" s="1330"/>
      <c r="F199" s="1330"/>
      <c r="G199" s="1337"/>
      <c r="H199" s="1330"/>
      <c r="I199" s="1334" t="str">
        <f>'Part I-Project Information'!I176</f>
        <v>Yes</v>
      </c>
      <c r="J199" s="1379" t="s">
        <v>2751</v>
      </c>
      <c r="K199" s="1330"/>
      <c r="L199" s="1330" t="s">
        <v>4491</v>
      </c>
      <c r="M199" s="1330"/>
      <c r="N199" s="1337"/>
      <c r="O199" s="1337"/>
      <c r="P199" s="1364">
        <f>'Part I-Project Information'!P176</f>
        <v>40</v>
      </c>
    </row>
    <row r="200" spans="1:16" ht="13.8">
      <c r="A200" s="1330"/>
      <c r="B200" s="1334"/>
      <c r="C200" s="1330"/>
      <c r="D200" s="1330"/>
      <c r="E200" s="1330"/>
      <c r="F200" s="1330"/>
      <c r="G200" s="1330"/>
      <c r="H200" s="1330"/>
      <c r="I200" s="1330"/>
      <c r="J200" s="1330"/>
      <c r="K200" s="1330"/>
      <c r="L200" s="1330" t="s">
        <v>796</v>
      </c>
      <c r="M200" s="1330"/>
      <c r="N200" s="1363"/>
      <c r="O200" s="1363"/>
      <c r="P200" s="1364">
        <f>'Part I-Project Information'!P177</f>
        <v>30</v>
      </c>
    </row>
    <row r="201" spans="1:16" ht="13.8">
      <c r="A201" s="1334"/>
      <c r="B201" s="1334"/>
      <c r="C201" s="1330"/>
      <c r="D201" s="1330"/>
      <c r="E201" s="1330"/>
      <c r="F201" s="1330"/>
      <c r="G201" s="1330"/>
      <c r="H201" s="1330"/>
      <c r="I201" s="1330"/>
      <c r="J201" s="1330"/>
      <c r="K201" s="1330"/>
      <c r="L201" s="1330" t="s">
        <v>1790</v>
      </c>
      <c r="M201" s="1330"/>
      <c r="N201" s="1363"/>
      <c r="O201" s="1363"/>
      <c r="P201" s="2319">
        <f>IF(P199="","",P200/P199)</f>
        <v>0.75</v>
      </c>
    </row>
    <row r="202" spans="1:16" ht="13.8">
      <c r="A202" s="1334"/>
      <c r="B202" s="1334" t="s">
        <v>1734</v>
      </c>
      <c r="C202" s="1337" t="s">
        <v>1608</v>
      </c>
      <c r="D202" s="1363"/>
      <c r="E202" s="1363"/>
      <c r="F202" s="1363"/>
      <c r="G202" s="1363"/>
      <c r="H202" s="1334"/>
      <c r="I202" s="1330"/>
      <c r="J202" s="1336"/>
      <c r="K202" s="1344"/>
      <c r="L202" s="1330"/>
      <c r="M202" s="1330"/>
      <c r="N202" s="1330"/>
      <c r="O202" s="1334"/>
      <c r="P202" s="1343"/>
    </row>
    <row r="203" spans="1:16" ht="13.8">
      <c r="A203" s="1334"/>
      <c r="B203" s="1334"/>
      <c r="C203" s="1330" t="s">
        <v>2211</v>
      </c>
      <c r="D203" s="1330"/>
      <c r="E203" s="1330"/>
      <c r="F203" s="1330"/>
      <c r="G203" s="1330"/>
      <c r="H203" s="1330"/>
      <c r="I203" s="1344" t="str">
        <f>'Part I-Project Information'!I180</f>
        <v>No</v>
      </c>
      <c r="J203" s="1330"/>
      <c r="K203" s="1330"/>
      <c r="L203" s="1330" t="s">
        <v>1609</v>
      </c>
      <c r="M203" s="1330"/>
      <c r="N203" s="1330"/>
      <c r="O203" s="1330"/>
      <c r="P203" s="1344" t="str">
        <f>'Part I-Project Information'!P180</f>
        <v>Yes</v>
      </c>
    </row>
    <row r="204" spans="1:16" ht="13.8">
      <c r="A204" s="1334"/>
      <c r="B204" s="1334"/>
      <c r="C204" s="1330" t="s">
        <v>2212</v>
      </c>
      <c r="D204" s="1330"/>
      <c r="E204" s="1330"/>
      <c r="F204" s="1330"/>
      <c r="G204" s="1330"/>
      <c r="H204" s="1330"/>
      <c r="I204" s="1344" t="str">
        <f>'Part I-Project Information'!I181</f>
        <v>Yes</v>
      </c>
      <c r="J204" s="1330"/>
      <c r="K204" s="1330"/>
      <c r="L204" s="1330" t="s">
        <v>2844</v>
      </c>
      <c r="M204" s="1330"/>
      <c r="N204" s="1330"/>
      <c r="O204" s="1330"/>
      <c r="P204" s="1344" t="str">
        <f>'Part I-Project Information'!P181</f>
        <v>No</v>
      </c>
    </row>
    <row r="205" spans="1:16" ht="13.8">
      <c r="A205" s="1334"/>
      <c r="B205" s="1330"/>
      <c r="C205" s="1330" t="s">
        <v>2721</v>
      </c>
      <c r="D205" s="1330"/>
      <c r="E205" s="1330"/>
      <c r="F205" s="1330"/>
      <c r="G205" s="1330"/>
      <c r="H205" s="1330"/>
      <c r="I205" s="1344" t="str">
        <f>'Part I-Project Information'!I182</f>
        <v>No</v>
      </c>
      <c r="J205" s="1330"/>
      <c r="K205" s="1330"/>
      <c r="L205" s="1330" t="s">
        <v>2689</v>
      </c>
      <c r="M205" s="1330"/>
      <c r="N205" s="1808">
        <f>'Part I-Project Information'!N182</f>
        <v>0</v>
      </c>
      <c r="O205" s="1808">
        <f>'Part I-Project Information'!O182</f>
        <v>0</v>
      </c>
      <c r="P205" s="1344" t="str">
        <f>'Part I-Project Information'!P182</f>
        <v>No</v>
      </c>
    </row>
    <row r="206" spans="1:16" ht="13.8">
      <c r="A206" s="1334"/>
      <c r="B206" s="1334"/>
      <c r="C206" s="1330" t="s">
        <v>1284</v>
      </c>
      <c r="D206" s="1393"/>
      <c r="E206" s="1330"/>
      <c r="F206" s="1330"/>
      <c r="G206" s="1330"/>
      <c r="H206" s="1330"/>
      <c r="I206" s="1344" t="str">
        <f>'Part I-Project Information'!I183</f>
        <v>No</v>
      </c>
      <c r="J206" s="1330"/>
      <c r="K206" s="1330"/>
      <c r="L206" s="1330" t="s">
        <v>3480</v>
      </c>
      <c r="M206" s="1330"/>
      <c r="N206" s="1330"/>
      <c r="O206" s="1330"/>
      <c r="P206" s="1344" t="str">
        <f>'Part I-Project Information'!P183</f>
        <v>No</v>
      </c>
    </row>
    <row r="207" spans="1:16" ht="13.8">
      <c r="A207" s="1334"/>
      <c r="B207" s="1330"/>
      <c r="C207" s="1330" t="s">
        <v>1806</v>
      </c>
      <c r="D207" s="1330"/>
      <c r="E207" s="1330"/>
      <c r="F207" s="1330"/>
      <c r="G207" s="1330"/>
      <c r="H207" s="1330"/>
      <c r="I207" s="1344" t="str">
        <f>'Part I-Project Information'!I184</f>
        <v>No</v>
      </c>
      <c r="J207" s="1379" t="s">
        <v>2752</v>
      </c>
      <c r="K207" s="1330"/>
      <c r="L207" s="1330"/>
      <c r="M207" s="1330"/>
      <c r="N207" s="1330"/>
      <c r="O207" s="1809">
        <f>'Part I-Project Information'!O184</f>
        <v>0</v>
      </c>
      <c r="P207" s="1809">
        <f>'Part I-Project Information'!P184</f>
        <v>0</v>
      </c>
    </row>
    <row r="208" spans="1:16" ht="13.8">
      <c r="A208" s="1334"/>
      <c r="B208" s="1334"/>
      <c r="C208" s="1330" t="s">
        <v>2901</v>
      </c>
      <c r="D208" s="1330"/>
      <c r="E208" s="1330"/>
      <c r="F208" s="1330"/>
      <c r="G208" s="1330"/>
      <c r="H208" s="1330"/>
      <c r="I208" s="1344" t="str">
        <f>'Part I-Project Information'!I185</f>
        <v>No</v>
      </c>
      <c r="J208" s="1379" t="s">
        <v>2752</v>
      </c>
      <c r="K208" s="1330"/>
      <c r="L208" s="1330"/>
      <c r="M208" s="1330"/>
      <c r="N208" s="1330"/>
      <c r="O208" s="1809">
        <f>'Part I-Project Information'!O185</f>
        <v>0</v>
      </c>
      <c r="P208" s="1809">
        <f>'Part I-Project Information'!P185</f>
        <v>0</v>
      </c>
    </row>
    <row r="209" spans="1:19" ht="13.8">
      <c r="A209" s="1334"/>
      <c r="B209" s="1334"/>
      <c r="C209" s="1330"/>
      <c r="D209" s="1330"/>
      <c r="E209" s="1330"/>
      <c r="F209" s="1330"/>
      <c r="G209" s="1330"/>
      <c r="H209" s="1330"/>
      <c r="I209" s="1330"/>
      <c r="J209" s="1330"/>
      <c r="K209" s="1330"/>
      <c r="L209" s="1330"/>
      <c r="M209" s="1330"/>
      <c r="N209" s="1330"/>
      <c r="O209" s="1330"/>
      <c r="P209" s="1336"/>
    </row>
    <row r="210" spans="1:19" ht="13.8">
      <c r="A210" s="1330"/>
      <c r="B210" s="1334" t="s">
        <v>1735</v>
      </c>
      <c r="C210" s="1337" t="s">
        <v>738</v>
      </c>
      <c r="D210" s="1330"/>
      <c r="E210" s="1330"/>
      <c r="F210" s="1330"/>
      <c r="G210" s="1330"/>
      <c r="H210" s="1330"/>
      <c r="I210" s="1330"/>
      <c r="J210" s="1330"/>
      <c r="K210" s="1330"/>
      <c r="L210" s="1330"/>
      <c r="M210" s="1330"/>
      <c r="N210" s="1330"/>
      <c r="O210" s="1330"/>
      <c r="P210" s="1330"/>
    </row>
    <row r="211" spans="1:19" ht="13.8">
      <c r="A211" s="1334"/>
      <c r="B211" s="1334"/>
      <c r="C211" s="1337" t="s">
        <v>638</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ht="13.8">
      <c r="A212" s="1334"/>
      <c r="B212" s="1334"/>
      <c r="C212" s="1337" t="s">
        <v>276</v>
      </c>
      <c r="D212" s="1363"/>
      <c r="E212" s="1363"/>
      <c r="F212" s="1334"/>
      <c r="G212" s="1334"/>
      <c r="H212" s="1806">
        <f>'Part I-Project Information'!H189</f>
        <v>44317</v>
      </c>
      <c r="I212" s="1806">
        <f>'Part I-Project Information'!I189</f>
        <v>0</v>
      </c>
      <c r="J212" s="1330"/>
      <c r="K212" s="1330"/>
      <c r="L212" s="1330"/>
      <c r="M212" s="1330"/>
      <c r="N212" s="1330"/>
      <c r="O212" s="1330"/>
      <c r="P212" s="1343"/>
    </row>
    <row r="213" spans="1:19" ht="13.8">
      <c r="A213" s="1334"/>
      <c r="B213" s="1334"/>
      <c r="C213" s="1337" t="s">
        <v>2294</v>
      </c>
      <c r="D213" s="1363"/>
      <c r="E213" s="1363"/>
      <c r="F213" s="1334"/>
      <c r="G213" s="1334"/>
      <c r="H213" s="1806">
        <f>'Part I-Project Information'!H190</f>
        <v>0</v>
      </c>
      <c r="I213" s="1806">
        <f>'Part I-Project Information'!I190</f>
        <v>0</v>
      </c>
      <c r="J213" s="1330"/>
      <c r="K213" s="1330"/>
      <c r="L213" s="1330"/>
      <c r="M213" s="1330"/>
      <c r="N213" s="1330"/>
      <c r="O213" s="1330"/>
      <c r="P213" s="1343"/>
    </row>
    <row r="214" spans="1:19" ht="13.8">
      <c r="A214" s="1330"/>
      <c r="B214" s="1330"/>
      <c r="C214" s="1330"/>
      <c r="D214" s="1330"/>
      <c r="E214" s="1330"/>
      <c r="F214" s="1330"/>
      <c r="G214" s="1330"/>
      <c r="H214" s="1330"/>
      <c r="I214" s="1330"/>
      <c r="J214" s="1330"/>
      <c r="K214" s="1330"/>
      <c r="L214" s="1336"/>
      <c r="M214" s="1336"/>
      <c r="N214" s="1336"/>
      <c r="O214" s="1336"/>
      <c r="P214" s="1340"/>
    </row>
    <row r="215" spans="1:19" ht="13.8">
      <c r="A215" s="1336" t="s">
        <v>2780</v>
      </c>
      <c r="B215" s="1348"/>
      <c r="C215" s="1336" t="s">
        <v>571</v>
      </c>
      <c r="D215" s="1336"/>
      <c r="E215" s="1336"/>
      <c r="F215" s="1336"/>
      <c r="G215" s="1336"/>
      <c r="H215" s="1336"/>
      <c r="I215" s="1336"/>
      <c r="J215" s="1336"/>
      <c r="K215" s="1336"/>
      <c r="L215" s="1336"/>
      <c r="M215" s="1336" t="s">
        <v>2250</v>
      </c>
      <c r="N215" s="1336" t="s">
        <v>79</v>
      </c>
      <c r="O215" s="1336"/>
      <c r="P215" s="1336"/>
    </row>
    <row r="216" spans="1:19" ht="12.75" customHeight="1">
      <c r="A216" s="1391">
        <f>'Part I-Project Information'!A193</f>
        <v>0</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ht="13.8">
      <c r="A219" s="1330" t="str">
        <f>CONCATENATE("PART TWO - DEVELOPMENT TEAM INFORMATION","  -  ",'Part I-Project Information'!$O$6," ",'Part I-Project Information'!$F$34,", ",'Part I-Project Information'!F256,", ",'Part I-Project Information'!J257," County")</f>
        <v>PART TWO - DEVELOPMENT TEAM INFORMATION  -  2019-049 Woodstone Apartments II,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ht="13.8">
      <c r="A220" s="1337" t="s">
        <v>4456</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8">
      <c r="A221" s="1330" t="s">
        <v>615</v>
      </c>
      <c r="B221" s="1337" t="s">
        <v>1857</v>
      </c>
      <c r="C221" s="1337"/>
      <c r="D221" s="1330"/>
      <c r="E221" s="1337"/>
      <c r="F221" s="1337"/>
      <c r="G221" s="1337"/>
      <c r="H221" s="1332" t="s">
        <v>4253</v>
      </c>
      <c r="I221" s="1330"/>
      <c r="J221" s="1330"/>
      <c r="K221" s="1330"/>
      <c r="L221" s="1330"/>
      <c r="M221" s="1330"/>
      <c r="N221" s="1330"/>
      <c r="O221" s="1802" t="str">
        <f>'Part I-Project Information'!$B$6</f>
        <v>April 2019 Final</v>
      </c>
      <c r="P221" s="1802"/>
      <c r="Q221" s="1802"/>
      <c r="R221" s="1802"/>
      <c r="S221" s="1802"/>
    </row>
    <row r="222" spans="1:19" ht="13.8">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ht="13.8">
      <c r="A223" s="1330"/>
      <c r="B223" s="1330" t="s">
        <v>1982</v>
      </c>
      <c r="C223" s="1337" t="s">
        <v>1853</v>
      </c>
      <c r="D223" s="1330"/>
      <c r="E223" s="1330"/>
      <c r="F223" s="1330"/>
      <c r="G223" s="1330"/>
      <c r="H223" s="1330" t="str">
        <f>'Part II-Development Team'!H5</f>
        <v>Woodstone Apartments II, LP</v>
      </c>
      <c r="I223" s="1348"/>
      <c r="J223" s="1348"/>
      <c r="K223" s="1348"/>
      <c r="L223" s="1348"/>
      <c r="M223" s="1348"/>
      <c r="N223" s="1348"/>
      <c r="O223" s="1337" t="s">
        <v>1988</v>
      </c>
      <c r="P223" s="1337"/>
      <c r="Q223" s="1330" t="str">
        <f>'Part II-Development Team'!Q5</f>
        <v>Jeff Beaver</v>
      </c>
      <c r="R223" s="1348"/>
      <c r="S223" s="1348"/>
    </row>
    <row r="224" spans="1:19" ht="13.8">
      <c r="A224" s="1330"/>
      <c r="B224" s="1330"/>
      <c r="C224" s="1330"/>
      <c r="D224" s="1346"/>
      <c r="E224" s="1337" t="s">
        <v>1020</v>
      </c>
      <c r="F224" s="1340"/>
      <c r="G224" s="1330"/>
      <c r="H224" s="1330" t="str">
        <f>'Part II-Development Team'!H6</f>
        <v>404 E McKinney Ave</v>
      </c>
      <c r="I224" s="1348"/>
      <c r="J224" s="1348"/>
      <c r="K224" s="1348"/>
      <c r="L224" s="1348"/>
      <c r="M224" s="1348"/>
      <c r="N224" s="1348"/>
      <c r="O224" s="1337" t="s">
        <v>1746</v>
      </c>
      <c r="P224" s="1330"/>
      <c r="Q224" s="1330" t="str">
        <f>'Part II-Development Team'!Q6</f>
        <v>Pres. of Member of GP</v>
      </c>
      <c r="R224" s="1348"/>
      <c r="S224" s="1348"/>
    </row>
    <row r="225" spans="1:19" ht="13.8">
      <c r="A225" s="1330"/>
      <c r="B225" s="1330"/>
      <c r="C225" s="1330"/>
      <c r="D225" s="1346"/>
      <c r="E225" s="1337" t="s">
        <v>617</v>
      </c>
      <c r="F225" s="1330"/>
      <c r="G225" s="1330"/>
      <c r="H225" s="1330" t="str">
        <f>'Part II-Development Team'!H7</f>
        <v>Albertville</v>
      </c>
      <c r="I225" s="1348"/>
      <c r="J225" s="1348"/>
      <c r="K225" s="1334" t="s">
        <v>761</v>
      </c>
      <c r="L225" s="1330" t="str">
        <f>'Part II-Development Team'!L7</f>
        <v>Applied For</v>
      </c>
      <c r="M225" s="1348"/>
      <c r="N225" s="1348"/>
      <c r="O225" s="1337" t="s">
        <v>1720</v>
      </c>
      <c r="P225" s="1330"/>
      <c r="Q225" s="1330">
        <f>'Part II-Development Team'!Q7</f>
        <v>2568786054</v>
      </c>
      <c r="R225" s="1348"/>
      <c r="S225" s="1348"/>
    </row>
    <row r="226" spans="1:19" ht="13.8">
      <c r="A226" s="1330"/>
      <c r="B226" s="1330"/>
      <c r="C226" s="1330"/>
      <c r="D226" s="1346"/>
      <c r="E226" s="1337" t="s">
        <v>1798</v>
      </c>
      <c r="F226" s="1330"/>
      <c r="G226" s="1330"/>
      <c r="H226" s="1337" t="str">
        <f>'Part II-Development Team'!H8</f>
        <v>AL</v>
      </c>
      <c r="I226" s="1334" t="s">
        <v>2228</v>
      </c>
      <c r="J226" s="1798">
        <f>'Part II-Development Team'!J8</f>
        <v>359501832</v>
      </c>
      <c r="K226" s="1348"/>
      <c r="L226" s="1330" t="s">
        <v>3685</v>
      </c>
      <c r="M226" s="1330" t="str">
        <f>'Part II-Development Team'!M8</f>
        <v>For Profit</v>
      </c>
      <c r="N226" s="1330"/>
      <c r="O226" s="1337" t="s">
        <v>1978</v>
      </c>
      <c r="P226" s="1330"/>
      <c r="Q226" s="1330">
        <f>'Part II-Development Team'!Q8</f>
        <v>0</v>
      </c>
      <c r="R226" s="1348"/>
      <c r="S226" s="1348"/>
    </row>
    <row r="227" spans="1:19" ht="13.8">
      <c r="A227" s="1330"/>
      <c r="B227" s="1330"/>
      <c r="C227" s="1330"/>
      <c r="D227" s="1346"/>
      <c r="E227" s="1337" t="s">
        <v>4254</v>
      </c>
      <c r="F227" s="1330"/>
      <c r="G227" s="1330"/>
      <c r="H227" s="1799">
        <f>'Part II-Development Team'!H9</f>
        <v>2568786054</v>
      </c>
      <c r="I227" s="1799"/>
      <c r="J227" s="1344">
        <f>'Part II-Development Team'!J9</f>
        <v>0</v>
      </c>
      <c r="K227" s="1334" t="s">
        <v>1983</v>
      </c>
      <c r="L227" s="1706" t="str">
        <f>'Part II-Development Team'!L9</f>
        <v>jeff@olympiaconstruction.net</v>
      </c>
      <c r="M227" s="1706"/>
      <c r="N227" s="1706"/>
      <c r="O227" s="1706"/>
      <c r="P227" s="1706"/>
      <c r="Q227" s="1706"/>
      <c r="R227" s="1706"/>
      <c r="S227" s="1706"/>
    </row>
    <row r="228" spans="1:19" ht="13.8">
      <c r="A228" s="1330"/>
      <c r="B228" s="1330"/>
      <c r="C228" s="1330"/>
      <c r="D228" s="1346"/>
      <c r="E228" s="1332" t="s">
        <v>4253</v>
      </c>
      <c r="F228" s="1330"/>
      <c r="G228" s="1330"/>
      <c r="H228" s="1378"/>
      <c r="I228" s="1330"/>
      <c r="J228" s="1330"/>
      <c r="K228" s="1393"/>
      <c r="L228" s="1330"/>
      <c r="M228" s="1330"/>
      <c r="N228" s="1330" t="s">
        <v>4492</v>
      </c>
      <c r="O228" s="1330"/>
      <c r="P228" s="1330"/>
      <c r="Q228" s="1334"/>
      <c r="R228" s="1330"/>
      <c r="S228" s="1330"/>
    </row>
    <row r="229" spans="1:19" ht="13.8">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8">
      <c r="A230" s="1330"/>
      <c r="B230" s="1348" t="s">
        <v>1984</v>
      </c>
      <c r="C230" s="1337" t="s">
        <v>1854</v>
      </c>
      <c r="D230" s="1330"/>
      <c r="E230" s="1330"/>
      <c r="F230" s="1337"/>
      <c r="G230" s="1337"/>
      <c r="H230" s="1337"/>
      <c r="I230" s="1337"/>
      <c r="J230" s="1330"/>
      <c r="K230" s="1330"/>
      <c r="L230" s="1330"/>
      <c r="M230" s="1330"/>
      <c r="N230" s="1810" t="s">
        <v>1283</v>
      </c>
      <c r="O230" s="1330"/>
      <c r="P230" s="1330"/>
      <c r="Q230" s="1330"/>
      <c r="R230" s="1330"/>
      <c r="S230" s="1330"/>
    </row>
    <row r="231" spans="1:19" ht="13.8">
      <c r="A231" s="1330"/>
      <c r="B231" s="1330"/>
      <c r="C231" s="2320" t="s">
        <v>1985</v>
      </c>
      <c r="D231" s="1348" t="s">
        <v>1986</v>
      </c>
      <c r="E231" s="1330"/>
      <c r="F231" s="1330"/>
      <c r="G231" s="1330"/>
      <c r="H231" s="1330"/>
      <c r="I231" s="1330"/>
      <c r="J231" s="1330"/>
      <c r="K231" s="1330"/>
      <c r="L231" s="1330"/>
      <c r="M231" s="1330"/>
      <c r="N231" s="1393"/>
      <c r="O231" s="1330"/>
      <c r="P231" s="1330"/>
      <c r="Q231" s="1330"/>
      <c r="R231" s="1330"/>
      <c r="S231" s="1330"/>
    </row>
    <row r="232" spans="1:19" ht="13.8">
      <c r="A232" s="1330"/>
      <c r="B232" s="1330"/>
      <c r="C232" s="1330"/>
      <c r="D232" s="1330" t="s">
        <v>2115</v>
      </c>
      <c r="E232" s="1330" t="s">
        <v>1855</v>
      </c>
      <c r="F232" s="1330"/>
      <c r="G232" s="1330"/>
      <c r="H232" s="1330" t="str">
        <f>'Part II-Development Team'!H14</f>
        <v>Olympia GP Holdings, LLC</v>
      </c>
      <c r="I232" s="1348"/>
      <c r="J232" s="1348"/>
      <c r="K232" s="1348"/>
      <c r="L232" s="1348"/>
      <c r="M232" s="1348"/>
      <c r="N232" s="1348"/>
      <c r="O232" s="1337" t="s">
        <v>1988</v>
      </c>
      <c r="P232" s="1337"/>
      <c r="Q232" s="1330" t="str">
        <f>'Part II-Development Team'!Q14</f>
        <v>Jeff Beaver</v>
      </c>
      <c r="R232" s="1348"/>
      <c r="S232" s="1348"/>
    </row>
    <row r="233" spans="1:19" ht="13.8">
      <c r="A233" s="1330"/>
      <c r="B233" s="1330"/>
      <c r="C233" s="1330"/>
      <c r="D233" s="1346"/>
      <c r="E233" s="1337" t="s">
        <v>1020</v>
      </c>
      <c r="F233" s="1340"/>
      <c r="G233" s="1330"/>
      <c r="H233" s="1330" t="str">
        <f>'Part II-Development Team'!H15</f>
        <v>404 E McKinney Ave</v>
      </c>
      <c r="I233" s="1348"/>
      <c r="J233" s="1348"/>
      <c r="K233" s="1348"/>
      <c r="L233" s="1348"/>
      <c r="M233" s="1348"/>
      <c r="N233" s="1348"/>
      <c r="O233" s="1337" t="s">
        <v>1746</v>
      </c>
      <c r="P233" s="1330"/>
      <c r="Q233" s="1330" t="str">
        <f>'Part II-Development Team'!Q15</f>
        <v>Managing Member</v>
      </c>
      <c r="R233" s="1348"/>
      <c r="S233" s="1348"/>
    </row>
    <row r="234" spans="1:19" ht="13.8">
      <c r="A234" s="1330"/>
      <c r="B234" s="1330"/>
      <c r="C234" s="1330"/>
      <c r="D234" s="1346"/>
      <c r="E234" s="1337" t="s">
        <v>617</v>
      </c>
      <c r="F234" s="1330"/>
      <c r="G234" s="1330"/>
      <c r="H234" s="1330" t="str">
        <f>'Part II-Development Team'!H16</f>
        <v>Albertville</v>
      </c>
      <c r="I234" s="1348"/>
      <c r="J234" s="1348"/>
      <c r="K234" s="1334" t="s">
        <v>2703</v>
      </c>
      <c r="L234" s="1330">
        <f>'Part II-Development Team'!L16</f>
        <v>0</v>
      </c>
      <c r="M234" s="1348"/>
      <c r="N234" s="1348"/>
      <c r="O234" s="1337" t="s">
        <v>1720</v>
      </c>
      <c r="P234" s="1330"/>
      <c r="Q234" s="1799">
        <f>'Part II-Development Team'!Q16</f>
        <v>2568786054</v>
      </c>
      <c r="R234" s="1799"/>
      <c r="S234" s="1799"/>
    </row>
    <row r="235" spans="1:19" ht="13.8">
      <c r="A235" s="1330"/>
      <c r="B235" s="1330"/>
      <c r="C235" s="1330"/>
      <c r="D235" s="1330"/>
      <c r="E235" s="1337" t="s">
        <v>1798</v>
      </c>
      <c r="F235" s="1330"/>
      <c r="G235" s="1330"/>
      <c r="H235" s="1337" t="str">
        <f>'Part II-Development Team'!H17</f>
        <v>AL</v>
      </c>
      <c r="I235" s="1330"/>
      <c r="J235" s="1330"/>
      <c r="K235" s="1334" t="s">
        <v>2228</v>
      </c>
      <c r="L235" s="1798">
        <f>'Part II-Development Team'!L17</f>
        <v>359501832</v>
      </c>
      <c r="M235" s="1348"/>
      <c r="N235" s="1330"/>
      <c r="O235" s="1337" t="s">
        <v>1978</v>
      </c>
      <c r="P235" s="1330"/>
      <c r="Q235" s="1799">
        <f>'Part II-Development Team'!Q17</f>
        <v>0</v>
      </c>
      <c r="R235" s="1799"/>
      <c r="S235" s="1799"/>
    </row>
    <row r="236" spans="1:19" ht="13.8">
      <c r="A236" s="1330"/>
      <c r="B236" s="1330"/>
      <c r="C236" s="1330"/>
      <c r="D236" s="1346"/>
      <c r="E236" s="1337" t="s">
        <v>4254</v>
      </c>
      <c r="F236" s="1330"/>
      <c r="G236" s="1330"/>
      <c r="H236" s="1799">
        <f>'Part II-Development Team'!H18</f>
        <v>2568786054</v>
      </c>
      <c r="I236" s="1799"/>
      <c r="J236" s="1344">
        <f>'Part II-Development Team'!J18</f>
        <v>0</v>
      </c>
      <c r="K236" s="1334" t="s">
        <v>1983</v>
      </c>
      <c r="L236" s="1706" t="str">
        <f>'Part II-Development Team'!L18</f>
        <v>jeff@olympiaconstruction.net</v>
      </c>
      <c r="M236" s="1706"/>
      <c r="N236" s="1706"/>
      <c r="O236" s="1706"/>
      <c r="P236" s="1706"/>
      <c r="Q236" s="1706"/>
      <c r="R236" s="1706"/>
      <c r="S236" s="1706"/>
    </row>
    <row r="237" spans="1:19" ht="13.8">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ht="13.8">
      <c r="A238" s="1330"/>
      <c r="B238" s="1330"/>
      <c r="C238" s="1330"/>
      <c r="D238" s="1330" t="s">
        <v>2116</v>
      </c>
      <c r="E238" s="1330" t="s">
        <v>1856</v>
      </c>
      <c r="F238" s="1330"/>
      <c r="G238" s="1330"/>
      <c r="H238" s="1330">
        <f>'Part II-Development Team'!H20</f>
        <v>0</v>
      </c>
      <c r="I238" s="1348"/>
      <c r="J238" s="1348"/>
      <c r="K238" s="1348"/>
      <c r="L238" s="1348"/>
      <c r="M238" s="1348"/>
      <c r="N238" s="1348"/>
      <c r="O238" s="1337" t="s">
        <v>1988</v>
      </c>
      <c r="P238" s="1337"/>
      <c r="Q238" s="1330">
        <f>'Part II-Development Team'!Q20</f>
        <v>0</v>
      </c>
      <c r="R238" s="1348"/>
      <c r="S238" s="1348"/>
    </row>
    <row r="239" spans="1:19" ht="13.8">
      <c r="A239" s="1330"/>
      <c r="B239" s="1330"/>
      <c r="C239" s="1330"/>
      <c r="D239" s="1346"/>
      <c r="E239" s="1337" t="s">
        <v>1020</v>
      </c>
      <c r="F239" s="1340"/>
      <c r="G239" s="1330"/>
      <c r="H239" s="1330">
        <f>'Part II-Development Team'!H21</f>
        <v>0</v>
      </c>
      <c r="I239" s="1348"/>
      <c r="J239" s="1348"/>
      <c r="K239" s="1348"/>
      <c r="L239" s="1348"/>
      <c r="M239" s="1348"/>
      <c r="N239" s="1348"/>
      <c r="O239" s="1337" t="s">
        <v>1746</v>
      </c>
      <c r="P239" s="1330"/>
      <c r="Q239" s="1330">
        <f>'Part II-Development Team'!Q21</f>
        <v>0</v>
      </c>
      <c r="R239" s="1348"/>
      <c r="S239" s="1348"/>
    </row>
    <row r="240" spans="1:19" ht="13.8">
      <c r="A240" s="1330"/>
      <c r="B240" s="1330"/>
      <c r="C240" s="1330"/>
      <c r="D240" s="1346"/>
      <c r="E240" s="1337" t="s">
        <v>617</v>
      </c>
      <c r="F240" s="1330"/>
      <c r="G240" s="1330"/>
      <c r="H240" s="1330">
        <f>'Part II-Development Team'!H22</f>
        <v>0</v>
      </c>
      <c r="I240" s="1348"/>
      <c r="J240" s="1348"/>
      <c r="K240" s="1334" t="s">
        <v>2703</v>
      </c>
      <c r="L240" s="1330">
        <f>'Part II-Development Team'!L22</f>
        <v>0</v>
      </c>
      <c r="M240" s="1348"/>
      <c r="N240" s="1348"/>
      <c r="O240" s="1337" t="s">
        <v>1720</v>
      </c>
      <c r="P240" s="1330"/>
      <c r="Q240" s="1799">
        <f>'Part II-Development Team'!Q22</f>
        <v>0</v>
      </c>
      <c r="R240" s="1799"/>
      <c r="S240" s="1799"/>
    </row>
    <row r="241" spans="1:19" ht="13.8">
      <c r="A241" s="1330"/>
      <c r="B241" s="1330"/>
      <c r="C241" s="1330"/>
      <c r="D241" s="1330"/>
      <c r="E241" s="1337" t="s">
        <v>1798</v>
      </c>
      <c r="F241" s="1330"/>
      <c r="G241" s="1330"/>
      <c r="H241" s="1337">
        <f>'Part II-Development Team'!H23</f>
        <v>0</v>
      </c>
      <c r="I241" s="1330"/>
      <c r="J241" s="1330"/>
      <c r="K241" s="1334" t="s">
        <v>2228</v>
      </c>
      <c r="L241" s="1798">
        <f>'Part II-Development Team'!L23</f>
        <v>0</v>
      </c>
      <c r="M241" s="1348"/>
      <c r="N241" s="1330"/>
      <c r="O241" s="1337" t="s">
        <v>1978</v>
      </c>
      <c r="P241" s="1330"/>
      <c r="Q241" s="1799">
        <f>'Part II-Development Team'!Q23</f>
        <v>0</v>
      </c>
      <c r="R241" s="1799"/>
      <c r="S241" s="1799"/>
    </row>
    <row r="242" spans="1:19" ht="13.8">
      <c r="A242" s="1330"/>
      <c r="B242" s="1330"/>
      <c r="C242" s="1330"/>
      <c r="D242" s="1346"/>
      <c r="E242" s="1337" t="s">
        <v>4254</v>
      </c>
      <c r="F242" s="1330"/>
      <c r="G242" s="1330"/>
      <c r="H242" s="1799">
        <f>'Part II-Development Team'!H24</f>
        <v>0</v>
      </c>
      <c r="I242" s="1799"/>
      <c r="J242" s="1344">
        <f>'Part II-Development Team'!J24</f>
        <v>0</v>
      </c>
      <c r="K242" s="1334" t="s">
        <v>1983</v>
      </c>
      <c r="L242" s="1706">
        <f>'Part II-Development Team'!L24</f>
        <v>0</v>
      </c>
      <c r="M242" s="1706"/>
      <c r="N242" s="1706"/>
      <c r="O242" s="1706"/>
      <c r="P242" s="1706"/>
      <c r="Q242" s="1706"/>
      <c r="R242" s="1706"/>
      <c r="S242" s="1706"/>
    </row>
    <row r="243" spans="1:19" ht="13.8">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ht="13.8">
      <c r="A244" s="1330"/>
      <c r="B244" s="1330"/>
      <c r="C244" s="1330"/>
      <c r="D244" s="1330" t="s">
        <v>1733</v>
      </c>
      <c r="E244" s="1330" t="s">
        <v>1856</v>
      </c>
      <c r="F244" s="1330"/>
      <c r="G244" s="1330"/>
      <c r="H244" s="1330">
        <f>'Part II-Development Team'!H26</f>
        <v>0</v>
      </c>
      <c r="I244" s="1348"/>
      <c r="J244" s="1348"/>
      <c r="K244" s="1348"/>
      <c r="L244" s="1348"/>
      <c r="M244" s="1348"/>
      <c r="N244" s="1348"/>
      <c r="O244" s="1337" t="s">
        <v>1988</v>
      </c>
      <c r="P244" s="1337"/>
      <c r="Q244" s="1330">
        <f>'Part II-Development Team'!Q26</f>
        <v>0</v>
      </c>
      <c r="R244" s="1348"/>
      <c r="S244" s="1348"/>
    </row>
    <row r="245" spans="1:19" ht="13.8">
      <c r="A245" s="1330"/>
      <c r="B245" s="1330"/>
      <c r="C245" s="1330"/>
      <c r="D245" s="1346"/>
      <c r="E245" s="1337" t="s">
        <v>1020</v>
      </c>
      <c r="F245" s="1340"/>
      <c r="G245" s="1330"/>
      <c r="H245" s="1330">
        <f>'Part II-Development Team'!H27</f>
        <v>0</v>
      </c>
      <c r="I245" s="1348"/>
      <c r="J245" s="1348"/>
      <c r="K245" s="1348"/>
      <c r="L245" s="1348"/>
      <c r="M245" s="1348"/>
      <c r="N245" s="1348"/>
      <c r="O245" s="1337" t="s">
        <v>1746</v>
      </c>
      <c r="P245" s="1330"/>
      <c r="Q245" s="1330">
        <f>'Part II-Development Team'!Q27</f>
        <v>0</v>
      </c>
      <c r="R245" s="1348"/>
      <c r="S245" s="1348"/>
    </row>
    <row r="246" spans="1:19" ht="13.8">
      <c r="A246" s="1330"/>
      <c r="B246" s="1330"/>
      <c r="C246" s="1330"/>
      <c r="D246" s="1346"/>
      <c r="E246" s="1337" t="s">
        <v>617</v>
      </c>
      <c r="F246" s="1330"/>
      <c r="G246" s="1330"/>
      <c r="H246" s="1330">
        <f>'Part II-Development Team'!H28</f>
        <v>0</v>
      </c>
      <c r="I246" s="1348"/>
      <c r="J246" s="1348"/>
      <c r="K246" s="1334" t="s">
        <v>2703</v>
      </c>
      <c r="L246" s="1330">
        <f>'Part II-Development Team'!L28</f>
        <v>0</v>
      </c>
      <c r="M246" s="1348"/>
      <c r="N246" s="1348"/>
      <c r="O246" s="1337" t="s">
        <v>1720</v>
      </c>
      <c r="P246" s="1330"/>
      <c r="Q246" s="1799">
        <f>'Part II-Development Team'!Q28</f>
        <v>0</v>
      </c>
      <c r="R246" s="1799"/>
      <c r="S246" s="1799"/>
    </row>
    <row r="247" spans="1:19" ht="13.8">
      <c r="A247" s="1330"/>
      <c r="B247" s="1330"/>
      <c r="C247" s="1330"/>
      <c r="D247" s="1330"/>
      <c r="E247" s="1337" t="s">
        <v>1798</v>
      </c>
      <c r="F247" s="1330"/>
      <c r="G247" s="1330"/>
      <c r="H247" s="1337">
        <f>'Part II-Development Team'!H29</f>
        <v>0</v>
      </c>
      <c r="I247" s="1330"/>
      <c r="J247" s="1330"/>
      <c r="K247" s="1334" t="s">
        <v>2228</v>
      </c>
      <c r="L247" s="1798">
        <f>'Part II-Development Team'!L29</f>
        <v>0</v>
      </c>
      <c r="M247" s="1348"/>
      <c r="N247" s="1330"/>
      <c r="O247" s="1337" t="s">
        <v>1978</v>
      </c>
      <c r="P247" s="1330"/>
      <c r="Q247" s="1799">
        <f>'Part II-Development Team'!Q29</f>
        <v>0</v>
      </c>
      <c r="R247" s="1799"/>
      <c r="S247" s="1799"/>
    </row>
    <row r="248" spans="1:19" ht="13.8">
      <c r="A248" s="1330"/>
      <c r="B248" s="1330"/>
      <c r="C248" s="1330"/>
      <c r="D248" s="1346"/>
      <c r="E248" s="1337" t="s">
        <v>4254</v>
      </c>
      <c r="F248" s="1330"/>
      <c r="G248" s="1330"/>
      <c r="H248" s="1799">
        <f>'Part II-Development Team'!H30</f>
        <v>0</v>
      </c>
      <c r="I248" s="1799"/>
      <c r="J248" s="1344">
        <f>'Part II-Development Team'!J30</f>
        <v>0</v>
      </c>
      <c r="K248" s="1334" t="s">
        <v>1983</v>
      </c>
      <c r="L248" s="1706">
        <f>'Part II-Development Team'!L30</f>
        <v>0</v>
      </c>
      <c r="M248" s="1706"/>
      <c r="N248" s="1706"/>
      <c r="O248" s="1706"/>
      <c r="P248" s="1706"/>
      <c r="Q248" s="1706"/>
      <c r="R248" s="1706"/>
      <c r="S248" s="1706"/>
    </row>
    <row r="249" spans="1:19" ht="13.8">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8">
      <c r="A250" s="1330"/>
      <c r="B250" s="1330"/>
      <c r="C250" s="2320" t="s">
        <v>1987</v>
      </c>
      <c r="D250" s="1348" t="s">
        <v>1858</v>
      </c>
      <c r="E250" s="1330"/>
      <c r="F250" s="1330"/>
      <c r="G250" s="1330"/>
      <c r="H250" s="1330"/>
      <c r="I250" s="1330"/>
      <c r="J250" s="1330"/>
      <c r="K250" s="1332" t="s">
        <v>4253</v>
      </c>
      <c r="L250" s="1330"/>
      <c r="M250" s="1330"/>
      <c r="N250" s="1330"/>
      <c r="O250" s="1330"/>
      <c r="P250" s="1330"/>
      <c r="Q250" s="1330"/>
      <c r="R250" s="1330"/>
      <c r="S250" s="1330"/>
    </row>
    <row r="251" spans="1:19" ht="13.8">
      <c r="A251" s="1330"/>
      <c r="B251" s="1330"/>
      <c r="C251" s="1330"/>
      <c r="D251" s="1330" t="s">
        <v>2115</v>
      </c>
      <c r="E251" s="1330" t="s">
        <v>749</v>
      </c>
      <c r="F251" s="1330"/>
      <c r="G251" s="1330"/>
      <c r="H251" s="1330" t="str">
        <f>'Part II-Development Team'!H33</f>
        <v>Regions Bank</v>
      </c>
      <c r="I251" s="1348"/>
      <c r="J251" s="1348"/>
      <c r="K251" s="1348"/>
      <c r="L251" s="1348"/>
      <c r="M251" s="1348"/>
      <c r="N251" s="1348"/>
      <c r="O251" s="1337" t="s">
        <v>1988</v>
      </c>
      <c r="P251" s="1337"/>
      <c r="Q251" s="1330" t="str">
        <f>'Part II-Development Team'!Q33</f>
        <v>Reed Dolihite</v>
      </c>
      <c r="R251" s="1348"/>
      <c r="S251" s="1348"/>
    </row>
    <row r="252" spans="1:19" ht="13.8">
      <c r="A252" s="1330"/>
      <c r="B252" s="1330"/>
      <c r="C252" s="1330"/>
      <c r="D252" s="1346"/>
      <c r="E252" s="1337" t="s">
        <v>1020</v>
      </c>
      <c r="F252" s="1340"/>
      <c r="G252" s="1330"/>
      <c r="H252" s="1330" t="str">
        <f>'Part II-Development Team'!H34</f>
        <v>1900 5th Ave North</v>
      </c>
      <c r="I252" s="1348"/>
      <c r="J252" s="1348"/>
      <c r="K252" s="1348"/>
      <c r="L252" s="1348"/>
      <c r="M252" s="1348"/>
      <c r="N252" s="1348"/>
      <c r="O252" s="1337" t="s">
        <v>1746</v>
      </c>
      <c r="P252" s="1330"/>
      <c r="Q252" s="1330" t="str">
        <f>'Part II-Development Team'!Q34</f>
        <v>VP Regions Affrdbl Hsng</v>
      </c>
      <c r="R252" s="1348"/>
      <c r="S252" s="1348"/>
    </row>
    <row r="253" spans="1:19" ht="13.8">
      <c r="A253" s="1330"/>
      <c r="B253" s="1330"/>
      <c r="C253" s="1330"/>
      <c r="D253" s="1346"/>
      <c r="E253" s="1337" t="s">
        <v>617</v>
      </c>
      <c r="F253" s="1330"/>
      <c r="G253" s="1330"/>
      <c r="H253" s="1330" t="str">
        <f>'Part II-Development Team'!H35</f>
        <v>Birmingham</v>
      </c>
      <c r="I253" s="1348"/>
      <c r="J253" s="1348"/>
      <c r="K253" s="1334" t="s">
        <v>2703</v>
      </c>
      <c r="L253" s="1330">
        <f>'Part II-Development Team'!L35</f>
        <v>0</v>
      </c>
      <c r="M253" s="1348"/>
      <c r="N253" s="1348"/>
      <c r="O253" s="1337" t="s">
        <v>1720</v>
      </c>
      <c r="P253" s="1330"/>
      <c r="Q253" s="1799">
        <f>'Part II-Development Team'!Q35</f>
        <v>2052644017</v>
      </c>
      <c r="R253" s="1799"/>
      <c r="S253" s="1799"/>
    </row>
    <row r="254" spans="1:19" ht="13.8">
      <c r="A254" s="1330"/>
      <c r="B254" s="1330"/>
      <c r="C254" s="1330"/>
      <c r="D254" s="1330"/>
      <c r="E254" s="1337" t="s">
        <v>1798</v>
      </c>
      <c r="F254" s="1330"/>
      <c r="G254" s="1330"/>
      <c r="H254" s="1337" t="str">
        <f>'Part II-Development Team'!H36</f>
        <v>AL</v>
      </c>
      <c r="I254" s="1330"/>
      <c r="J254" s="1330"/>
      <c r="K254" s="1334" t="s">
        <v>2228</v>
      </c>
      <c r="L254" s="1798">
        <f>'Part II-Development Team'!L36</f>
        <v>352032610</v>
      </c>
      <c r="M254" s="1348"/>
      <c r="N254" s="1330"/>
      <c r="O254" s="1337" t="s">
        <v>1978</v>
      </c>
      <c r="P254" s="1330"/>
      <c r="Q254" s="1799">
        <f>'Part II-Development Team'!Q36</f>
        <v>0</v>
      </c>
      <c r="R254" s="1799"/>
      <c r="S254" s="1799"/>
    </row>
    <row r="255" spans="1:19" ht="13.8">
      <c r="A255" s="1330"/>
      <c r="B255" s="1330"/>
      <c r="C255" s="1330"/>
      <c r="D255" s="1346"/>
      <c r="E255" s="1337" t="s">
        <v>4254</v>
      </c>
      <c r="F255" s="1330"/>
      <c r="G255" s="1330"/>
      <c r="H255" s="1799">
        <f>'Part II-Development Team'!H37</f>
        <v>2052644017</v>
      </c>
      <c r="I255" s="1799"/>
      <c r="J255" s="1344">
        <f>'Part II-Development Team'!J37</f>
        <v>0</v>
      </c>
      <c r="K255" s="1334" t="s">
        <v>1983</v>
      </c>
      <c r="L255" s="1706" t="str">
        <f>'Part II-Development Team'!L37</f>
        <v>reed.dolihite@regions.com</v>
      </c>
      <c r="M255" s="1706"/>
      <c r="N255" s="1706"/>
      <c r="O255" s="1706"/>
      <c r="P255" s="1706"/>
      <c r="Q255" s="1706"/>
      <c r="R255" s="1706"/>
      <c r="S255" s="1706"/>
    </row>
    <row r="256" spans="1:19" ht="13.8">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ht="13.8">
      <c r="A257" s="1330"/>
      <c r="B257" s="1330"/>
      <c r="C257" s="1330"/>
      <c r="D257" s="1330" t="s">
        <v>2116</v>
      </c>
      <c r="E257" s="1330" t="s">
        <v>750</v>
      </c>
      <c r="F257" s="1330"/>
      <c r="G257" s="1330"/>
      <c r="H257" s="1330" t="str">
        <f>'Part II-Development Team'!H39</f>
        <v>Sugar Creek Capital</v>
      </c>
      <c r="I257" s="1348"/>
      <c r="J257" s="1348"/>
      <c r="K257" s="1348"/>
      <c r="L257" s="1348"/>
      <c r="M257" s="1348"/>
      <c r="N257" s="1348"/>
      <c r="O257" s="1337" t="s">
        <v>1988</v>
      </c>
      <c r="P257" s="1337"/>
      <c r="Q257" s="1330" t="str">
        <f>'Part II-Development Team'!Q39</f>
        <v>Louis Bosso</v>
      </c>
      <c r="R257" s="1348"/>
      <c r="S257" s="1348"/>
    </row>
    <row r="258" spans="1:19" ht="13.8">
      <c r="A258" s="1330"/>
      <c r="B258" s="1330"/>
      <c r="C258" s="1330"/>
      <c r="D258" s="1346"/>
      <c r="E258" s="1337" t="s">
        <v>1020</v>
      </c>
      <c r="F258" s="1340"/>
      <c r="G258" s="1330"/>
      <c r="H258" s="1330" t="str">
        <f>'Part II-Development Team'!H40</f>
        <v>1819 Peachtree Road NE Suite 230</v>
      </c>
      <c r="I258" s="1348"/>
      <c r="J258" s="1348"/>
      <c r="K258" s="1348"/>
      <c r="L258" s="1348"/>
      <c r="M258" s="1348"/>
      <c r="N258" s="1348"/>
      <c r="O258" s="1337" t="s">
        <v>1746</v>
      </c>
      <c r="P258" s="1330"/>
      <c r="Q258" s="1330" t="str">
        <f>'Part II-Development Team'!Q40</f>
        <v>State Equity Director</v>
      </c>
      <c r="R258" s="1348"/>
      <c r="S258" s="1348"/>
    </row>
    <row r="259" spans="1:19" ht="13.8">
      <c r="A259" s="1330"/>
      <c r="B259" s="1330"/>
      <c r="C259" s="1330"/>
      <c r="D259" s="1346"/>
      <c r="E259" s="1337" t="s">
        <v>617</v>
      </c>
      <c r="F259" s="1330"/>
      <c r="G259" s="1330"/>
      <c r="H259" s="1330" t="str">
        <f>'Part II-Development Team'!H41</f>
        <v>Atlanta</v>
      </c>
      <c r="I259" s="1348"/>
      <c r="J259" s="1348"/>
      <c r="K259" s="1334" t="s">
        <v>2703</v>
      </c>
      <c r="L259" s="1330">
        <f>'Part II-Development Team'!L41</f>
        <v>0</v>
      </c>
      <c r="M259" s="1348"/>
      <c r="N259" s="1348"/>
      <c r="O259" s="1337" t="s">
        <v>1720</v>
      </c>
      <c r="P259" s="1330"/>
      <c r="Q259" s="1799">
        <f>'Part II-Development Team'!Q41</f>
        <v>3145616818</v>
      </c>
      <c r="R259" s="1799"/>
      <c r="S259" s="1799"/>
    </row>
    <row r="260" spans="1:19" ht="13.8">
      <c r="A260" s="1330"/>
      <c r="B260" s="1330"/>
      <c r="C260" s="1330"/>
      <c r="D260" s="1330"/>
      <c r="E260" s="1337" t="s">
        <v>1798</v>
      </c>
      <c r="F260" s="1330"/>
      <c r="G260" s="1330"/>
      <c r="H260" s="1337" t="str">
        <f>'Part II-Development Team'!H42</f>
        <v>GA</v>
      </c>
      <c r="I260" s="1330"/>
      <c r="J260" s="1330"/>
      <c r="K260" s="1334" t="s">
        <v>2228</v>
      </c>
      <c r="L260" s="1798">
        <f>'Part II-Development Team'!L42</f>
        <v>303091857</v>
      </c>
      <c r="M260" s="1348"/>
      <c r="N260" s="1330"/>
      <c r="O260" s="1337" t="s">
        <v>1978</v>
      </c>
      <c r="P260" s="1330"/>
      <c r="Q260" s="1799">
        <f>'Part II-Development Team'!Q42</f>
        <v>0</v>
      </c>
      <c r="R260" s="1799"/>
      <c r="S260" s="1799"/>
    </row>
    <row r="261" spans="1:19" ht="13.8">
      <c r="A261" s="1330"/>
      <c r="B261" s="1330"/>
      <c r="C261" s="1330"/>
      <c r="D261" s="1346"/>
      <c r="E261" s="1337" t="s">
        <v>4254</v>
      </c>
      <c r="F261" s="1330"/>
      <c r="G261" s="1330"/>
      <c r="H261" s="1799">
        <f>'Part II-Development Team'!H43</f>
        <v>3145616818</v>
      </c>
      <c r="I261" s="1799"/>
      <c r="J261" s="1344">
        <f>'Part II-Development Team'!J43</f>
        <v>0</v>
      </c>
      <c r="K261" s="1334" t="s">
        <v>1983</v>
      </c>
      <c r="L261" s="1706" t="str">
        <f>'Part II-Development Team'!L43</f>
        <v>lbosso@sugarcreekcapital.com</v>
      </c>
      <c r="M261" s="1706"/>
      <c r="N261" s="1706"/>
      <c r="O261" s="1706"/>
      <c r="P261" s="1706"/>
      <c r="Q261" s="1706"/>
      <c r="R261" s="1706"/>
      <c r="S261" s="1706"/>
    </row>
    <row r="262" spans="1:19" ht="13.8">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8">
      <c r="A263" s="1330"/>
      <c r="B263" s="1330"/>
      <c r="C263" s="2321" t="s">
        <v>2533</v>
      </c>
      <c r="D263" s="1348" t="s">
        <v>650</v>
      </c>
      <c r="E263" s="1330"/>
      <c r="F263" s="1330"/>
      <c r="G263" s="1330"/>
      <c r="H263" s="1330"/>
      <c r="I263" s="1330"/>
      <c r="J263" s="1330"/>
      <c r="K263" s="1332" t="s">
        <v>4253</v>
      </c>
      <c r="L263" s="1330"/>
      <c r="M263" s="1330"/>
      <c r="N263" s="1330"/>
      <c r="O263" s="1330"/>
      <c r="P263" s="1330"/>
      <c r="Q263" s="1330"/>
      <c r="R263" s="1330"/>
      <c r="S263" s="1330"/>
    </row>
    <row r="264" spans="1:19" ht="13.8">
      <c r="A264" s="1330"/>
      <c r="B264" s="1330"/>
      <c r="C264" s="1330"/>
      <c r="D264" s="1330"/>
      <c r="E264" s="1330" t="s">
        <v>92</v>
      </c>
      <c r="F264" s="1330"/>
      <c r="G264" s="1330"/>
      <c r="H264" s="1330">
        <f>'Part II-Development Team'!H46</f>
        <v>0</v>
      </c>
      <c r="I264" s="1348"/>
      <c r="J264" s="1348"/>
      <c r="K264" s="1348"/>
      <c r="L264" s="1348"/>
      <c r="M264" s="1348"/>
      <c r="N264" s="1348"/>
      <c r="O264" s="1337" t="s">
        <v>1988</v>
      </c>
      <c r="P264" s="1337"/>
      <c r="Q264" s="1330">
        <f>'Part II-Development Team'!Q46</f>
        <v>0</v>
      </c>
      <c r="R264" s="1348"/>
      <c r="S264" s="1348"/>
    </row>
    <row r="265" spans="1:19" ht="13.8">
      <c r="A265" s="1330"/>
      <c r="B265" s="1330"/>
      <c r="C265" s="1330"/>
      <c r="D265" s="1346"/>
      <c r="E265" s="1337" t="s">
        <v>1020</v>
      </c>
      <c r="F265" s="1340"/>
      <c r="G265" s="1330"/>
      <c r="H265" s="1330">
        <f>'Part II-Development Team'!H47</f>
        <v>0</v>
      </c>
      <c r="I265" s="1348"/>
      <c r="J265" s="1348"/>
      <c r="K265" s="1348"/>
      <c r="L265" s="1348"/>
      <c r="M265" s="1348"/>
      <c r="N265" s="1348"/>
      <c r="O265" s="1337" t="s">
        <v>1746</v>
      </c>
      <c r="P265" s="1330"/>
      <c r="Q265" s="1330">
        <f>'Part II-Development Team'!Q47</f>
        <v>0</v>
      </c>
      <c r="R265" s="1348"/>
      <c r="S265" s="1348"/>
    </row>
    <row r="266" spans="1:19" ht="13.8">
      <c r="A266" s="1330"/>
      <c r="B266" s="1330"/>
      <c r="C266" s="1330"/>
      <c r="D266" s="1346"/>
      <c r="E266" s="1337" t="s">
        <v>617</v>
      </c>
      <c r="F266" s="1330"/>
      <c r="G266" s="1330"/>
      <c r="H266" s="1330">
        <f>'Part II-Development Team'!H48</f>
        <v>0</v>
      </c>
      <c r="I266" s="1348"/>
      <c r="J266" s="1348"/>
      <c r="K266" s="1334" t="s">
        <v>2703</v>
      </c>
      <c r="L266" s="1330">
        <f>'Part II-Development Team'!L48</f>
        <v>0</v>
      </c>
      <c r="M266" s="1348"/>
      <c r="N266" s="1348"/>
      <c r="O266" s="1337" t="s">
        <v>1720</v>
      </c>
      <c r="P266" s="1330"/>
      <c r="Q266" s="1799">
        <f>'Part II-Development Team'!Q48</f>
        <v>0</v>
      </c>
      <c r="R266" s="1799"/>
      <c r="S266" s="1799"/>
    </row>
    <row r="267" spans="1:19" ht="13.8">
      <c r="A267" s="1330"/>
      <c r="B267" s="1330"/>
      <c r="C267" s="1330"/>
      <c r="D267" s="1330"/>
      <c r="E267" s="1337" t="s">
        <v>1798</v>
      </c>
      <c r="F267" s="1330"/>
      <c r="G267" s="1330"/>
      <c r="H267" s="1337">
        <f>'Part II-Development Team'!H49</f>
        <v>0</v>
      </c>
      <c r="I267" s="1330"/>
      <c r="J267" s="1330"/>
      <c r="K267" s="1334" t="s">
        <v>2228</v>
      </c>
      <c r="L267" s="1798">
        <f>'Part II-Development Team'!L49</f>
        <v>0</v>
      </c>
      <c r="M267" s="1348"/>
      <c r="N267" s="1330"/>
      <c r="O267" s="1337" t="s">
        <v>1978</v>
      </c>
      <c r="P267" s="1330"/>
      <c r="Q267" s="1799">
        <f>'Part II-Development Team'!Q49</f>
        <v>0</v>
      </c>
      <c r="R267" s="1799"/>
      <c r="S267" s="1799"/>
    </row>
    <row r="268" spans="1:19" ht="13.8">
      <c r="A268" s="1330"/>
      <c r="B268" s="1330"/>
      <c r="C268" s="1330"/>
      <c r="D268" s="1346"/>
      <c r="E268" s="1337" t="s">
        <v>4254</v>
      </c>
      <c r="F268" s="1330"/>
      <c r="G268" s="1330"/>
      <c r="H268" s="1799">
        <f>'Part II-Development Team'!H50</f>
        <v>0</v>
      </c>
      <c r="I268" s="1799"/>
      <c r="J268" s="1344">
        <f>'Part II-Development Team'!J50</f>
        <v>0</v>
      </c>
      <c r="K268" s="1334" t="s">
        <v>1983</v>
      </c>
      <c r="L268" s="1706">
        <f>'Part II-Development Team'!L50</f>
        <v>0</v>
      </c>
      <c r="M268" s="1706"/>
      <c r="N268" s="1706"/>
      <c r="O268" s="1706"/>
      <c r="P268" s="1706"/>
      <c r="Q268" s="1706"/>
      <c r="R268" s="1706"/>
      <c r="S268" s="1706"/>
    </row>
    <row r="269" spans="1:19" ht="13.8">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8">
      <c r="A270" s="1330" t="s">
        <v>739</v>
      </c>
      <c r="B270" s="1330" t="s">
        <v>651</v>
      </c>
      <c r="C270" s="1330"/>
      <c r="D270" s="1330"/>
      <c r="E270" s="1330"/>
      <c r="F270" s="1330"/>
      <c r="G270" s="1334"/>
      <c r="H270" s="1334"/>
      <c r="I270" s="1334"/>
      <c r="J270" s="1330"/>
      <c r="K270" s="1332" t="s">
        <v>4253</v>
      </c>
      <c r="L270" s="1330"/>
      <c r="M270" s="1330"/>
      <c r="N270" s="1330"/>
      <c r="O270" s="1330"/>
      <c r="P270" s="1330"/>
      <c r="Q270" s="1330"/>
      <c r="R270" s="1330"/>
      <c r="S270" s="1330"/>
    </row>
    <row r="271" spans="1:19" ht="13.8">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ht="13.8">
      <c r="A272" s="1330"/>
      <c r="B272" s="1330" t="s">
        <v>1982</v>
      </c>
      <c r="C272" s="1330" t="s">
        <v>282</v>
      </c>
      <c r="D272" s="1330"/>
      <c r="E272" s="1330"/>
      <c r="F272" s="1330"/>
      <c r="G272" s="1330"/>
      <c r="H272" s="1330" t="str">
        <f>'Part II-Development Team'!H54</f>
        <v xml:space="preserve">Olympia Construction, Inc. </v>
      </c>
      <c r="I272" s="1348"/>
      <c r="J272" s="1348"/>
      <c r="K272" s="1348"/>
      <c r="L272" s="1348"/>
      <c r="M272" s="1348"/>
      <c r="N272" s="1348"/>
      <c r="O272" s="1337" t="s">
        <v>1988</v>
      </c>
      <c r="P272" s="1337"/>
      <c r="Q272" s="1330" t="str">
        <f>'Part II-Development Team'!Q54</f>
        <v>Jeff Beaver</v>
      </c>
      <c r="R272" s="1348"/>
      <c r="S272" s="1348"/>
    </row>
    <row r="273" spans="1:19" ht="13.8">
      <c r="A273" s="1330"/>
      <c r="B273" s="1330"/>
      <c r="C273" s="1330"/>
      <c r="D273" s="1346"/>
      <c r="E273" s="1337" t="s">
        <v>1020</v>
      </c>
      <c r="F273" s="1340"/>
      <c r="G273" s="1330"/>
      <c r="H273" s="1330" t="str">
        <f>'Part II-Development Team'!H55</f>
        <v>404 E McKinney Ave</v>
      </c>
      <c r="I273" s="1348"/>
      <c r="J273" s="1348"/>
      <c r="K273" s="1348"/>
      <c r="L273" s="1348"/>
      <c r="M273" s="1348"/>
      <c r="N273" s="1348"/>
      <c r="O273" s="1337" t="s">
        <v>1746</v>
      </c>
      <c r="P273" s="1330"/>
      <c r="Q273" s="1330" t="str">
        <f>'Part II-Development Team'!Q55</f>
        <v>President</v>
      </c>
      <c r="R273" s="1348"/>
      <c r="S273" s="1348"/>
    </row>
    <row r="274" spans="1:19" ht="13.8">
      <c r="A274" s="1330"/>
      <c r="B274" s="1330"/>
      <c r="C274" s="1330"/>
      <c r="D274" s="1346"/>
      <c r="E274" s="1337" t="s">
        <v>617</v>
      </c>
      <c r="F274" s="1330"/>
      <c r="G274" s="1330"/>
      <c r="H274" s="1330" t="str">
        <f>'Part II-Development Team'!H56</f>
        <v>Albertville</v>
      </c>
      <c r="I274" s="1348"/>
      <c r="J274" s="1348"/>
      <c r="K274" s="1334" t="s">
        <v>2703</v>
      </c>
      <c r="L274" s="1330" t="str">
        <f>'Part II-Development Team'!L56</f>
        <v>olympiaconstruction.net</v>
      </c>
      <c r="M274" s="1348"/>
      <c r="N274" s="1348"/>
      <c r="O274" s="1337" t="s">
        <v>1720</v>
      </c>
      <c r="P274" s="1330"/>
      <c r="Q274" s="1799">
        <f>'Part II-Development Team'!Q56</f>
        <v>2568786054</v>
      </c>
      <c r="R274" s="1799"/>
      <c r="S274" s="1799"/>
    </row>
    <row r="275" spans="1:19" ht="13.8">
      <c r="A275" s="1330"/>
      <c r="B275" s="1330"/>
      <c r="C275" s="1330"/>
      <c r="D275" s="1330"/>
      <c r="E275" s="1337" t="s">
        <v>1798</v>
      </c>
      <c r="F275" s="1330"/>
      <c r="G275" s="1330"/>
      <c r="H275" s="1337" t="str">
        <f>'Part II-Development Team'!H57</f>
        <v>AL</v>
      </c>
      <c r="I275" s="1330"/>
      <c r="J275" s="1330"/>
      <c r="K275" s="1334" t="s">
        <v>2228</v>
      </c>
      <c r="L275" s="1798">
        <f>'Part II-Development Team'!L57</f>
        <v>359501832</v>
      </c>
      <c r="M275" s="1348"/>
      <c r="N275" s="1330"/>
      <c r="O275" s="1337" t="s">
        <v>1978</v>
      </c>
      <c r="P275" s="1330"/>
      <c r="Q275" s="1799">
        <f>'Part II-Development Team'!Q57</f>
        <v>0</v>
      </c>
      <c r="R275" s="1799"/>
      <c r="S275" s="1799"/>
    </row>
    <row r="276" spans="1:19" ht="13.8">
      <c r="A276" s="1330"/>
      <c r="B276" s="1330"/>
      <c r="C276" s="1330"/>
      <c r="D276" s="1346"/>
      <c r="E276" s="1337" t="s">
        <v>4254</v>
      </c>
      <c r="F276" s="1330"/>
      <c r="G276" s="1330"/>
      <c r="H276" s="1799">
        <f>'Part II-Development Team'!H58</f>
        <v>2568786054</v>
      </c>
      <c r="I276" s="1799"/>
      <c r="J276" s="1344">
        <f>'Part II-Development Team'!J58</f>
        <v>0</v>
      </c>
      <c r="K276" s="1334" t="s">
        <v>1983</v>
      </c>
      <c r="L276" s="1706" t="str">
        <f>'Part II-Development Team'!L58</f>
        <v>jeff@olympiaconstruction.net</v>
      </c>
      <c r="M276" s="1706"/>
      <c r="N276" s="1706"/>
      <c r="O276" s="1706"/>
      <c r="P276" s="1706"/>
      <c r="Q276" s="1706"/>
      <c r="R276" s="1706"/>
      <c r="S276" s="1706"/>
    </row>
    <row r="277" spans="1:19" ht="13.8">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ht="13.8">
      <c r="A278" s="1330"/>
      <c r="B278" s="1330" t="s">
        <v>1984</v>
      </c>
      <c r="C278" s="1330" t="s">
        <v>283</v>
      </c>
      <c r="D278" s="1330"/>
      <c r="E278" s="1330"/>
      <c r="F278" s="1330"/>
      <c r="G278" s="1330"/>
      <c r="H278" s="1330">
        <f>'Part II-Development Team'!H60</f>
        <v>0</v>
      </c>
      <c r="I278" s="1348"/>
      <c r="J278" s="1348"/>
      <c r="K278" s="1348"/>
      <c r="L278" s="1348"/>
      <c r="M278" s="1348"/>
      <c r="N278" s="1348"/>
      <c r="O278" s="1337" t="s">
        <v>1988</v>
      </c>
      <c r="P278" s="1337"/>
      <c r="Q278" s="1330">
        <f>'Part II-Development Team'!Q60</f>
        <v>0</v>
      </c>
      <c r="R278" s="1348"/>
      <c r="S278" s="1348"/>
    </row>
    <row r="279" spans="1:19" ht="13.8">
      <c r="A279" s="1330"/>
      <c r="B279" s="1330"/>
      <c r="C279" s="1330"/>
      <c r="D279" s="1346"/>
      <c r="E279" s="1337" t="s">
        <v>1020</v>
      </c>
      <c r="F279" s="1340"/>
      <c r="G279" s="1330"/>
      <c r="H279" s="1330">
        <f>'Part II-Development Team'!H61</f>
        <v>0</v>
      </c>
      <c r="I279" s="1348"/>
      <c r="J279" s="1348"/>
      <c r="K279" s="1348"/>
      <c r="L279" s="1348"/>
      <c r="M279" s="1348"/>
      <c r="N279" s="1348"/>
      <c r="O279" s="1337" t="s">
        <v>1746</v>
      </c>
      <c r="P279" s="1330"/>
      <c r="Q279" s="1330">
        <f>'Part II-Development Team'!Q61</f>
        <v>0</v>
      </c>
      <c r="R279" s="1348"/>
      <c r="S279" s="1348"/>
    </row>
    <row r="280" spans="1:19" ht="13.8">
      <c r="A280" s="1330"/>
      <c r="B280" s="1330"/>
      <c r="C280" s="1330"/>
      <c r="D280" s="1346"/>
      <c r="E280" s="1337" t="s">
        <v>617</v>
      </c>
      <c r="F280" s="1330"/>
      <c r="G280" s="1330"/>
      <c r="H280" s="1330">
        <f>'Part II-Development Team'!H62</f>
        <v>0</v>
      </c>
      <c r="I280" s="1348"/>
      <c r="J280" s="1348"/>
      <c r="K280" s="1334" t="s">
        <v>2703</v>
      </c>
      <c r="L280" s="1330">
        <f>'Part II-Development Team'!L62</f>
        <v>0</v>
      </c>
      <c r="M280" s="1348"/>
      <c r="N280" s="1348"/>
      <c r="O280" s="1337" t="s">
        <v>1720</v>
      </c>
      <c r="P280" s="1330"/>
      <c r="Q280" s="1799">
        <f>'Part II-Development Team'!Q62</f>
        <v>0</v>
      </c>
      <c r="R280" s="1799"/>
      <c r="S280" s="1799"/>
    </row>
    <row r="281" spans="1:19" ht="13.8">
      <c r="A281" s="1330"/>
      <c r="B281" s="1330"/>
      <c r="C281" s="1330"/>
      <c r="D281" s="1330"/>
      <c r="E281" s="1337" t="s">
        <v>1798</v>
      </c>
      <c r="F281" s="1330"/>
      <c r="G281" s="1330"/>
      <c r="H281" s="1337">
        <f>'Part II-Development Team'!H63</f>
        <v>0</v>
      </c>
      <c r="I281" s="1330"/>
      <c r="J281" s="1330"/>
      <c r="K281" s="1334" t="s">
        <v>2228</v>
      </c>
      <c r="L281" s="1798">
        <f>'Part II-Development Team'!L63</f>
        <v>0</v>
      </c>
      <c r="M281" s="1348"/>
      <c r="N281" s="1330"/>
      <c r="O281" s="1337" t="s">
        <v>1978</v>
      </c>
      <c r="P281" s="1330"/>
      <c r="Q281" s="1799">
        <f>'Part II-Development Team'!Q63</f>
        <v>0</v>
      </c>
      <c r="R281" s="1799"/>
      <c r="S281" s="1799"/>
    </row>
    <row r="282" spans="1:19" ht="13.8">
      <c r="A282" s="1330"/>
      <c r="B282" s="1330"/>
      <c r="C282" s="1330"/>
      <c r="D282" s="1346"/>
      <c r="E282" s="1337" t="s">
        <v>4254</v>
      </c>
      <c r="F282" s="1330"/>
      <c r="G282" s="1330"/>
      <c r="H282" s="1799">
        <f>'Part II-Development Team'!H64</f>
        <v>0</v>
      </c>
      <c r="I282" s="1799"/>
      <c r="J282" s="1344">
        <f>'Part II-Development Team'!J64</f>
        <v>0</v>
      </c>
      <c r="K282" s="1334" t="s">
        <v>1983</v>
      </c>
      <c r="L282" s="1706">
        <f>'Part II-Development Team'!L64</f>
        <v>0</v>
      </c>
      <c r="M282" s="1706"/>
      <c r="N282" s="1706"/>
      <c r="O282" s="1706"/>
      <c r="P282" s="1706"/>
      <c r="Q282" s="1706"/>
      <c r="R282" s="1706"/>
      <c r="S282" s="1706"/>
    </row>
    <row r="283" spans="1:19" ht="13.8">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ht="13.8">
      <c r="A284" s="1330"/>
      <c r="B284" s="1330" t="s">
        <v>748</v>
      </c>
      <c r="C284" s="1330" t="s">
        <v>1527</v>
      </c>
      <c r="D284" s="1330"/>
      <c r="E284" s="1330"/>
      <c r="F284" s="1330"/>
      <c r="G284" s="1330"/>
      <c r="H284" s="1330">
        <f>'Part II-Development Team'!H66</f>
        <v>0</v>
      </c>
      <c r="I284" s="1348"/>
      <c r="J284" s="1348"/>
      <c r="K284" s="1348"/>
      <c r="L284" s="1348"/>
      <c r="M284" s="1348"/>
      <c r="N284" s="1348"/>
      <c r="O284" s="1337" t="s">
        <v>1988</v>
      </c>
      <c r="P284" s="1337"/>
      <c r="Q284" s="1330">
        <f>'Part II-Development Team'!Q66</f>
        <v>0</v>
      </c>
      <c r="R284" s="1348"/>
      <c r="S284" s="1348"/>
    </row>
    <row r="285" spans="1:19" ht="13.8">
      <c r="A285" s="1330"/>
      <c r="B285" s="1330"/>
      <c r="C285" s="1330"/>
      <c r="D285" s="1346"/>
      <c r="E285" s="1337" t="s">
        <v>1020</v>
      </c>
      <c r="F285" s="1340"/>
      <c r="G285" s="1330"/>
      <c r="H285" s="1330">
        <f>'Part II-Development Team'!H67</f>
        <v>0</v>
      </c>
      <c r="I285" s="1348"/>
      <c r="J285" s="1348"/>
      <c r="K285" s="1348"/>
      <c r="L285" s="1348"/>
      <c r="M285" s="1348"/>
      <c r="N285" s="1348"/>
      <c r="O285" s="1337" t="s">
        <v>1746</v>
      </c>
      <c r="P285" s="1330"/>
      <c r="Q285" s="1330">
        <f>'Part II-Development Team'!Q67</f>
        <v>0</v>
      </c>
      <c r="R285" s="1348"/>
      <c r="S285" s="1348"/>
    </row>
    <row r="286" spans="1:19" ht="13.8">
      <c r="A286" s="1330"/>
      <c r="B286" s="1330"/>
      <c r="C286" s="1330"/>
      <c r="D286" s="1346"/>
      <c r="E286" s="1337" t="s">
        <v>617</v>
      </c>
      <c r="F286" s="1330"/>
      <c r="G286" s="1330"/>
      <c r="H286" s="1330">
        <f>'Part II-Development Team'!H68</f>
        <v>0</v>
      </c>
      <c r="I286" s="1348"/>
      <c r="J286" s="1348"/>
      <c r="K286" s="1334" t="s">
        <v>2703</v>
      </c>
      <c r="L286" s="1330">
        <f>'Part II-Development Team'!L68</f>
        <v>0</v>
      </c>
      <c r="M286" s="1348"/>
      <c r="N286" s="1348"/>
      <c r="O286" s="1337" t="s">
        <v>1720</v>
      </c>
      <c r="P286" s="1330"/>
      <c r="Q286" s="1799">
        <f>'Part II-Development Team'!Q68</f>
        <v>0</v>
      </c>
      <c r="R286" s="1799"/>
      <c r="S286" s="1799"/>
    </row>
    <row r="287" spans="1:19" ht="13.8">
      <c r="A287" s="1330"/>
      <c r="B287" s="1330"/>
      <c r="C287" s="1330"/>
      <c r="D287" s="1330"/>
      <c r="E287" s="1337" t="s">
        <v>1798</v>
      </c>
      <c r="F287" s="1330"/>
      <c r="G287" s="1330"/>
      <c r="H287" s="1337">
        <f>'Part II-Development Team'!H69</f>
        <v>0</v>
      </c>
      <c r="I287" s="1330"/>
      <c r="J287" s="1330"/>
      <c r="K287" s="1334" t="s">
        <v>2228</v>
      </c>
      <c r="L287" s="1798">
        <f>'Part II-Development Team'!L69</f>
        <v>0</v>
      </c>
      <c r="M287" s="1348"/>
      <c r="N287" s="1330"/>
      <c r="O287" s="1337" t="s">
        <v>1978</v>
      </c>
      <c r="P287" s="1330"/>
      <c r="Q287" s="1799">
        <f>'Part II-Development Team'!Q69</f>
        <v>0</v>
      </c>
      <c r="R287" s="1799"/>
      <c r="S287" s="1799"/>
    </row>
    <row r="288" spans="1:19" ht="13.8">
      <c r="A288" s="1330"/>
      <c r="B288" s="1330"/>
      <c r="C288" s="1330"/>
      <c r="D288" s="1346"/>
      <c r="E288" s="1337" t="s">
        <v>4254</v>
      </c>
      <c r="F288" s="1330"/>
      <c r="G288" s="1330"/>
      <c r="H288" s="1799">
        <f>'Part II-Development Team'!H70</f>
        <v>0</v>
      </c>
      <c r="I288" s="1799"/>
      <c r="J288" s="1344">
        <f>'Part II-Development Team'!J70</f>
        <v>0</v>
      </c>
      <c r="K288" s="1334" t="s">
        <v>1983</v>
      </c>
      <c r="L288" s="1706">
        <f>'Part II-Development Team'!L70</f>
        <v>0</v>
      </c>
      <c r="M288" s="1706"/>
      <c r="N288" s="1706"/>
      <c r="O288" s="1706"/>
      <c r="P288" s="1706"/>
      <c r="Q288" s="1706"/>
      <c r="R288" s="1706"/>
      <c r="S288" s="1706"/>
    </row>
    <row r="289" spans="1:19" ht="13.8">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ht="13.8">
      <c r="A290" s="1330"/>
      <c r="B290" s="1330" t="s">
        <v>2114</v>
      </c>
      <c r="C290" s="1330" t="s">
        <v>284</v>
      </c>
      <c r="D290" s="1330"/>
      <c r="E290" s="1330"/>
      <c r="F290" s="1330"/>
      <c r="G290" s="1330"/>
      <c r="H290" s="1330">
        <f>'Part II-Development Team'!H72</f>
        <v>0</v>
      </c>
      <c r="I290" s="1348"/>
      <c r="J290" s="1348"/>
      <c r="K290" s="1348"/>
      <c r="L290" s="1348"/>
      <c r="M290" s="1348"/>
      <c r="N290" s="1348"/>
      <c r="O290" s="1337" t="s">
        <v>1988</v>
      </c>
      <c r="P290" s="1337"/>
      <c r="Q290" s="1330">
        <f>'Part II-Development Team'!Q72</f>
        <v>0</v>
      </c>
      <c r="R290" s="1348"/>
      <c r="S290" s="1348"/>
    </row>
    <row r="291" spans="1:19" ht="13.8">
      <c r="A291" s="1330"/>
      <c r="B291" s="1330"/>
      <c r="C291" s="1330"/>
      <c r="D291" s="1346"/>
      <c r="E291" s="1337" t="s">
        <v>1020</v>
      </c>
      <c r="F291" s="1340"/>
      <c r="G291" s="1330"/>
      <c r="H291" s="1330">
        <f>'Part II-Development Team'!H73</f>
        <v>0</v>
      </c>
      <c r="I291" s="1348"/>
      <c r="J291" s="1348"/>
      <c r="K291" s="1348"/>
      <c r="L291" s="1348"/>
      <c r="M291" s="1348"/>
      <c r="N291" s="1348"/>
      <c r="O291" s="1337" t="s">
        <v>1746</v>
      </c>
      <c r="P291" s="1330"/>
      <c r="Q291" s="1330">
        <f>'Part II-Development Team'!Q73</f>
        <v>0</v>
      </c>
      <c r="R291" s="1348"/>
      <c r="S291" s="1348"/>
    </row>
    <row r="292" spans="1:19" ht="13.8">
      <c r="A292" s="1330"/>
      <c r="B292" s="1330"/>
      <c r="C292" s="1330"/>
      <c r="D292" s="1346"/>
      <c r="E292" s="1337" t="s">
        <v>617</v>
      </c>
      <c r="F292" s="1330"/>
      <c r="G292" s="1330"/>
      <c r="H292" s="1330">
        <f>'Part II-Development Team'!H74</f>
        <v>0</v>
      </c>
      <c r="I292" s="1348"/>
      <c r="J292" s="1348"/>
      <c r="K292" s="1334" t="s">
        <v>2703</v>
      </c>
      <c r="L292" s="1330">
        <f>'Part II-Development Team'!L74</f>
        <v>0</v>
      </c>
      <c r="M292" s="1348"/>
      <c r="N292" s="1348"/>
      <c r="O292" s="1337" t="s">
        <v>1720</v>
      </c>
      <c r="P292" s="1330"/>
      <c r="Q292" s="1799">
        <f>'Part II-Development Team'!Q74</f>
        <v>0</v>
      </c>
      <c r="R292" s="1799"/>
      <c r="S292" s="1799"/>
    </row>
    <row r="293" spans="1:19" ht="13.8">
      <c r="A293" s="1330"/>
      <c r="B293" s="1330"/>
      <c r="C293" s="1330"/>
      <c r="D293" s="1330"/>
      <c r="E293" s="1337" t="s">
        <v>1798</v>
      </c>
      <c r="F293" s="1330"/>
      <c r="G293" s="1330"/>
      <c r="H293" s="1337">
        <f>'Part II-Development Team'!H75</f>
        <v>0</v>
      </c>
      <c r="I293" s="1330"/>
      <c r="J293" s="1330"/>
      <c r="K293" s="1334" t="s">
        <v>2228</v>
      </c>
      <c r="L293" s="1798">
        <f>'Part II-Development Team'!L75</f>
        <v>0</v>
      </c>
      <c r="M293" s="1348"/>
      <c r="N293" s="1330"/>
      <c r="O293" s="1337" t="s">
        <v>1978</v>
      </c>
      <c r="P293" s="1330"/>
      <c r="Q293" s="1799">
        <f>'Part II-Development Team'!Q75</f>
        <v>0</v>
      </c>
      <c r="R293" s="1799"/>
      <c r="S293" s="1799"/>
    </row>
    <row r="294" spans="1:19" ht="13.8">
      <c r="A294" s="1330"/>
      <c r="B294" s="1330"/>
      <c r="C294" s="1330"/>
      <c r="D294" s="1346"/>
      <c r="E294" s="1337" t="s">
        <v>4254</v>
      </c>
      <c r="F294" s="1330"/>
      <c r="G294" s="1330"/>
      <c r="H294" s="1799">
        <f>'Part II-Development Team'!H76</f>
        <v>0</v>
      </c>
      <c r="I294" s="1799"/>
      <c r="J294" s="1344">
        <f>'Part II-Development Team'!J76</f>
        <v>0</v>
      </c>
      <c r="K294" s="1334" t="s">
        <v>1983</v>
      </c>
      <c r="L294" s="1706">
        <f>'Part II-Development Team'!L76</f>
        <v>0</v>
      </c>
      <c r="M294" s="1706"/>
      <c r="N294" s="1706"/>
      <c r="O294" s="1706"/>
      <c r="P294" s="1706"/>
      <c r="Q294" s="1706"/>
      <c r="R294" s="1706"/>
      <c r="S294" s="1706"/>
    </row>
    <row r="295" spans="1:19" ht="13.8">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8">
      <c r="A296" s="1337" t="s">
        <v>741</v>
      </c>
      <c r="B296" s="1337" t="s">
        <v>285</v>
      </c>
      <c r="C296" s="1337"/>
      <c r="D296" s="1337"/>
      <c r="E296" s="1337"/>
      <c r="F296" s="1337"/>
      <c r="G296" s="1337"/>
      <c r="H296" s="1337"/>
      <c r="I296" s="1337"/>
      <c r="J296" s="1337"/>
      <c r="K296" s="1332" t="s">
        <v>4253</v>
      </c>
      <c r="L296" s="1337"/>
      <c r="M296" s="1337"/>
      <c r="N296" s="1337"/>
      <c r="O296" s="1337"/>
      <c r="P296" s="1337"/>
      <c r="Q296" s="1337"/>
      <c r="R296" s="1337"/>
      <c r="S296" s="1337"/>
    </row>
    <row r="297" spans="1:19" ht="13.8">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ht="13.8">
      <c r="A298" s="1330"/>
      <c r="B298" s="1330" t="s">
        <v>1982</v>
      </c>
      <c r="C298" s="1330" t="s">
        <v>286</v>
      </c>
      <c r="D298" s="1330"/>
      <c r="E298" s="1330"/>
      <c r="F298" s="1330"/>
      <c r="G298" s="1330"/>
      <c r="H298" s="1330">
        <f>'Part II-Development Team'!H80</f>
        <v>0</v>
      </c>
      <c r="I298" s="1348"/>
      <c r="J298" s="1348"/>
      <c r="K298" s="1348"/>
      <c r="L298" s="1348"/>
      <c r="M298" s="1348"/>
      <c r="N298" s="1348"/>
      <c r="O298" s="1337" t="s">
        <v>1988</v>
      </c>
      <c r="P298" s="1337"/>
      <c r="Q298" s="1330">
        <f>'Part II-Development Team'!Q80</f>
        <v>0</v>
      </c>
      <c r="R298" s="1348"/>
      <c r="S298" s="1348"/>
    </row>
    <row r="299" spans="1:19" ht="13.8">
      <c r="A299" s="1330"/>
      <c r="B299" s="1330"/>
      <c r="C299" s="1330"/>
      <c r="D299" s="1346"/>
      <c r="E299" s="1337" t="s">
        <v>1020</v>
      </c>
      <c r="F299" s="1340"/>
      <c r="G299" s="1330"/>
      <c r="H299" s="1330">
        <f>'Part II-Development Team'!H81</f>
        <v>0</v>
      </c>
      <c r="I299" s="1348"/>
      <c r="J299" s="1348"/>
      <c r="K299" s="1348"/>
      <c r="L299" s="1348"/>
      <c r="M299" s="1348"/>
      <c r="N299" s="1348"/>
      <c r="O299" s="1337" t="s">
        <v>1746</v>
      </c>
      <c r="P299" s="1330"/>
      <c r="Q299" s="1330">
        <f>'Part II-Development Team'!Q81</f>
        <v>0</v>
      </c>
      <c r="R299" s="1348"/>
      <c r="S299" s="1348"/>
    </row>
    <row r="300" spans="1:19" ht="13.8">
      <c r="A300" s="1330"/>
      <c r="B300" s="1330"/>
      <c r="C300" s="1330"/>
      <c r="D300" s="1346"/>
      <c r="E300" s="1337" t="s">
        <v>617</v>
      </c>
      <c r="F300" s="1330"/>
      <c r="G300" s="1330"/>
      <c r="H300" s="1330">
        <f>'Part II-Development Team'!H82</f>
        <v>0</v>
      </c>
      <c r="I300" s="1348"/>
      <c r="J300" s="1348"/>
      <c r="K300" s="1334" t="s">
        <v>2703</v>
      </c>
      <c r="L300" s="1330">
        <f>'Part II-Development Team'!L82</f>
        <v>0</v>
      </c>
      <c r="M300" s="1348"/>
      <c r="N300" s="1348"/>
      <c r="O300" s="1337" t="s">
        <v>1720</v>
      </c>
      <c r="P300" s="1330"/>
      <c r="Q300" s="1799">
        <f>'Part II-Development Team'!Q82</f>
        <v>0</v>
      </c>
      <c r="R300" s="1799"/>
      <c r="S300" s="1799"/>
    </row>
    <row r="301" spans="1:19" ht="13.8">
      <c r="A301" s="1330"/>
      <c r="B301" s="1330"/>
      <c r="C301" s="1330"/>
      <c r="D301" s="1330"/>
      <c r="E301" s="1337" t="s">
        <v>1798</v>
      </c>
      <c r="F301" s="1330"/>
      <c r="G301" s="1330"/>
      <c r="H301" s="1337">
        <f>'Part II-Development Team'!H83</f>
        <v>0</v>
      </c>
      <c r="I301" s="1330"/>
      <c r="J301" s="1330"/>
      <c r="K301" s="1334" t="s">
        <v>2228</v>
      </c>
      <c r="L301" s="1798">
        <f>'Part II-Development Team'!L83</f>
        <v>0</v>
      </c>
      <c r="M301" s="1348"/>
      <c r="N301" s="1330"/>
      <c r="O301" s="1337" t="s">
        <v>1978</v>
      </c>
      <c r="P301" s="1330"/>
      <c r="Q301" s="1799">
        <f>'Part II-Development Team'!Q83</f>
        <v>0</v>
      </c>
      <c r="R301" s="1799"/>
      <c r="S301" s="1799"/>
    </row>
    <row r="302" spans="1:19" ht="13.8">
      <c r="A302" s="1330"/>
      <c r="B302" s="1330"/>
      <c r="C302" s="1330"/>
      <c r="D302" s="1346"/>
      <c r="E302" s="1337" t="s">
        <v>4254</v>
      </c>
      <c r="F302" s="1330"/>
      <c r="G302" s="1330"/>
      <c r="H302" s="1799">
        <f>'Part II-Development Team'!H84</f>
        <v>0</v>
      </c>
      <c r="I302" s="1799"/>
      <c r="J302" s="1344">
        <f>'Part II-Development Team'!J84</f>
        <v>0</v>
      </c>
      <c r="K302" s="1334" t="s">
        <v>1983</v>
      </c>
      <c r="L302" s="1706">
        <f>'Part II-Development Team'!L84</f>
        <v>0</v>
      </c>
      <c r="M302" s="1706"/>
      <c r="N302" s="1706"/>
      <c r="O302" s="1706"/>
      <c r="P302" s="1706"/>
      <c r="Q302" s="1706"/>
      <c r="R302" s="1706"/>
      <c r="S302" s="1706"/>
    </row>
    <row r="303" spans="1:19" ht="13.8">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ht="13.8">
      <c r="A304" s="1330"/>
      <c r="B304" s="1330" t="s">
        <v>1984</v>
      </c>
      <c r="C304" s="1330" t="s">
        <v>287</v>
      </c>
      <c r="D304" s="1330"/>
      <c r="E304" s="1330"/>
      <c r="F304" s="1330"/>
      <c r="G304" s="1330"/>
      <c r="H304" s="1330" t="str">
        <f>'Part II-Development Team'!H86</f>
        <v>Olympia Construction, Inc.</v>
      </c>
      <c r="I304" s="1348"/>
      <c r="J304" s="1348"/>
      <c r="K304" s="1348"/>
      <c r="L304" s="1348"/>
      <c r="M304" s="1348"/>
      <c r="N304" s="1348"/>
      <c r="O304" s="1337" t="s">
        <v>1988</v>
      </c>
      <c r="P304" s="1337"/>
      <c r="Q304" s="1330" t="str">
        <f>'Part II-Development Team'!Q86</f>
        <v>Jeff Beaver</v>
      </c>
      <c r="R304" s="1348"/>
      <c r="S304" s="1348"/>
    </row>
    <row r="305" spans="1:19" ht="13.8">
      <c r="A305" s="1330"/>
      <c r="B305" s="1330"/>
      <c r="C305" s="1330"/>
      <c r="D305" s="1346"/>
      <c r="E305" s="1337" t="s">
        <v>1020</v>
      </c>
      <c r="F305" s="1340"/>
      <c r="G305" s="1330"/>
      <c r="H305" s="1330" t="str">
        <f>'Part II-Development Team'!H87</f>
        <v>404 E McKinney Ave</v>
      </c>
      <c r="I305" s="1348"/>
      <c r="J305" s="1348"/>
      <c r="K305" s="1348"/>
      <c r="L305" s="1348"/>
      <c r="M305" s="1348"/>
      <c r="N305" s="1348"/>
      <c r="O305" s="1337" t="s">
        <v>1746</v>
      </c>
      <c r="P305" s="1330"/>
      <c r="Q305" s="1330" t="str">
        <f>'Part II-Development Team'!Q87</f>
        <v>President</v>
      </c>
      <c r="R305" s="1348"/>
      <c r="S305" s="1348"/>
    </row>
    <row r="306" spans="1:19" ht="13.8">
      <c r="A306" s="1330"/>
      <c r="B306" s="1330"/>
      <c r="C306" s="1330"/>
      <c r="D306" s="1346"/>
      <c r="E306" s="1337" t="s">
        <v>617</v>
      </c>
      <c r="F306" s="1330"/>
      <c r="G306" s="1330"/>
      <c r="H306" s="1330" t="str">
        <f>'Part II-Development Team'!H88</f>
        <v>Albertville</v>
      </c>
      <c r="I306" s="1348"/>
      <c r="J306" s="1348"/>
      <c r="K306" s="1334" t="s">
        <v>2703</v>
      </c>
      <c r="L306" s="1330" t="str">
        <f>'Part II-Development Team'!L88</f>
        <v>olympiaconstruction.net</v>
      </c>
      <c r="M306" s="1348"/>
      <c r="N306" s="1348"/>
      <c r="O306" s="1337" t="s">
        <v>1720</v>
      </c>
      <c r="P306" s="1330"/>
      <c r="Q306" s="1799">
        <f>'Part II-Development Team'!Q88</f>
        <v>2568786054</v>
      </c>
      <c r="R306" s="1799"/>
      <c r="S306" s="1799"/>
    </row>
    <row r="307" spans="1:19" ht="13.8">
      <c r="A307" s="1330"/>
      <c r="B307" s="1330"/>
      <c r="C307" s="1330"/>
      <c r="D307" s="1330"/>
      <c r="E307" s="1337" t="s">
        <v>1798</v>
      </c>
      <c r="F307" s="1330"/>
      <c r="G307" s="1330"/>
      <c r="H307" s="1337" t="str">
        <f>'Part II-Development Team'!H89</f>
        <v>AL</v>
      </c>
      <c r="I307" s="1330"/>
      <c r="J307" s="1330"/>
      <c r="K307" s="1334" t="s">
        <v>2228</v>
      </c>
      <c r="L307" s="1798">
        <f>'Part II-Development Team'!L89</f>
        <v>359501832</v>
      </c>
      <c r="M307" s="1348"/>
      <c r="N307" s="1330"/>
      <c r="O307" s="1337" t="s">
        <v>1978</v>
      </c>
      <c r="P307" s="1330"/>
      <c r="Q307" s="1799">
        <f>'Part II-Development Team'!Q89</f>
        <v>0</v>
      </c>
      <c r="R307" s="1799"/>
      <c r="S307" s="1799"/>
    </row>
    <row r="308" spans="1:19" ht="13.8">
      <c r="A308" s="1330"/>
      <c r="B308" s="1330"/>
      <c r="C308" s="1330"/>
      <c r="D308" s="1346"/>
      <c r="E308" s="1337" t="s">
        <v>4254</v>
      </c>
      <c r="F308" s="1330"/>
      <c r="G308" s="1330"/>
      <c r="H308" s="1799">
        <f>'Part II-Development Team'!H90</f>
        <v>2568786054</v>
      </c>
      <c r="I308" s="1799"/>
      <c r="J308" s="1344">
        <f>'Part II-Development Team'!J90</f>
        <v>0</v>
      </c>
      <c r="K308" s="1334" t="s">
        <v>1983</v>
      </c>
      <c r="L308" s="1706" t="str">
        <f>'Part II-Development Team'!L90</f>
        <v>jeff@olympiaconstruction.net</v>
      </c>
      <c r="M308" s="1706"/>
      <c r="N308" s="1706"/>
      <c r="O308" s="1706"/>
      <c r="P308" s="1706"/>
      <c r="Q308" s="1706"/>
      <c r="R308" s="1706"/>
      <c r="S308" s="1706"/>
    </row>
    <row r="309" spans="1:19" ht="13.8">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ht="13.8">
      <c r="A310" s="1330"/>
      <c r="B310" s="1330" t="s">
        <v>748</v>
      </c>
      <c r="C310" s="1330" t="s">
        <v>288</v>
      </c>
      <c r="D310" s="1330"/>
      <c r="E310" s="1330"/>
      <c r="F310" s="1336"/>
      <c r="G310" s="1330"/>
      <c r="H310" s="1330" t="str">
        <f>'Part II-Development Team'!H92</f>
        <v>Olympia Management, Inc.</v>
      </c>
      <c r="I310" s="1348"/>
      <c r="J310" s="1348"/>
      <c r="K310" s="1348"/>
      <c r="L310" s="1348"/>
      <c r="M310" s="1348"/>
      <c r="N310" s="1348"/>
      <c r="O310" s="1337" t="s">
        <v>1988</v>
      </c>
      <c r="P310" s="1337"/>
      <c r="Q310" s="1330" t="str">
        <f>'Part II-Development Team'!Q92</f>
        <v>Jeff Beaver</v>
      </c>
      <c r="R310" s="1348"/>
      <c r="S310" s="1348"/>
    </row>
    <row r="311" spans="1:19" ht="13.8">
      <c r="A311" s="1330"/>
      <c r="B311" s="1330"/>
      <c r="C311" s="1330"/>
      <c r="D311" s="1346"/>
      <c r="E311" s="1337" t="s">
        <v>1020</v>
      </c>
      <c r="F311" s="1340"/>
      <c r="G311" s="1330"/>
      <c r="H311" s="1330" t="str">
        <f>'Part II-Development Team'!H93</f>
        <v>450 E McKinney Ave</v>
      </c>
      <c r="I311" s="1348"/>
      <c r="J311" s="1348"/>
      <c r="K311" s="1348"/>
      <c r="L311" s="1348"/>
      <c r="M311" s="1348"/>
      <c r="N311" s="1348"/>
      <c r="O311" s="1337" t="s">
        <v>1746</v>
      </c>
      <c r="P311" s="1330"/>
      <c r="Q311" s="1330" t="str">
        <f>'Part II-Development Team'!Q93</f>
        <v>Vice President</v>
      </c>
      <c r="R311" s="1348"/>
      <c r="S311" s="1348"/>
    </row>
    <row r="312" spans="1:19" ht="13.8">
      <c r="A312" s="1330"/>
      <c r="B312" s="1330"/>
      <c r="C312" s="1330"/>
      <c r="D312" s="1346"/>
      <c r="E312" s="1337" t="s">
        <v>617</v>
      </c>
      <c r="F312" s="1330"/>
      <c r="G312" s="1330"/>
      <c r="H312" s="1330" t="str">
        <f>'Part II-Development Team'!H94</f>
        <v>Albertville</v>
      </c>
      <c r="I312" s="1348"/>
      <c r="J312" s="1348"/>
      <c r="K312" s="1334" t="s">
        <v>2703</v>
      </c>
      <c r="L312" s="1330" t="str">
        <f>'Part II-Development Team'!L94</f>
        <v>olympiamanagement.net</v>
      </c>
      <c r="M312" s="1348"/>
      <c r="N312" s="1348"/>
      <c r="O312" s="1337" t="s">
        <v>1720</v>
      </c>
      <c r="P312" s="1330"/>
      <c r="Q312" s="1799">
        <f>'Part II-Development Team'!Q94</f>
        <v>2568786054</v>
      </c>
      <c r="R312" s="1799"/>
      <c r="S312" s="1799"/>
    </row>
    <row r="313" spans="1:19" ht="13.8">
      <c r="A313" s="1330"/>
      <c r="B313" s="1330"/>
      <c r="C313" s="1330"/>
      <c r="D313" s="1346"/>
      <c r="E313" s="1337" t="s">
        <v>1798</v>
      </c>
      <c r="F313" s="1330"/>
      <c r="G313" s="1330"/>
      <c r="H313" s="1337" t="str">
        <f>'Part II-Development Team'!H95</f>
        <v>AL</v>
      </c>
      <c r="I313" s="1330"/>
      <c r="J313" s="1330"/>
      <c r="K313" s="1334" t="s">
        <v>2228</v>
      </c>
      <c r="L313" s="1798">
        <f>'Part II-Development Team'!L95</f>
        <v>359501832</v>
      </c>
      <c r="M313" s="1348"/>
      <c r="N313" s="1330"/>
      <c r="O313" s="1337" t="s">
        <v>1978</v>
      </c>
      <c r="P313" s="1330"/>
      <c r="Q313" s="1799">
        <f>'Part II-Development Team'!Q95</f>
        <v>0</v>
      </c>
      <c r="R313" s="1799"/>
      <c r="S313" s="1799"/>
    </row>
    <row r="314" spans="1:19" ht="13.8">
      <c r="A314" s="1330"/>
      <c r="B314" s="1330"/>
      <c r="C314" s="1330"/>
      <c r="D314" s="1346"/>
      <c r="E314" s="1337" t="s">
        <v>4254</v>
      </c>
      <c r="F314" s="1330"/>
      <c r="G314" s="1330"/>
      <c r="H314" s="1799">
        <f>'Part II-Development Team'!H96</f>
        <v>2568786054</v>
      </c>
      <c r="I314" s="1799"/>
      <c r="J314" s="1344">
        <f>'Part II-Development Team'!J96</f>
        <v>0</v>
      </c>
      <c r="K314" s="1334" t="s">
        <v>1983</v>
      </c>
      <c r="L314" s="1706" t="str">
        <f>'Part II-Development Team'!L96</f>
        <v>jeff@olympiaconstruction.net</v>
      </c>
      <c r="M314" s="1706"/>
      <c r="N314" s="1706"/>
      <c r="O314" s="1706"/>
      <c r="P314" s="1706"/>
      <c r="Q314" s="1706"/>
      <c r="R314" s="1706"/>
      <c r="S314" s="1706"/>
    </row>
    <row r="315" spans="1:19" ht="13.8">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ht="13.8">
      <c r="A316" s="1330"/>
      <c r="B316" s="1330" t="s">
        <v>2114</v>
      </c>
      <c r="C316" s="1330" t="s">
        <v>289</v>
      </c>
      <c r="D316" s="1330"/>
      <c r="E316" s="1330"/>
      <c r="F316" s="1330"/>
      <c r="G316" s="1330"/>
      <c r="H316" s="1330" t="str">
        <f>'Part II-Development Team'!H98</f>
        <v>Coleman Talley LLP</v>
      </c>
      <c r="I316" s="1348"/>
      <c r="J316" s="1348"/>
      <c r="K316" s="1348"/>
      <c r="L316" s="1348"/>
      <c r="M316" s="1348"/>
      <c r="N316" s="1348"/>
      <c r="O316" s="1337" t="s">
        <v>1988</v>
      </c>
      <c r="P316" s="1337"/>
      <c r="Q316" s="1330" t="str">
        <f>'Part II-Development Team'!Q98</f>
        <v>Russ Henry</v>
      </c>
      <c r="R316" s="1348"/>
      <c r="S316" s="1348"/>
    </row>
    <row r="317" spans="1:19" ht="13.8">
      <c r="A317" s="1330"/>
      <c r="B317" s="1330"/>
      <c r="C317" s="1330"/>
      <c r="D317" s="1346"/>
      <c r="E317" s="1337" t="s">
        <v>1020</v>
      </c>
      <c r="F317" s="1340"/>
      <c r="G317" s="1330"/>
      <c r="H317" s="1330" t="str">
        <f>'Part II-Development Team'!H99</f>
        <v>109 South Ashley Street</v>
      </c>
      <c r="I317" s="1348"/>
      <c r="J317" s="1348"/>
      <c r="K317" s="1348"/>
      <c r="L317" s="1348"/>
      <c r="M317" s="1348"/>
      <c r="N317" s="1348"/>
      <c r="O317" s="1337" t="s">
        <v>1746</v>
      </c>
      <c r="P317" s="1330"/>
      <c r="Q317" s="1330" t="str">
        <f>'Part II-Development Team'!Q99</f>
        <v>Partner</v>
      </c>
      <c r="R317" s="1348"/>
      <c r="S317" s="1348"/>
    </row>
    <row r="318" spans="1:19" ht="13.8">
      <c r="A318" s="1330"/>
      <c r="B318" s="1330"/>
      <c r="C318" s="1330"/>
      <c r="D318" s="1346"/>
      <c r="E318" s="1337" t="s">
        <v>617</v>
      </c>
      <c r="F318" s="1330"/>
      <c r="G318" s="1330"/>
      <c r="H318" s="1330" t="str">
        <f>'Part II-Development Team'!H100</f>
        <v>Valdosta</v>
      </c>
      <c r="I318" s="1348"/>
      <c r="J318" s="1348"/>
      <c r="K318" s="1334" t="s">
        <v>2703</v>
      </c>
      <c r="L318" s="1330">
        <f>'Part II-Development Team'!L100</f>
        <v>0</v>
      </c>
      <c r="M318" s="1348"/>
      <c r="N318" s="1348"/>
      <c r="O318" s="1337" t="s">
        <v>1720</v>
      </c>
      <c r="P318" s="1330"/>
      <c r="Q318" s="1799">
        <f>'Part II-Development Team'!Q100</f>
        <v>2296718235</v>
      </c>
      <c r="R318" s="1799"/>
      <c r="S318" s="1799"/>
    </row>
    <row r="319" spans="1:19" ht="13.8">
      <c r="A319" s="1330"/>
      <c r="B319" s="1330"/>
      <c r="C319" s="1330"/>
      <c r="D319" s="1346"/>
      <c r="E319" s="1337" t="s">
        <v>1798</v>
      </c>
      <c r="F319" s="1330"/>
      <c r="G319" s="1330"/>
      <c r="H319" s="1337" t="str">
        <f>'Part II-Development Team'!H101</f>
        <v>GA</v>
      </c>
      <c r="I319" s="1330"/>
      <c r="J319" s="1330"/>
      <c r="K319" s="1334" t="s">
        <v>2228</v>
      </c>
      <c r="L319" s="1798">
        <f>'Part II-Development Team'!L101</f>
        <v>316015601</v>
      </c>
      <c r="M319" s="1348"/>
      <c r="N319" s="1330"/>
      <c r="O319" s="1337" t="s">
        <v>1978</v>
      </c>
      <c r="P319" s="1330"/>
      <c r="Q319" s="1799">
        <f>'Part II-Development Team'!Q101</f>
        <v>0</v>
      </c>
      <c r="R319" s="1799"/>
      <c r="S319" s="1799"/>
    </row>
    <row r="320" spans="1:19" ht="13.8">
      <c r="A320" s="1336"/>
      <c r="B320" s="1336"/>
      <c r="C320" s="1336"/>
      <c r="D320" s="1336"/>
      <c r="E320" s="1337" t="s">
        <v>4254</v>
      </c>
      <c r="F320" s="1330"/>
      <c r="G320" s="1330"/>
      <c r="H320" s="1799">
        <f>'Part II-Development Team'!H102</f>
        <v>2296718235</v>
      </c>
      <c r="I320" s="1799"/>
      <c r="J320" s="1344">
        <f>'Part II-Development Team'!J102</f>
        <v>0</v>
      </c>
      <c r="K320" s="1334" t="s">
        <v>1983</v>
      </c>
      <c r="L320" s="1706" t="str">
        <f>'Part II-Development Team'!L102</f>
        <v>russ.henry@colemantalley.com</v>
      </c>
      <c r="M320" s="1706"/>
      <c r="N320" s="1706"/>
      <c r="O320" s="1706"/>
      <c r="P320" s="1706"/>
      <c r="Q320" s="1706"/>
      <c r="R320" s="1706"/>
      <c r="S320" s="1706"/>
    </row>
    <row r="321" spans="1:19" ht="13.8">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ht="13.8">
      <c r="A322" s="1330"/>
      <c r="B322" s="1330" t="s">
        <v>1734</v>
      </c>
      <c r="C322" s="1330" t="s">
        <v>290</v>
      </c>
      <c r="D322" s="1330"/>
      <c r="E322" s="1330"/>
      <c r="F322" s="1330"/>
      <c r="G322" s="1330"/>
      <c r="H322" s="1330" t="str">
        <f>'Part II-Development Team'!H104</f>
        <v>Donald W. Causey &amp; Associates, P.C.</v>
      </c>
      <c r="I322" s="1348"/>
      <c r="J322" s="1348"/>
      <c r="K322" s="1348"/>
      <c r="L322" s="1348"/>
      <c r="M322" s="1348"/>
      <c r="N322" s="1348"/>
      <c r="O322" s="1337" t="s">
        <v>1988</v>
      </c>
      <c r="P322" s="1337"/>
      <c r="Q322" s="1330" t="str">
        <f>'Part II-Development Team'!Q104</f>
        <v>Don Causey</v>
      </c>
      <c r="R322" s="1348"/>
      <c r="S322" s="1348"/>
    </row>
    <row r="323" spans="1:19" ht="13.8">
      <c r="A323" s="1330"/>
      <c r="B323" s="1330"/>
      <c r="C323" s="1330"/>
      <c r="D323" s="1346"/>
      <c r="E323" s="1337" t="s">
        <v>1020</v>
      </c>
      <c r="F323" s="1340"/>
      <c r="G323" s="1330"/>
      <c r="H323" s="1330" t="str">
        <f>'Part II-Development Team'!H105</f>
        <v>264 Sutton Bridge Road</v>
      </c>
      <c r="I323" s="1348"/>
      <c r="J323" s="1348"/>
      <c r="K323" s="1348"/>
      <c r="L323" s="1348"/>
      <c r="M323" s="1348"/>
      <c r="N323" s="1348"/>
      <c r="O323" s="1337" t="s">
        <v>1746</v>
      </c>
      <c r="P323" s="1330"/>
      <c r="Q323" s="1330" t="str">
        <f>'Part II-Development Team'!Q105</f>
        <v>Owner</v>
      </c>
      <c r="R323" s="1348"/>
      <c r="S323" s="1348"/>
    </row>
    <row r="324" spans="1:19" ht="13.8">
      <c r="A324" s="1330"/>
      <c r="B324" s="1330"/>
      <c r="C324" s="1330"/>
      <c r="D324" s="1346"/>
      <c r="E324" s="1337" t="s">
        <v>617</v>
      </c>
      <c r="F324" s="1330"/>
      <c r="G324" s="1330"/>
      <c r="H324" s="1330" t="str">
        <f>'Part II-Development Team'!H106</f>
        <v>Rainbow City</v>
      </c>
      <c r="I324" s="1348"/>
      <c r="J324" s="1348"/>
      <c r="K324" s="1334" t="s">
        <v>2703</v>
      </c>
      <c r="L324" s="1330">
        <f>'Part II-Development Team'!L106</f>
        <v>0</v>
      </c>
      <c r="M324" s="1348"/>
      <c r="N324" s="1348"/>
      <c r="O324" s="1337" t="s">
        <v>1720</v>
      </c>
      <c r="P324" s="1330"/>
      <c r="Q324" s="1799">
        <f>'Part II-Development Team'!Q106</f>
        <v>2565433707</v>
      </c>
      <c r="R324" s="1799"/>
      <c r="S324" s="1799"/>
    </row>
    <row r="325" spans="1:19" ht="13.8">
      <c r="A325" s="1330"/>
      <c r="B325" s="1330"/>
      <c r="C325" s="1330"/>
      <c r="D325" s="1346"/>
      <c r="E325" s="1337" t="s">
        <v>1798</v>
      </c>
      <c r="F325" s="1330"/>
      <c r="G325" s="1330"/>
      <c r="H325" s="1337" t="str">
        <f>'Part II-Development Team'!H107</f>
        <v>AL</v>
      </c>
      <c r="I325" s="1330"/>
      <c r="J325" s="1330"/>
      <c r="K325" s="1334" t="s">
        <v>2228</v>
      </c>
      <c r="L325" s="1798">
        <f>'Part II-Development Team'!L107</f>
        <v>359063217</v>
      </c>
      <c r="M325" s="1348"/>
      <c r="N325" s="1330"/>
      <c r="O325" s="1337" t="s">
        <v>1978</v>
      </c>
      <c r="P325" s="1330"/>
      <c r="Q325" s="1799">
        <f>'Part II-Development Team'!Q107</f>
        <v>0</v>
      </c>
      <c r="R325" s="1799"/>
      <c r="S325" s="1799"/>
    </row>
    <row r="326" spans="1:19" ht="13.8">
      <c r="A326" s="1336"/>
      <c r="B326" s="1336"/>
      <c r="C326" s="1336"/>
      <c r="D326" s="1336"/>
      <c r="E326" s="1337" t="s">
        <v>4254</v>
      </c>
      <c r="F326" s="1330"/>
      <c r="G326" s="1330"/>
      <c r="H326" s="1799">
        <f>'Part II-Development Team'!H108</f>
        <v>2565433707</v>
      </c>
      <c r="I326" s="1799"/>
      <c r="J326" s="1344">
        <f>'Part II-Development Team'!J108</f>
        <v>0</v>
      </c>
      <c r="K326" s="1334" t="s">
        <v>1983</v>
      </c>
      <c r="L326" s="1706" t="str">
        <f>'Part II-Development Team'!L108</f>
        <v>don@donaldwcauseycpa.com</v>
      </c>
      <c r="M326" s="1706"/>
      <c r="N326" s="1706"/>
      <c r="O326" s="1706"/>
      <c r="P326" s="1706"/>
      <c r="Q326" s="1706"/>
      <c r="R326" s="1706"/>
      <c r="S326" s="1706"/>
    </row>
    <row r="327" spans="1:19" ht="13.8">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ht="13.8">
      <c r="A328" s="1330"/>
      <c r="B328" s="1330" t="s">
        <v>1735</v>
      </c>
      <c r="C328" s="1330" t="s">
        <v>291</v>
      </c>
      <c r="D328" s="1330"/>
      <c r="E328" s="1330"/>
      <c r="F328" s="1330"/>
      <c r="G328" s="1330"/>
      <c r="H328" s="1330" t="str">
        <f>'Part II-Development Team'!H110</f>
        <v>McKean &amp; Assocites, Architects, LLC</v>
      </c>
      <c r="I328" s="1348"/>
      <c r="J328" s="1348"/>
      <c r="K328" s="1348"/>
      <c r="L328" s="1348"/>
      <c r="M328" s="1348"/>
      <c r="N328" s="1348"/>
      <c r="O328" s="1337" t="s">
        <v>1988</v>
      </c>
      <c r="P328" s="1337"/>
      <c r="Q328" s="1330" t="str">
        <f>'Part II-Development Team'!Q110</f>
        <v>Rory McKean</v>
      </c>
      <c r="R328" s="1348"/>
      <c r="S328" s="1348"/>
    </row>
    <row r="329" spans="1:19" ht="13.8">
      <c r="A329" s="1330"/>
      <c r="B329" s="1330"/>
      <c r="C329" s="1330"/>
      <c r="D329" s="1346"/>
      <c r="E329" s="1337" t="s">
        <v>1020</v>
      </c>
      <c r="F329" s="1340"/>
      <c r="G329" s="1330"/>
      <c r="H329" s="1330" t="str">
        <f>'Part II-Development Team'!H111</f>
        <v>2315 Eastchase Lane</v>
      </c>
      <c r="I329" s="1348"/>
      <c r="J329" s="1348"/>
      <c r="K329" s="1348"/>
      <c r="L329" s="1348"/>
      <c r="M329" s="1348"/>
      <c r="N329" s="1348"/>
      <c r="O329" s="1337" t="s">
        <v>1746</v>
      </c>
      <c r="P329" s="1330"/>
      <c r="Q329" s="1330" t="str">
        <f>'Part II-Development Team'!Q111</f>
        <v>Member-Manager</v>
      </c>
      <c r="R329" s="1348"/>
      <c r="S329" s="1348"/>
    </row>
    <row r="330" spans="1:19" ht="13.8">
      <c r="A330" s="1330"/>
      <c r="B330" s="1330"/>
      <c r="C330" s="1330"/>
      <c r="D330" s="1346"/>
      <c r="E330" s="1337" t="s">
        <v>617</v>
      </c>
      <c r="F330" s="1330"/>
      <c r="G330" s="1330"/>
      <c r="H330" s="1330" t="str">
        <f>'Part II-Development Team'!H112</f>
        <v>Montgomery</v>
      </c>
      <c r="I330" s="1348"/>
      <c r="J330" s="1348"/>
      <c r="K330" s="1334" t="s">
        <v>2703</v>
      </c>
      <c r="L330" s="1330">
        <f>'Part II-Development Team'!L112</f>
        <v>0</v>
      </c>
      <c r="M330" s="1348"/>
      <c r="N330" s="1348"/>
      <c r="O330" s="1337" t="s">
        <v>1720</v>
      </c>
      <c r="P330" s="1330"/>
      <c r="Q330" s="1799">
        <f>'Part II-Development Team'!Q112</f>
        <v>3342724044</v>
      </c>
      <c r="R330" s="1799"/>
      <c r="S330" s="1799"/>
    </row>
    <row r="331" spans="1:19" ht="13.8">
      <c r="A331" s="1330"/>
      <c r="B331" s="1330"/>
      <c r="C331" s="1330"/>
      <c r="D331" s="1346"/>
      <c r="E331" s="1337" t="s">
        <v>1798</v>
      </c>
      <c r="F331" s="1330"/>
      <c r="G331" s="1330"/>
      <c r="H331" s="1337" t="str">
        <f>'Part II-Development Team'!H113</f>
        <v>AL</v>
      </c>
      <c r="I331" s="1330"/>
      <c r="J331" s="1330"/>
      <c r="K331" s="1334" t="s">
        <v>2228</v>
      </c>
      <c r="L331" s="1798">
        <f>'Part II-Development Team'!L113</f>
        <v>361177026</v>
      </c>
      <c r="M331" s="1348"/>
      <c r="N331" s="1330"/>
      <c r="O331" s="1337" t="s">
        <v>1978</v>
      </c>
      <c r="P331" s="1330"/>
      <c r="Q331" s="1799">
        <f>'Part II-Development Team'!Q113</f>
        <v>0</v>
      </c>
      <c r="R331" s="1799"/>
      <c r="S331" s="1799"/>
    </row>
    <row r="332" spans="1:19" ht="13.8">
      <c r="A332" s="1330"/>
      <c r="B332" s="1330"/>
      <c r="C332" s="1330"/>
      <c r="D332" s="1346"/>
      <c r="E332" s="1337" t="s">
        <v>4254</v>
      </c>
      <c r="F332" s="1330"/>
      <c r="G332" s="1330"/>
      <c r="H332" s="1799">
        <f>'Part II-Development Team'!H114</f>
        <v>3342724044</v>
      </c>
      <c r="I332" s="1799"/>
      <c r="J332" s="1344">
        <f>'Part II-Development Team'!J114</f>
        <v>0</v>
      </c>
      <c r="K332" s="1334" t="s">
        <v>1983</v>
      </c>
      <c r="L332" s="1706" t="str">
        <f>'Part II-Development Team'!L114</f>
        <v>rmckean@mckeanarch.com</v>
      </c>
      <c r="M332" s="1706"/>
      <c r="N332" s="1706"/>
      <c r="O332" s="1706"/>
      <c r="P332" s="1706"/>
      <c r="Q332" s="1706"/>
      <c r="R332" s="1706"/>
      <c r="S332" s="1706"/>
    </row>
    <row r="333" spans="1:19" ht="13.8">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ht="13.8">
      <c r="A334" s="1330" t="s">
        <v>1791</v>
      </c>
      <c r="B334" s="1330" t="s">
        <v>2602</v>
      </c>
      <c r="C334" s="1330"/>
      <c r="D334" s="1330"/>
      <c r="E334" s="1330"/>
      <c r="F334" s="1330"/>
      <c r="G334" s="1334"/>
      <c r="H334" s="1334"/>
      <c r="I334" s="1334"/>
      <c r="J334" s="1334"/>
      <c r="K334" s="1334"/>
      <c r="L334" s="1334"/>
      <c r="M334" s="1334"/>
      <c r="N334" s="1334"/>
      <c r="O334" s="1334"/>
      <c r="P334" s="1334"/>
      <c r="Q334" s="1334"/>
      <c r="R334" s="1330"/>
      <c r="S334" s="1330"/>
    </row>
    <row r="335" spans="1:19" ht="13.8">
      <c r="A335" s="1330"/>
      <c r="B335" s="1330" t="s">
        <v>1982</v>
      </c>
      <c r="C335" s="1330" t="s">
        <v>5094</v>
      </c>
      <c r="D335" s="1330"/>
      <c r="E335" s="1330"/>
      <c r="F335" s="1330"/>
      <c r="G335" s="1330"/>
      <c r="H335" s="1330" t="str">
        <f>'Part II-Development Team'!H117</f>
        <v>Leesburg Housing, LP</v>
      </c>
      <c r="I335" s="1330"/>
      <c r="J335" s="1330"/>
      <c r="K335" s="1334" t="s">
        <v>2473</v>
      </c>
      <c r="L335" s="1330" t="str">
        <f>'Part II-Development Team'!L117</f>
        <v>Cheryl Murphy-Fetcinko</v>
      </c>
      <c r="M335" s="1348"/>
      <c r="N335" s="1348"/>
      <c r="O335" s="1337" t="s">
        <v>3576</v>
      </c>
      <c r="P335" s="1330"/>
      <c r="Q335" s="1799" t="str">
        <f>'Part II-Development Team'!Q117</f>
        <v>770-386-2921</v>
      </c>
      <c r="R335" s="2322"/>
      <c r="S335" s="2322"/>
    </row>
    <row r="336" spans="1:19" ht="13.8">
      <c r="A336" s="1330"/>
      <c r="B336" s="1330"/>
      <c r="C336" s="1330"/>
      <c r="D336" s="1346"/>
      <c r="E336" s="1337" t="s">
        <v>1020</v>
      </c>
      <c r="F336" s="1340"/>
      <c r="G336" s="1330"/>
      <c r="H336" s="1330" t="str">
        <f>'Part II-Development Team'!H118</f>
        <v>1341 Cassville Road</v>
      </c>
      <c r="I336" s="1348"/>
      <c r="J336" s="1348"/>
      <c r="K336" s="1348"/>
      <c r="L336" s="1348"/>
      <c r="M336" s="1348"/>
      <c r="N336" s="1348"/>
      <c r="O336" s="1337" t="s">
        <v>617</v>
      </c>
      <c r="P336" s="1330"/>
      <c r="Q336" s="1330" t="str">
        <f>'Part II-Development Team'!Q118</f>
        <v>Cartersville</v>
      </c>
      <c r="R336" s="1348"/>
      <c r="S336" s="1348"/>
    </row>
    <row r="337" spans="1:19" ht="13.8">
      <c r="A337" s="1330"/>
      <c r="B337" s="1330"/>
      <c r="C337" s="1330"/>
      <c r="D337" s="1346"/>
      <c r="E337" s="1337" t="s">
        <v>1798</v>
      </c>
      <c r="F337" s="1330"/>
      <c r="G337" s="1330"/>
      <c r="H337" s="1337" t="str">
        <f>'Part II-Development Team'!H119</f>
        <v>GA</v>
      </c>
      <c r="I337" s="1334" t="s">
        <v>2228</v>
      </c>
      <c r="J337" s="1798">
        <f>'Part II-Development Team'!J119</f>
        <v>301204886</v>
      </c>
      <c r="K337" s="1348"/>
      <c r="L337" s="1334" t="s">
        <v>1983</v>
      </c>
      <c r="M337" s="1706" t="str">
        <f>'Part II-Development Team'!M119</f>
        <v>cheryl@tmcmgt.com</v>
      </c>
      <c r="N337" s="1706"/>
      <c r="O337" s="1706"/>
      <c r="P337" s="1706"/>
      <c r="Q337" s="1706"/>
      <c r="R337" s="1706"/>
      <c r="S337" s="1706"/>
    </row>
    <row r="338" spans="1:19" ht="13.8">
      <c r="A338" s="1336"/>
      <c r="B338" s="1330" t="s">
        <v>1984</v>
      </c>
      <c r="C338" s="1330" t="s">
        <v>5085</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3878</v>
      </c>
      <c r="B339" s="1386"/>
      <c r="C339" s="1386"/>
      <c r="D339" s="1386"/>
      <c r="E339" s="1386"/>
      <c r="F339" s="1344" t="s">
        <v>2509</v>
      </c>
      <c r="G339" s="1341" t="s">
        <v>3476</v>
      </c>
      <c r="H339" s="1341"/>
      <c r="I339" s="1341"/>
      <c r="J339" s="1341"/>
      <c r="K339" s="1341"/>
      <c r="L339" s="1341"/>
      <c r="M339" s="1341"/>
      <c r="N339" s="1341"/>
      <c r="O339" s="1341"/>
      <c r="P339" s="1341"/>
      <c r="Q339" s="1341"/>
      <c r="R339" s="1341"/>
      <c r="S339" s="1341"/>
    </row>
    <row r="340" spans="1:19" ht="13.5" customHeight="1">
      <c r="A340" s="1330"/>
      <c r="B340" s="1375"/>
      <c r="C340" s="2323" t="s">
        <v>1985</v>
      </c>
      <c r="D340" s="1365" t="s">
        <v>2835</v>
      </c>
      <c r="E340" s="1365"/>
      <c r="F340" s="1812" t="str">
        <f>'Part II-Development Team'!F122</f>
        <v>Yes</v>
      </c>
      <c r="G340" s="1573" t="str">
        <f>'Part II-Development Team'!G122</f>
        <v>Olympia Construction, Inc. is acting as Developer and General Contractor for this proposal</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2323" t="s">
        <v>1987</v>
      </c>
      <c r="D341" s="1365" t="s">
        <v>2900</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2323" t="s">
        <v>2533</v>
      </c>
      <c r="D342" s="1365" t="s">
        <v>2876</v>
      </c>
      <c r="E342" s="1365"/>
      <c r="F342" s="1812" t="str">
        <f>'Part II-Development Team'!F124</f>
        <v>Yes</v>
      </c>
      <c r="G342" s="1573" t="str">
        <f>'Part II-Development Team'!G124</f>
        <v>Olympia Construction, Inc.(Contractor)  is a Member of Olympia GP Holdings, LLC (General Partner)</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2323" t="s">
        <v>1223</v>
      </c>
      <c r="D343" s="1365" t="s">
        <v>2836</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2323" t="s">
        <v>1224</v>
      </c>
      <c r="D344" s="1365" t="s">
        <v>3464</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2323" t="s">
        <v>1880</v>
      </c>
      <c r="D345" s="1365" t="s">
        <v>3465</v>
      </c>
      <c r="E345" s="1365"/>
      <c r="F345" s="1812" t="str">
        <f>'Part II-Development Team'!F127</f>
        <v>No</v>
      </c>
      <c r="G345" s="1573">
        <f>'Part II-Development Team'!G127</f>
        <v>0</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2323" t="s">
        <v>502</v>
      </c>
      <c r="D346" s="1365" t="s">
        <v>2837</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2323" t="s">
        <v>503</v>
      </c>
      <c r="D347" s="1365" t="s">
        <v>5030</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2323" t="s">
        <v>5029</v>
      </c>
      <c r="D348" s="1365" t="str">
        <f>'Part II-Development Team'!D130</f>
        <v>Management Agency and Developer?</v>
      </c>
      <c r="E348" s="1365">
        <f>'Part II-Development Team'!E130</f>
        <v>0</v>
      </c>
      <c r="F348" s="1812" t="str">
        <f>'Part II-Development Team'!F130</f>
        <v>Yes</v>
      </c>
      <c r="G348" s="1573" t="str">
        <f>'Part II-Development Team'!G130</f>
        <v>Jeff Beaver and Ralph Fullerton are owners of Olympia Management, Inc. Jeff and Ralph are also owners of Olympia Construction, Inc. (Developer, Contractor, and Member of the General Partner)</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ht="13.8">
      <c r="A349" s="1330" t="s">
        <v>1793</v>
      </c>
      <c r="B349" s="1330" t="s">
        <v>5313</v>
      </c>
      <c r="C349" s="1330"/>
      <c r="D349" s="1330"/>
      <c r="E349" s="1330"/>
      <c r="F349" s="1330"/>
      <c r="G349" s="1334"/>
      <c r="H349" s="1334"/>
      <c r="I349" s="1334"/>
      <c r="J349" s="1334"/>
      <c r="K349" s="1334"/>
      <c r="L349" s="1334"/>
      <c r="M349" s="1334"/>
      <c r="N349" s="1334"/>
      <c r="O349" s="1334"/>
      <c r="P349" s="1334"/>
      <c r="Q349" s="1334"/>
      <c r="R349" s="1330"/>
      <c r="S349" s="1330"/>
    </row>
    <row r="350" spans="1:19" ht="13.8">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ht="13.8">
      <c r="A351" s="1336"/>
      <c r="B351" s="1330" t="s">
        <v>748</v>
      </c>
      <c r="C351" s="1330" t="s">
        <v>5086</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639</v>
      </c>
      <c r="B352" s="1365"/>
      <c r="C352" s="1365"/>
      <c r="D352" s="1365"/>
      <c r="E352" s="1365" t="s">
        <v>3446</v>
      </c>
      <c r="F352" s="1365"/>
      <c r="G352" s="1365"/>
      <c r="H352" s="1365"/>
      <c r="I352" s="1365"/>
      <c r="J352" s="1365" t="s">
        <v>3447</v>
      </c>
      <c r="K352" s="1365" t="s">
        <v>5095</v>
      </c>
      <c r="L352" s="1365" t="s">
        <v>5096</v>
      </c>
      <c r="M352" s="1365" t="s">
        <v>5097</v>
      </c>
      <c r="N352" s="1365"/>
      <c r="O352" s="1365"/>
      <c r="P352" s="1365"/>
      <c r="Q352" s="1365"/>
      <c r="R352" s="1365"/>
      <c r="S352" s="1365"/>
    </row>
    <row r="353" spans="1:19" ht="13.8">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ht="13.8">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5314</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2509</v>
      </c>
      <c r="J356" s="1365"/>
      <c r="K356" s="1365"/>
      <c r="L356" s="1365"/>
      <c r="M356" s="1344" t="s">
        <v>2509</v>
      </c>
      <c r="N356" s="1348" t="s">
        <v>2905</v>
      </c>
      <c r="O356" s="1348"/>
      <c r="P356" s="1348"/>
      <c r="Q356" s="1348"/>
      <c r="R356" s="1348"/>
      <c r="S356" s="1348"/>
    </row>
    <row r="357" spans="1:19" ht="13.5" customHeight="1">
      <c r="A357" s="1391" t="s">
        <v>3441</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1E-4</v>
      </c>
      <c r="M357" s="1812" t="str">
        <f>'Part II-Development Team'!M139</f>
        <v>Yes</v>
      </c>
      <c r="N357" s="1573" t="str">
        <f>'Part II-Development Team'!N139</f>
        <v>Jeff Beaver and Ralph Fullerton: Owners of Olympia Management, Inc. and Olympia Construction, Inc.; Members of Olympia GP Holdings, LLC</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3442</v>
      </c>
      <c r="B358" s="1391"/>
      <c r="C358" s="1391"/>
      <c r="D358" s="1391"/>
      <c r="E358" s="1573">
        <f>'Part II-Development Team'!E140</f>
        <v>0</v>
      </c>
      <c r="F358" s="1573">
        <f>'Part II-Development Team'!F140</f>
        <v>0</v>
      </c>
      <c r="G358" s="1573">
        <f>'Part II-Development Team'!G140</f>
        <v>0</v>
      </c>
      <c r="H358" s="1573">
        <f>'Part II-Development Team'!H140</f>
        <v>0</v>
      </c>
      <c r="I358" s="1812" t="str">
        <f>'Part II-Development Team'!I140</f>
        <v>Select</v>
      </c>
      <c r="J358" s="1812" t="str">
        <f>'Part II-Development Team'!J140</f>
        <v>Select</v>
      </c>
      <c r="K358" s="1813">
        <f>'Part II-Development Team'!K140</f>
        <v>0</v>
      </c>
      <c r="L358" s="1814">
        <f>'Part II-Development Team'!L140</f>
        <v>0</v>
      </c>
      <c r="M358" s="1812" t="str">
        <f>'Part II-Development Team'!M140</f>
        <v>Select</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3443</v>
      </c>
      <c r="B359" s="1391"/>
      <c r="C359" s="1391"/>
      <c r="D359" s="1391"/>
      <c r="E359" s="1573">
        <f>'Part II-Development Team'!E141</f>
        <v>0</v>
      </c>
      <c r="F359" s="1573">
        <f>'Part II-Development Team'!F141</f>
        <v>0</v>
      </c>
      <c r="G359" s="1573">
        <f>'Part II-Development Team'!G141</f>
        <v>0</v>
      </c>
      <c r="H359" s="1573">
        <f>'Part II-Development Team'!H141</f>
        <v>0</v>
      </c>
      <c r="I359" s="1812" t="str">
        <f>'Part II-Development Team'!I141</f>
        <v>Select</v>
      </c>
      <c r="J359" s="1812" t="str">
        <f>'Part II-Development Team'!J141</f>
        <v>Select</v>
      </c>
      <c r="K359" s="1813">
        <f>'Part II-Development Team'!K141</f>
        <v>0</v>
      </c>
      <c r="L359" s="1814">
        <f>'Part II-Development Team'!L141</f>
        <v>0</v>
      </c>
      <c r="M359" s="1812" t="str">
        <f>'Part II-Development Team'!M141</f>
        <v>Select</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3444</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3445</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2893</v>
      </c>
      <c r="B362" s="1391"/>
      <c r="C362" s="1391"/>
      <c r="D362" s="1391"/>
      <c r="E362" s="1573">
        <f>'Part II-Development Team'!E144</f>
        <v>0</v>
      </c>
      <c r="F362" s="1573">
        <f>'Part II-Development Team'!F144</f>
        <v>0</v>
      </c>
      <c r="G362" s="1573">
        <f>'Part II-Development Team'!G144</f>
        <v>0</v>
      </c>
      <c r="H362" s="1573">
        <f>'Part II-Development Team'!H144</f>
        <v>0</v>
      </c>
      <c r="I362" s="1812" t="str">
        <f>'Part II-Development Team'!I144</f>
        <v>Select</v>
      </c>
      <c r="J362" s="1812" t="str">
        <f>'Part II-Development Team'!J144</f>
        <v>Select</v>
      </c>
      <c r="K362" s="1813">
        <f>'Part II-Development Team'!K144</f>
        <v>0</v>
      </c>
      <c r="L362" s="1814">
        <f>'Part II-Development Team'!L144</f>
        <v>0</v>
      </c>
      <c r="M362" s="1812" t="str">
        <f>'Part II-Development Team'!M144</f>
        <v>Select</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71.400000000000006">
      <c r="A363" s="1391" t="s">
        <v>652</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For Profit</v>
      </c>
      <c r="L363" s="1814">
        <f>'Part II-Development Team'!L145</f>
        <v>0</v>
      </c>
      <c r="M363" s="1812" t="str">
        <f>'Part II-Development Team'!M145</f>
        <v>Yes</v>
      </c>
      <c r="N363" s="1573" t="str">
        <f>'Part II-Development Team'!N145</f>
        <v>Jeff Beaver and Ralph Fullerton: Owners of Olympia Management, Inc. and Olympia Construction, Inc.; Members of Olympia GP Holdings, LLC</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2894</v>
      </c>
      <c r="B364" s="1391"/>
      <c r="C364" s="1391"/>
      <c r="D364" s="1391"/>
      <c r="E364" s="1573">
        <f>'Part II-Development Team'!E146</f>
        <v>0</v>
      </c>
      <c r="F364" s="1573">
        <f>'Part II-Development Team'!F146</f>
        <v>0</v>
      </c>
      <c r="G364" s="1573">
        <f>'Part II-Development Team'!G146</f>
        <v>0</v>
      </c>
      <c r="H364" s="1573">
        <f>'Part II-Development Team'!H146</f>
        <v>0</v>
      </c>
      <c r="I364" s="1812" t="str">
        <f>'Part II-Development Team'!I146</f>
        <v>Select</v>
      </c>
      <c r="J364" s="1812" t="str">
        <f>'Part II-Development Team'!J146</f>
        <v>Select</v>
      </c>
      <c r="K364" s="1813">
        <f>'Part II-Development Team'!K146</f>
        <v>0</v>
      </c>
      <c r="L364" s="1814">
        <f>'Part II-Development Team'!L146</f>
        <v>0</v>
      </c>
      <c r="M364" s="1812" t="str">
        <f>'Part II-Development Team'!M146</f>
        <v>Select</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2895</v>
      </c>
      <c r="B365" s="1391"/>
      <c r="C365" s="1391"/>
      <c r="D365" s="1391"/>
      <c r="E365" s="1573">
        <f>'Part II-Development Team'!E147</f>
        <v>0</v>
      </c>
      <c r="F365" s="1573">
        <f>'Part II-Development Team'!F147</f>
        <v>0</v>
      </c>
      <c r="G365" s="1573">
        <f>'Part II-Development Team'!G147</f>
        <v>0</v>
      </c>
      <c r="H365" s="1573">
        <f>'Part II-Development Team'!H147</f>
        <v>0</v>
      </c>
      <c r="I365" s="1812" t="str">
        <f>'Part II-Development Team'!I147</f>
        <v>Select</v>
      </c>
      <c r="J365" s="1812" t="str">
        <f>'Part II-Development Team'!J147</f>
        <v>Select</v>
      </c>
      <c r="K365" s="1813">
        <f>'Part II-Development Team'!K147</f>
        <v>0</v>
      </c>
      <c r="L365" s="1814">
        <f>'Part II-Development Team'!L147</f>
        <v>0</v>
      </c>
      <c r="M365" s="1812" t="str">
        <f>'Part II-Development Team'!M147</f>
        <v>Select</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2897</v>
      </c>
      <c r="B366" s="1391"/>
      <c r="C366" s="1391"/>
      <c r="D366" s="1391"/>
      <c r="E366" s="1573">
        <f>'Part II-Development Team'!E148</f>
        <v>0</v>
      </c>
      <c r="F366" s="1573">
        <f>'Part II-Development Team'!F148</f>
        <v>0</v>
      </c>
      <c r="G366" s="1573">
        <f>'Part II-Development Team'!G148</f>
        <v>0</v>
      </c>
      <c r="H366" s="1573">
        <f>'Part II-Development Team'!H148</f>
        <v>0</v>
      </c>
      <c r="I366" s="1812" t="str">
        <f>'Part II-Development Team'!I148</f>
        <v>Select</v>
      </c>
      <c r="J366" s="1812" t="str">
        <f>'Part II-Development Team'!J148</f>
        <v>Select</v>
      </c>
      <c r="K366" s="1813">
        <f>'Part II-Development Team'!K148</f>
        <v>0</v>
      </c>
      <c r="L366" s="1814">
        <f>'Part II-Development Team'!L148</f>
        <v>0</v>
      </c>
      <c r="M366" s="1812" t="str">
        <f>'Part II-Development Team'!M148</f>
        <v>Select</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2896</v>
      </c>
      <c r="B367" s="1391"/>
      <c r="C367" s="1391"/>
      <c r="D367" s="1391"/>
      <c r="E367" s="1573">
        <f>'Part II-Development Team'!E149</f>
        <v>0</v>
      </c>
      <c r="F367" s="1573">
        <f>'Part II-Development Team'!F149</f>
        <v>0</v>
      </c>
      <c r="G367" s="1573">
        <f>'Part II-Development Team'!G149</f>
        <v>0</v>
      </c>
      <c r="H367" s="1573">
        <f>'Part II-Development Team'!H149</f>
        <v>0</v>
      </c>
      <c r="I367" s="1812" t="str">
        <f>'Part II-Development Team'!I149</f>
        <v>Select</v>
      </c>
      <c r="J367" s="1812" t="str">
        <f>'Part II-Development Team'!J149</f>
        <v>Select</v>
      </c>
      <c r="K367" s="1813">
        <f>'Part II-Development Team'!K149</f>
        <v>0</v>
      </c>
      <c r="L367" s="1814">
        <f>'Part II-Development Team'!L149</f>
        <v>0</v>
      </c>
      <c r="M367" s="1812" t="str">
        <f>'Part II-Development Team'!M149</f>
        <v>Select</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71.400000000000006">
      <c r="A368" s="1391" t="s">
        <v>1528</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t="str">
        <f>'Part II-Development Team'!K150</f>
        <v>For Profit</v>
      </c>
      <c r="L368" s="1814">
        <f>'Part II-Development Team'!L150</f>
        <v>0</v>
      </c>
      <c r="M368" s="1812" t="str">
        <f>'Part II-Development Team'!M150</f>
        <v>Yes</v>
      </c>
      <c r="N368" s="1573" t="str">
        <f>'Part II-Development Team'!N150</f>
        <v>Jeff Beaver and Ralph Fullerton: Owners of Olympia Management, Inc. and Olympia Construction, Inc.; Members of Olympia GP Holdings, LLC</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2898</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Yes</v>
      </c>
      <c r="N369" s="1573" t="str">
        <f>'Part II-Development Team'!N151</f>
        <v>Jeff Beaver and Ralph Fullerton: Owners of Olympia Management, Inc. and Olympia Construction, Inc.; Members of Olympia GP Holdings, LLC</v>
      </c>
      <c r="O369" s="1573">
        <f>'Part II-Development Team'!O151</f>
        <v>0</v>
      </c>
      <c r="P369" s="1573">
        <f>'Part II-Development Team'!P151</f>
        <v>0</v>
      </c>
      <c r="Q369" s="1573">
        <f>'Part II-Development Team'!Q151</f>
        <v>0</v>
      </c>
      <c r="R369" s="1573">
        <f>'Part II-Development Team'!R151</f>
        <v>0</v>
      </c>
      <c r="S369" s="1573">
        <f>'Part II-Development Team'!S151</f>
        <v>0</v>
      </c>
    </row>
    <row r="370" spans="1:20" ht="13.8">
      <c r="A370" s="1330"/>
      <c r="B370" s="1330"/>
      <c r="C370" s="1330"/>
      <c r="D370" s="1330"/>
      <c r="E370" s="1330"/>
      <c r="F370" s="1330"/>
      <c r="G370" s="1330"/>
      <c r="H370" s="1330"/>
      <c r="I370" s="1330"/>
      <c r="J370" s="1334"/>
      <c r="K370" s="1368" t="s">
        <v>538</v>
      </c>
      <c r="L370" s="1392">
        <f>SUM(L357:S369)</f>
        <v>1</v>
      </c>
      <c r="M370" s="1334"/>
      <c r="N370" s="1330"/>
      <c r="O370" s="1330"/>
      <c r="P370" s="1336"/>
      <c r="Q370" s="1330"/>
      <c r="R370" s="1330"/>
      <c r="S370" s="1330"/>
    </row>
    <row r="371" spans="1:20" ht="13.8">
      <c r="A371" s="1336" t="s">
        <v>529</v>
      </c>
      <c r="B371" s="1348"/>
      <c r="C371" s="1336" t="s">
        <v>571</v>
      </c>
      <c r="D371" s="1336"/>
      <c r="E371" s="1336"/>
      <c r="F371" s="1336"/>
      <c r="G371" s="1336"/>
      <c r="H371" s="1336"/>
      <c r="I371" s="1336"/>
      <c r="J371" s="1336"/>
      <c r="K371" s="1336"/>
      <c r="L371" s="1336"/>
      <c r="M371" s="1336"/>
      <c r="N371" s="1336" t="s">
        <v>529</v>
      </c>
      <c r="O371" s="1336" t="s">
        <v>79</v>
      </c>
      <c r="P371" s="1336"/>
      <c r="Q371" s="1336"/>
      <c r="R371" s="1336"/>
      <c r="S371" s="1336"/>
    </row>
    <row r="372" spans="1:20">
      <c r="A372" s="1391">
        <f>'Part II-Development Team'!A154</f>
        <v>0</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8">
      <c r="A378" s="1330" t="str">
        <f>CONCATENATE("PART THREE - SOURCES OF FUNDS","  -  ",'Part I-Project Information'!$O$6," ",'Part I-Project Information'!$F$34,", ",'Part I-Project Information'!$F$38,", ",'Part I-Project Information'!$J$39," County")</f>
        <v>PART THREE - SOURCES OF FUNDS  -  2019-049 Woodstone Apartments II, Leesburg, Lee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8">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3.8">
      <c r="A380" s="1330" t="s">
        <v>615</v>
      </c>
      <c r="B380" s="1330" t="s">
        <v>2490</v>
      </c>
      <c r="C380" s="1330"/>
      <c r="D380" s="1330"/>
      <c r="E380" s="1330"/>
      <c r="F380" s="1330"/>
      <c r="G380" s="1330"/>
      <c r="H380" s="1393"/>
      <c r="I380" s="1393"/>
      <c r="J380" s="1393"/>
      <c r="K380" s="1393"/>
      <c r="L380" s="2324" t="str">
        <f>'Part I-Project Information'!$B$6</f>
        <v>April 2019 Final</v>
      </c>
      <c r="M380" s="2324"/>
      <c r="N380" s="2324"/>
      <c r="O380" s="2324"/>
      <c r="P380" s="2324"/>
      <c r="Q380" s="1393"/>
      <c r="R380" s="1393"/>
      <c r="S380" s="1393" t="str">
        <f>B380</f>
        <v>GOVERNMENT FUNDING SOURCES  (check all that apply)</v>
      </c>
      <c r="T380" s="1393"/>
    </row>
    <row r="381" spans="1:20" ht="13.8">
      <c r="A381" s="1336"/>
      <c r="B381" s="1334"/>
      <c r="C381" s="1336"/>
      <c r="D381" s="1330"/>
      <c r="E381" s="1330"/>
      <c r="F381" s="1330"/>
      <c r="G381" s="1330"/>
      <c r="H381" s="1393"/>
      <c r="I381" s="1393"/>
      <c r="J381" s="1393"/>
      <c r="K381" s="1393"/>
      <c r="L381" s="1393"/>
      <c r="M381" s="1393"/>
      <c r="N381" s="1393"/>
      <c r="O381" s="1393"/>
      <c r="P381" s="1393"/>
      <c r="Q381" s="1393"/>
      <c r="R381" s="1393"/>
      <c r="S381" s="1794" t="s">
        <v>2682</v>
      </c>
      <c r="T381" s="1794"/>
    </row>
    <row r="382" spans="1:20" ht="13.8">
      <c r="A382" s="1334"/>
      <c r="B382" s="1334" t="str">
        <f>'Part III-Sources of Funds'!B5</f>
        <v>Yes</v>
      </c>
      <c r="C382" s="1337" t="s">
        <v>2409</v>
      </c>
      <c r="D382" s="1330"/>
      <c r="E382" s="1334">
        <f>'Part III-Sources of Funds'!E5</f>
        <v>0</v>
      </c>
      <c r="F382" s="1337" t="s">
        <v>4499</v>
      </c>
      <c r="G382" s="1330"/>
      <c r="H382" s="1815">
        <f>'Part III-Sources of Funds'!H5</f>
        <v>0</v>
      </c>
      <c r="I382" s="1314">
        <f>'Part III-Sources of Funds'!I5</f>
        <v>0</v>
      </c>
      <c r="J382" s="1393"/>
      <c r="K382" s="1393"/>
      <c r="L382" s="1334">
        <f>'Part III-Sources of Funds'!L5</f>
        <v>0</v>
      </c>
      <c r="M382" s="1337" t="s">
        <v>1536</v>
      </c>
      <c r="N382" s="1393"/>
      <c r="O382" s="1393"/>
      <c r="P382" s="1393"/>
      <c r="Q382" s="1393"/>
      <c r="R382" s="1393"/>
      <c r="S382" s="1391">
        <f>'Part III-Sources of Funds'!S5</f>
        <v>0</v>
      </c>
      <c r="T382" s="1391">
        <f>'Part III-Sources of Funds'!T5</f>
        <v>0</v>
      </c>
    </row>
    <row r="383" spans="1:20" ht="13.8">
      <c r="A383" s="1334"/>
      <c r="B383" s="1334">
        <f>'Part III-Sources of Funds'!B6</f>
        <v>0</v>
      </c>
      <c r="C383" s="1337" t="s">
        <v>5004</v>
      </c>
      <c r="D383" s="1330"/>
      <c r="E383" s="1334">
        <f>'Part III-Sources of Funds'!E6</f>
        <v>0</v>
      </c>
      <c r="F383" s="1337" t="s">
        <v>4500</v>
      </c>
      <c r="G383" s="1393"/>
      <c r="H383" s="1815">
        <f>'Part III-Sources of Funds'!H6</f>
        <v>0</v>
      </c>
      <c r="I383" s="1314">
        <f>'Part III-Sources of Funds'!I6</f>
        <v>0</v>
      </c>
      <c r="J383" s="1393"/>
      <c r="K383" s="1393"/>
      <c r="L383" s="1334">
        <f>'Part III-Sources of Funds'!L6</f>
        <v>0</v>
      </c>
      <c r="M383" s="1337" t="s">
        <v>548</v>
      </c>
      <c r="N383" s="1393"/>
      <c r="O383" s="1393"/>
      <c r="P383" s="1393"/>
      <c r="Q383" s="1393"/>
      <c r="R383" s="1393"/>
      <c r="S383" s="1391">
        <f>'Part III-Sources of Funds'!S6</f>
        <v>0</v>
      </c>
      <c r="T383" s="1391">
        <f>'Part III-Sources of Funds'!T6</f>
        <v>0</v>
      </c>
    </row>
    <row r="384" spans="1:20" ht="13.8">
      <c r="A384" s="1330"/>
      <c r="B384" s="1334">
        <f>'Part III-Sources of Funds'!B7</f>
        <v>0</v>
      </c>
      <c r="C384" s="1337" t="s">
        <v>550</v>
      </c>
      <c r="D384" s="1393"/>
      <c r="E384" s="1393"/>
      <c r="F384" s="1330" t="s">
        <v>5315</v>
      </c>
      <c r="G384" s="1393"/>
      <c r="H384" s="1393" t="str">
        <f>'Part III-Sources of Funds'!H7</f>
        <v>Specify Other HOME Source here</v>
      </c>
      <c r="I384" s="1393">
        <f>'Part III-Sources of Funds'!I7</f>
        <v>0</v>
      </c>
      <c r="J384" s="1393">
        <f>'Part III-Sources of Funds'!J7</f>
        <v>0</v>
      </c>
      <c r="K384" s="1393"/>
      <c r="L384" s="1334">
        <f>'Part III-Sources of Funds'!L7</f>
        <v>0</v>
      </c>
      <c r="M384" s="1337" t="s">
        <v>3617</v>
      </c>
      <c r="N384" s="1393"/>
      <c r="O384" s="1393"/>
      <c r="P384" s="1393"/>
      <c r="Q384" s="1393"/>
      <c r="R384" s="1393"/>
      <c r="S384" s="1391">
        <f>'Part III-Sources of Funds'!S7</f>
        <v>0</v>
      </c>
      <c r="T384" s="1391">
        <f>'Part III-Sources of Funds'!T7</f>
        <v>0</v>
      </c>
    </row>
    <row r="385" spans="1:20" ht="13.8">
      <c r="A385" s="1334"/>
      <c r="B385" s="1334">
        <f>'Part III-Sources of Funds'!B8</f>
        <v>0</v>
      </c>
      <c r="C385" s="1337" t="s">
        <v>2600</v>
      </c>
      <c r="D385" s="1393"/>
      <c r="E385" s="1334">
        <f>'Part III-Sources of Funds'!E8</f>
        <v>0</v>
      </c>
      <c r="F385" s="1337" t="s">
        <v>2608</v>
      </c>
      <c r="G385" s="1393"/>
      <c r="H385" s="1393"/>
      <c r="I385" s="1393"/>
      <c r="J385" s="1393"/>
      <c r="K385" s="1393"/>
      <c r="L385" s="1334">
        <f>'Part III-Sources of Funds'!L8</f>
        <v>0</v>
      </c>
      <c r="M385" s="1337" t="s">
        <v>5005</v>
      </c>
      <c r="N385" s="1393"/>
      <c r="O385" s="1393"/>
      <c r="P385" s="1393"/>
      <c r="Q385" s="1393"/>
      <c r="R385" s="1393"/>
      <c r="S385" s="1391">
        <f>'Part III-Sources of Funds'!S8</f>
        <v>0</v>
      </c>
      <c r="T385" s="1391">
        <f>'Part III-Sources of Funds'!T8</f>
        <v>0</v>
      </c>
    </row>
    <row r="386" spans="1:20" ht="13.8">
      <c r="A386" s="1334"/>
      <c r="B386" s="1334">
        <f>'Part III-Sources of Funds'!B9</f>
        <v>0</v>
      </c>
      <c r="C386" s="1337" t="s">
        <v>2601</v>
      </c>
      <c r="D386" s="1393"/>
      <c r="E386" s="1334">
        <f>'Part III-Sources of Funds'!E9</f>
        <v>0</v>
      </c>
      <c r="F386" s="1337" t="s">
        <v>3719</v>
      </c>
      <c r="G386" s="1393"/>
      <c r="H386" s="1393" t="str">
        <f>'Part III-Sources of Funds'!H9</f>
        <v>Specify Other PBRA Source here</v>
      </c>
      <c r="I386" s="1393">
        <f>'Part III-Sources of Funds'!I9</f>
        <v>0</v>
      </c>
      <c r="J386" s="1393">
        <f>'Part III-Sources of Funds'!J9</f>
        <v>0</v>
      </c>
      <c r="K386" s="1393"/>
      <c r="L386" s="1334">
        <f>'Part III-Sources of Funds'!L9</f>
        <v>0</v>
      </c>
      <c r="M386" s="1337" t="s">
        <v>3678</v>
      </c>
      <c r="N386" s="1393"/>
      <c r="O386" s="1393"/>
      <c r="P386" s="1393"/>
      <c r="Q386" s="1393"/>
      <c r="R386" s="1393"/>
      <c r="S386" s="1391">
        <f>'Part III-Sources of Funds'!S9</f>
        <v>0</v>
      </c>
      <c r="T386" s="1391">
        <f>'Part III-Sources of Funds'!T9</f>
        <v>0</v>
      </c>
    </row>
    <row r="387" spans="1:20" ht="13.8">
      <c r="A387" s="1334"/>
      <c r="B387" s="1334">
        <f>'Part III-Sources of Funds'!B10</f>
        <v>0</v>
      </c>
      <c r="C387" s="1337" t="s">
        <v>3683</v>
      </c>
      <c r="D387" s="1393"/>
      <c r="E387" s="1334">
        <f>'Part III-Sources of Funds'!E10</f>
        <v>0</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f>'Part III-Sources of Funds'!L10</f>
        <v>0</v>
      </c>
      <c r="M387" s="1330" t="s">
        <v>2609</v>
      </c>
      <c r="N387" s="1393"/>
      <c r="O387" s="1393"/>
      <c r="P387" s="1393"/>
      <c r="Q387" s="1393"/>
      <c r="R387" s="1393"/>
      <c r="S387" s="1391">
        <f>'Part III-Sources of Funds'!S10</f>
        <v>0</v>
      </c>
      <c r="T387" s="1391">
        <f>'Part III-Sources of Funds'!T10</f>
        <v>0</v>
      </c>
    </row>
    <row r="388" spans="1:20" ht="13.8">
      <c r="A388" s="1334"/>
      <c r="B388" s="1334">
        <f>'Part III-Sources of Funds'!B11</f>
        <v>0</v>
      </c>
      <c r="C388" s="1330" t="s">
        <v>3885</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f>'Part III-Sources of Funds'!L11</f>
        <v>0</v>
      </c>
      <c r="M388" s="1330" t="s">
        <v>3722</v>
      </c>
      <c r="N388" s="1393"/>
      <c r="O388" s="1393"/>
      <c r="P388" s="1393"/>
      <c r="Q388" s="1393"/>
      <c r="R388" s="1393"/>
      <c r="S388" s="1391">
        <f>'Part III-Sources of Funds'!S11</f>
        <v>0</v>
      </c>
      <c r="T388" s="1391">
        <f>'Part III-Sources of Funds'!T11</f>
        <v>0</v>
      </c>
    </row>
    <row r="389" spans="1:20" ht="13.8">
      <c r="A389" s="1334"/>
      <c r="B389" s="1334">
        <f>'Part III-Sources of Funds'!B12</f>
        <v>0</v>
      </c>
      <c r="C389" s="1330" t="s">
        <v>2607</v>
      </c>
      <c r="D389" s="1393"/>
      <c r="E389" s="1334">
        <f>'Part III-Sources of Funds'!E12</f>
        <v>0</v>
      </c>
      <c r="F389" s="1393" t="str">
        <f>'Part III-Sources of Funds'!F12</f>
        <v>Other Type of STATE/LOCAL Funding - describe type/program here</v>
      </c>
      <c r="G389" s="1393">
        <f>'Part III-Sources of Funds'!G12</f>
        <v>0</v>
      </c>
      <c r="H389" s="1393">
        <f>'Part III-Sources of Funds'!H12</f>
        <v>0</v>
      </c>
      <c r="I389" s="1393">
        <f>'Part III-Sources of Funds'!I12</f>
        <v>0</v>
      </c>
      <c r="J389" s="1393">
        <f>'Part III-Sources of Funds'!J12</f>
        <v>0</v>
      </c>
      <c r="K389" s="1393"/>
      <c r="L389" s="1334">
        <f>'Part III-Sources of Funds'!L12</f>
        <v>0</v>
      </c>
      <c r="M389" s="1330" t="s">
        <v>2794</v>
      </c>
      <c r="N389" s="1393"/>
      <c r="O389" s="1393"/>
      <c r="P389" s="1393"/>
      <c r="Q389" s="1393"/>
      <c r="R389" s="1393"/>
      <c r="S389" s="1391">
        <f>'Part III-Sources of Funds'!S12</f>
        <v>0</v>
      </c>
      <c r="T389" s="1391">
        <f>'Part III-Sources of Funds'!T12</f>
        <v>0</v>
      </c>
    </row>
    <row r="390" spans="1:20" ht="13.8">
      <c r="A390" s="1334"/>
      <c r="B390" s="1334">
        <f>'Part III-Sources of Funds'!B13</f>
        <v>0</v>
      </c>
      <c r="C390" s="1330" t="s">
        <v>3717</v>
      </c>
      <c r="D390" s="1393"/>
      <c r="E390" s="1393"/>
      <c r="F390" s="1393" t="str">
        <f>'Part III-Sources of Funds'!F13</f>
        <v>Specify Source/Administrator of Other STATE/LOCAL Funding here</v>
      </c>
      <c r="G390" s="1393">
        <f>'Part III-Sources of Funds'!G13</f>
        <v>0</v>
      </c>
      <c r="H390" s="1393">
        <f>'Part III-Sources of Funds'!H13</f>
        <v>0</v>
      </c>
      <c r="I390" s="1393">
        <f>'Part III-Sources of Funds'!I13</f>
        <v>0</v>
      </c>
      <c r="J390" s="1393">
        <f>'Part III-Sources of Funds'!J13</f>
        <v>0</v>
      </c>
      <c r="K390" s="1393"/>
      <c r="L390" s="1334">
        <f>'Part III-Sources of Funds'!L13</f>
        <v>0</v>
      </c>
      <c r="M390" s="1337" t="s">
        <v>3884</v>
      </c>
      <c r="N390" s="1393"/>
      <c r="O390" s="1393"/>
      <c r="P390" s="1393"/>
      <c r="Q390" s="1393"/>
      <c r="R390" s="1393"/>
      <c r="S390" s="1391">
        <f>'Part III-Sources of Funds'!S13</f>
        <v>0</v>
      </c>
      <c r="T390" s="1391">
        <f>'Part III-Sources of Funds'!T13</f>
        <v>0</v>
      </c>
    </row>
    <row r="391" spans="1:20" ht="13.8">
      <c r="A391" s="1334"/>
      <c r="B391" s="1334">
        <f>'Part III-Sources of Funds'!B14</f>
        <v>0</v>
      </c>
      <c r="C391" s="1337" t="s">
        <v>1802</v>
      </c>
      <c r="D391" s="1393"/>
      <c r="E391" s="1334">
        <f>'Part III-Sources of Funds'!E14</f>
        <v>0</v>
      </c>
      <c r="F391" s="1337" t="s">
        <v>5002</v>
      </c>
      <c r="G391" s="1393"/>
      <c r="H391" s="1393"/>
      <c r="I391" s="1449">
        <f>'Part III-Sources of Funds'!I14</f>
        <v>0</v>
      </c>
      <c r="J391" s="1449">
        <f>'Part III-Sources of Funds'!J14</f>
        <v>0</v>
      </c>
      <c r="K391" s="1393"/>
      <c r="L391" s="1334">
        <f>'Part III-Sources of Funds'!L14</f>
        <v>0</v>
      </c>
      <c r="M391" s="1332" t="s">
        <v>5316</v>
      </c>
      <c r="N391" s="1393"/>
      <c r="O391" s="1393"/>
      <c r="P391" s="1393"/>
      <c r="Q391" s="1393"/>
      <c r="R391" s="1393"/>
      <c r="S391" s="1393"/>
      <c r="T391" s="1393"/>
    </row>
    <row r="392" spans="1:20" ht="13.8">
      <c r="A392" s="1334"/>
      <c r="B392" s="1393" t="s">
        <v>5006</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8">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8">
      <c r="A394" s="1330" t="s">
        <v>739</v>
      </c>
      <c r="B394" s="1337" t="s">
        <v>2344</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8">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8">
      <c r="A396" s="1330"/>
      <c r="B396" s="1337" t="s">
        <v>1870</v>
      </c>
      <c r="C396" s="1330"/>
      <c r="D396" s="1330"/>
      <c r="E396" s="1330"/>
      <c r="F396" s="1330"/>
      <c r="G396" s="1330"/>
      <c r="H396" s="1330" t="s">
        <v>1296</v>
      </c>
      <c r="I396" s="1330"/>
      <c r="J396" s="1330"/>
      <c r="K396" s="1330"/>
      <c r="L396" s="1330" t="s">
        <v>4958</v>
      </c>
      <c r="M396" s="1330"/>
      <c r="N396" s="1330" t="s">
        <v>1506</v>
      </c>
      <c r="O396" s="1330"/>
      <c r="P396" s="1330" t="s">
        <v>1629</v>
      </c>
      <c r="Q396" s="1330"/>
      <c r="R396" s="1393"/>
      <c r="S396" s="1794" t="s">
        <v>2682</v>
      </c>
      <c r="T396" s="1794"/>
    </row>
    <row r="397" spans="1:20" ht="13.8">
      <c r="A397" s="1330"/>
      <c r="B397" s="1330" t="s">
        <v>1590</v>
      </c>
      <c r="C397" s="1330"/>
      <c r="D397" s="1330"/>
      <c r="E397" s="1330"/>
      <c r="F397" s="1330"/>
      <c r="G397" s="1330"/>
      <c r="H397" s="1386" t="str">
        <f>'Part III-Sources of Funds'!H20</f>
        <v>Regions Bank</v>
      </c>
      <c r="I397" s="1386">
        <f>'Part III-Sources of Funds'!I20</f>
        <v>0</v>
      </c>
      <c r="J397" s="1386">
        <f>'Part III-Sources of Funds'!J20</f>
        <v>0</v>
      </c>
      <c r="K397" s="1386">
        <f>'Part III-Sources of Funds'!K20</f>
        <v>0</v>
      </c>
      <c r="L397" s="1412">
        <f>'Part III-Sources of Funds'!L20</f>
        <v>4100000</v>
      </c>
      <c r="M397" s="1412">
        <f>'Part III-Sources of Funds'!M20</f>
        <v>0</v>
      </c>
      <c r="N397" s="1395">
        <f>'Part III-Sources of Funds'!N20</f>
        <v>5.5E-2</v>
      </c>
      <c r="O397" s="1395">
        <f>'Part III-Sources of Funds'!O20</f>
        <v>0</v>
      </c>
      <c r="P397" s="1467">
        <f>'Part III-Sources of Funds'!P20</f>
        <v>18</v>
      </c>
      <c r="Q397" s="1467">
        <f>'Part III-Sources of Funds'!Q20</f>
        <v>0</v>
      </c>
      <c r="R397" s="1393"/>
      <c r="S397" s="1391">
        <f>'Part III-Sources of Funds'!S20</f>
        <v>0</v>
      </c>
      <c r="T397" s="1391">
        <f>'Part III-Sources of Funds'!T20</f>
        <v>0</v>
      </c>
    </row>
    <row r="398" spans="1:20" ht="13.8">
      <c r="A398" s="1330"/>
      <c r="B398" s="1330" t="s">
        <v>1591</v>
      </c>
      <c r="C398" s="1330"/>
      <c r="D398" s="1330"/>
      <c r="E398" s="1330"/>
      <c r="F398" s="1330"/>
      <c r="G398" s="1330"/>
      <c r="H398" s="1386">
        <f>'Part III-Sources of Funds'!H21</f>
        <v>0</v>
      </c>
      <c r="I398" s="1386">
        <f>'Part III-Sources of Funds'!I21</f>
        <v>0</v>
      </c>
      <c r="J398" s="1386">
        <f>'Part III-Sources of Funds'!J21</f>
        <v>0</v>
      </c>
      <c r="K398" s="1386">
        <f>'Part III-Sources of Funds'!K21</f>
        <v>0</v>
      </c>
      <c r="L398" s="1412">
        <f>'Part III-Sources of Funds'!L21</f>
        <v>0</v>
      </c>
      <c r="M398" s="1412">
        <f>'Part III-Sources of Funds'!M21</f>
        <v>0</v>
      </c>
      <c r="N398" s="1395">
        <f>'Part III-Sources of Funds'!N21</f>
        <v>0</v>
      </c>
      <c r="O398" s="1395">
        <f>'Part III-Sources of Funds'!O21</f>
        <v>0</v>
      </c>
      <c r="P398" s="1449">
        <f>'Part III-Sources of Funds'!P21</f>
        <v>0</v>
      </c>
      <c r="Q398" s="1449">
        <f>'Part III-Sources of Funds'!Q21</f>
        <v>0</v>
      </c>
      <c r="R398" s="1393"/>
      <c r="S398" s="1391">
        <f>'Part III-Sources of Funds'!S21</f>
        <v>0</v>
      </c>
      <c r="T398" s="1391">
        <f>'Part III-Sources of Funds'!T21</f>
        <v>0</v>
      </c>
    </row>
    <row r="399" spans="1:20" ht="13.8">
      <c r="A399" s="1330"/>
      <c r="B399" s="1330" t="s">
        <v>1592</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8">
      <c r="A400" s="1330"/>
      <c r="B400" s="1330" t="s">
        <v>2214</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8">
      <c r="A401" s="1330"/>
      <c r="B401" s="1330" t="s">
        <v>800</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8">
      <c r="A402" s="1330"/>
      <c r="B402" s="1330" t="s">
        <v>640</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13.8">
      <c r="A403" s="1330"/>
      <c r="B403" s="1330" t="s">
        <v>801</v>
      </c>
      <c r="C403" s="1330"/>
      <c r="D403" s="1330"/>
      <c r="E403" s="1330"/>
      <c r="F403" s="1393"/>
      <c r="G403" s="1393"/>
      <c r="H403" s="1386" t="str">
        <f>'Part III-Sources of Funds'!H26</f>
        <v>Regions Bank</v>
      </c>
      <c r="I403" s="1386">
        <f>'Part III-Sources of Funds'!I26</f>
        <v>0</v>
      </c>
      <c r="J403" s="1386">
        <f>'Part III-Sources of Funds'!J26</f>
        <v>0</v>
      </c>
      <c r="K403" s="1386">
        <f>'Part III-Sources of Funds'!K26</f>
        <v>0</v>
      </c>
      <c r="L403" s="1412">
        <f>'Part III-Sources of Funds'!L26</f>
        <v>775000</v>
      </c>
      <c r="M403" s="1412">
        <f>'Part III-Sources of Funds'!M26</f>
        <v>0</v>
      </c>
      <c r="N403" s="1330"/>
      <c r="O403" s="1393"/>
      <c r="P403" s="1393"/>
      <c r="Q403" s="1330"/>
      <c r="R403" s="1393"/>
      <c r="S403" s="1391">
        <f>'Part III-Sources of Funds'!S26</f>
        <v>0</v>
      </c>
      <c r="T403" s="1391">
        <f>'Part III-Sources of Funds'!T26</f>
        <v>0</v>
      </c>
    </row>
    <row r="404" spans="1:20" ht="27.6">
      <c r="A404" s="1330"/>
      <c r="B404" s="1330" t="s">
        <v>802</v>
      </c>
      <c r="C404" s="1330"/>
      <c r="D404" s="1330"/>
      <c r="E404" s="1330"/>
      <c r="F404" s="1393"/>
      <c r="G404" s="1393"/>
      <c r="H404" s="1386" t="str">
        <f>'Part III-Sources of Funds'!H27</f>
        <v>Sugar Creek Capital</v>
      </c>
      <c r="I404" s="1386">
        <f>'Part III-Sources of Funds'!I27</f>
        <v>0</v>
      </c>
      <c r="J404" s="1386">
        <f>'Part III-Sources of Funds'!J27</f>
        <v>0</v>
      </c>
      <c r="K404" s="1386">
        <f>'Part III-Sources of Funds'!K27</f>
        <v>0</v>
      </c>
      <c r="L404" s="1412">
        <f>'Part III-Sources of Funds'!L27</f>
        <v>325000</v>
      </c>
      <c r="M404" s="1412">
        <f>'Part III-Sources of Funds'!M27</f>
        <v>0</v>
      </c>
      <c r="N404" s="1330"/>
      <c r="O404" s="1393"/>
      <c r="P404" s="1393"/>
      <c r="Q404" s="1330"/>
      <c r="R404" s="1393"/>
      <c r="S404" s="1391">
        <f>'Part III-Sources of Funds'!S27</f>
        <v>0</v>
      </c>
      <c r="T404" s="1391">
        <f>'Part III-Sources of Funds'!T27</f>
        <v>0</v>
      </c>
    </row>
    <row r="405" spans="1:20" ht="13.8">
      <c r="A405" s="1330"/>
      <c r="B405" s="1330" t="s">
        <v>242</v>
      </c>
      <c r="C405" s="1330"/>
      <c r="D405" s="1386">
        <f>'Part III-Sources of Funds'!D28</f>
        <v>0</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0</v>
      </c>
      <c r="M405" s="1412">
        <f>'Part III-Sources of Funds'!M28</f>
        <v>0</v>
      </c>
      <c r="N405" s="1330"/>
      <c r="O405" s="1393"/>
      <c r="P405" s="1393"/>
      <c r="Q405" s="1330"/>
      <c r="R405" s="1393"/>
      <c r="S405" s="1391">
        <f>'Part III-Sources of Funds'!S28</f>
        <v>0</v>
      </c>
      <c r="T405" s="1391">
        <f>'Part III-Sources of Funds'!T28</f>
        <v>0</v>
      </c>
    </row>
    <row r="406" spans="1:20" ht="13.8">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8">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8">
      <c r="A408" s="1330"/>
      <c r="B408" s="1337" t="s">
        <v>1297</v>
      </c>
      <c r="C408" s="1330"/>
      <c r="D408" s="1330"/>
      <c r="E408" s="1330"/>
      <c r="F408" s="1330"/>
      <c r="G408" s="1330"/>
      <c r="H408" s="1330"/>
      <c r="I408" s="1330"/>
      <c r="J408" s="1393"/>
      <c r="K408" s="1393"/>
      <c r="L408" s="1400">
        <f>SUM(L397:L407)</f>
        <v>5200000</v>
      </c>
      <c r="M408" s="1400"/>
      <c r="N408" s="1336"/>
      <c r="O408" s="1393"/>
      <c r="P408" s="1393"/>
      <c r="Q408" s="1393"/>
      <c r="R408" s="1393"/>
      <c r="S408" s="1391">
        <f>'Part III-Sources of Funds'!S31</f>
        <v>0</v>
      </c>
      <c r="T408" s="1391">
        <f>'Part III-Sources of Funds'!T31</f>
        <v>0</v>
      </c>
    </row>
    <row r="409" spans="1:20" ht="13.8">
      <c r="A409" s="1330"/>
      <c r="B409" s="1337" t="s">
        <v>1298</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4408410</v>
      </c>
      <c r="M409" s="1400"/>
      <c r="N409" s="1341"/>
      <c r="O409" s="1393"/>
      <c r="P409" s="1393"/>
      <c r="Q409" s="1393"/>
      <c r="R409" s="1393"/>
      <c r="S409" s="1391">
        <f>'Part III-Sources of Funds'!S32</f>
        <v>0</v>
      </c>
      <c r="T409" s="1391">
        <f>'Part III-Sources of Funds'!T32</f>
        <v>0</v>
      </c>
    </row>
    <row r="410" spans="1:20" ht="13.8">
      <c r="A410" s="1330"/>
      <c r="B410" s="1337" t="s">
        <v>2156</v>
      </c>
      <c r="C410" s="1330"/>
      <c r="D410" s="1330"/>
      <c r="E410" s="1330"/>
      <c r="F410" s="1330"/>
      <c r="G410" s="1330"/>
      <c r="H410" s="1330"/>
      <c r="I410" s="1330"/>
      <c r="J410" s="1393"/>
      <c r="K410" s="1393"/>
      <c r="L410" s="1462">
        <f>L408-L409</f>
        <v>791590</v>
      </c>
      <c r="M410" s="1462"/>
      <c r="N410" s="1341"/>
      <c r="O410" s="1393"/>
      <c r="P410" s="1393"/>
      <c r="Q410" s="1393"/>
      <c r="R410" s="1393"/>
      <c r="S410" s="1391">
        <f>'Part III-Sources of Funds'!S33</f>
        <v>0</v>
      </c>
      <c r="T410" s="1391">
        <f>'Part III-Sources of Funds'!T33</f>
        <v>0</v>
      </c>
    </row>
    <row r="411" spans="1:20" ht="13.8">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8">
      <c r="A412" s="1330" t="s">
        <v>741</v>
      </c>
      <c r="B412" s="1337" t="s">
        <v>799</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2098</v>
      </c>
      <c r="L413" s="1334" t="s">
        <v>1294</v>
      </c>
      <c r="M413" s="1334" t="s">
        <v>1299</v>
      </c>
      <c r="N413" s="1393"/>
      <c r="O413" s="1393"/>
      <c r="P413" s="1341" t="s">
        <v>34</v>
      </c>
      <c r="Q413" s="1341"/>
      <c r="R413" s="1393"/>
      <c r="S413" s="1393"/>
      <c r="T413" s="1393"/>
    </row>
    <row r="414" spans="1:20" ht="13.8">
      <c r="A414" s="1330"/>
      <c r="B414" s="1337" t="s">
        <v>1870</v>
      </c>
      <c r="C414" s="1330"/>
      <c r="D414" s="1330"/>
      <c r="E414" s="1330" t="s">
        <v>1296</v>
      </c>
      <c r="F414" s="1330"/>
      <c r="G414" s="1330"/>
      <c r="H414" s="1330"/>
      <c r="I414" s="1330" t="s">
        <v>4957</v>
      </c>
      <c r="J414" s="1330"/>
      <c r="K414" s="1334" t="s">
        <v>1805</v>
      </c>
      <c r="L414" s="1334" t="s">
        <v>2213</v>
      </c>
      <c r="M414" s="1334" t="s">
        <v>2213</v>
      </c>
      <c r="N414" s="1330" t="s">
        <v>74</v>
      </c>
      <c r="O414" s="1330"/>
      <c r="P414" s="1341"/>
      <c r="Q414" s="1341"/>
      <c r="R414" s="1393"/>
      <c r="S414" s="1794" t="s">
        <v>2682</v>
      </c>
      <c r="T414" s="1794"/>
    </row>
    <row r="415" spans="1:20" ht="13.8">
      <c r="A415" s="1330"/>
      <c r="B415" s="1330" t="s">
        <v>2613</v>
      </c>
      <c r="C415" s="1330"/>
      <c r="D415" s="1330"/>
      <c r="E415" s="1386">
        <f>'Part III-Sources of Funds'!E38</f>
        <v>0</v>
      </c>
      <c r="F415" s="1386">
        <f>'Part III-Sources of Funds'!F38</f>
        <v>0</v>
      </c>
      <c r="G415" s="1386">
        <f>'Part III-Sources of Funds'!G38</f>
        <v>0</v>
      </c>
      <c r="H415" s="1386">
        <f>'Part III-Sources of Funds'!H38</f>
        <v>0</v>
      </c>
      <c r="I415" s="1462">
        <f>'Part III-Sources of Funds'!I38</f>
        <v>0</v>
      </c>
      <c r="J415" s="1330">
        <f>'Part III-Sources of Funds'!J38</f>
        <v>0</v>
      </c>
      <c r="K415" s="1399">
        <f>'Part III-Sources of Funds'!K38</f>
        <v>0</v>
      </c>
      <c r="L415" s="1334">
        <f>'Part III-Sources of Funds'!L38</f>
        <v>0</v>
      </c>
      <c r="M415" s="1334">
        <f>'Part III-Sources of Funds'!M38</f>
        <v>0</v>
      </c>
      <c r="N415" s="1330">
        <f>'Part III-Sources of Funds'!N38</f>
        <v>0</v>
      </c>
      <c r="O415" s="1330">
        <f>'Part III-Sources of Funds'!O38</f>
        <v>0</v>
      </c>
      <c r="P415" s="1400" t="str">
        <f>'Part III-Sources of Funds'!P38</f>
        <v/>
      </c>
      <c r="Q415" s="1400">
        <f>'Part III-Sources of Funds'!Q38</f>
        <v>0</v>
      </c>
      <c r="R415" s="1393"/>
      <c r="S415" s="1391">
        <f>'Part III-Sources of Funds'!S38</f>
        <v>0</v>
      </c>
      <c r="T415" s="1391">
        <f>'Part III-Sources of Funds'!T38</f>
        <v>0</v>
      </c>
    </row>
    <row r="416" spans="1:20" ht="13.8">
      <c r="A416" s="1330"/>
      <c r="B416" s="1330" t="s">
        <v>2614</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8">
      <c r="A417" s="1330"/>
      <c r="B417" s="1330" t="s">
        <v>2615</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8">
      <c r="A418" s="1330"/>
      <c r="B418" s="1330" t="s">
        <v>740</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8">
      <c r="A419" s="1330"/>
      <c r="B419" s="1330" t="s">
        <v>2747</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69">
      <c r="A420" s="1330"/>
      <c r="B420" s="1330" t="s">
        <v>228</v>
      </c>
      <c r="C420" s="1330"/>
      <c r="D420" s="1401">
        <f>'Part III-Sources of Funds'!D43</f>
        <v>1.7307901315074448E-3</v>
      </c>
      <c r="E420" s="1386" t="str">
        <f>'Part III-Sources of Funds'!E43</f>
        <v>Woodstone Apartments II, LP-Deferred Dev. Fee</v>
      </c>
      <c r="F420" s="1386">
        <f>'Part III-Sources of Funds'!F43</f>
        <v>0</v>
      </c>
      <c r="G420" s="1386">
        <f>'Part III-Sources of Funds'!G43</f>
        <v>0</v>
      </c>
      <c r="H420" s="1386">
        <f>'Part III-Sources of Funds'!H43</f>
        <v>0</v>
      </c>
      <c r="I420" s="1449">
        <f>'Part III-Sources of Funds'!I43</f>
        <v>637</v>
      </c>
      <c r="J420" s="1449">
        <f>'Part III-Sources of Funds'!J43</f>
        <v>0</v>
      </c>
      <c r="K420" s="1399">
        <f>'Part III-Sources of Funds'!K43</f>
        <v>0</v>
      </c>
      <c r="L420" s="1334">
        <f>'Part III-Sources of Funds'!L43</f>
        <v>0</v>
      </c>
      <c r="M420" s="1334">
        <f>'Part III-Sources of Funds'!M43</f>
        <v>0</v>
      </c>
      <c r="N420" s="1330" t="str">
        <f>'Part III-Sources of Funds'!N43</f>
        <v>Cash Flow</v>
      </c>
      <c r="O420" s="1330">
        <f>'Part III-Sources of Funds'!O43</f>
        <v>0</v>
      </c>
      <c r="P420" s="1400">
        <f>'Part III-Sources of Funds'!P43</f>
        <v>0</v>
      </c>
      <c r="Q420" s="1400">
        <f>'Part III-Sources of Funds'!Q43</f>
        <v>0</v>
      </c>
      <c r="R420" s="1393"/>
      <c r="S420" s="1391">
        <f>'Part III-Sources of Funds'!S43</f>
        <v>0</v>
      </c>
      <c r="T420" s="1391">
        <f>'Part III-Sources of Funds'!T43</f>
        <v>0</v>
      </c>
    </row>
    <row r="421" spans="1:20" ht="13.8">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8">
      <c r="A422" s="1330"/>
      <c r="B422" s="1393" t="s">
        <v>4181</v>
      </c>
      <c r="C422" s="1330"/>
      <c r="D422" s="1393"/>
      <c r="E422" s="1393" t="s">
        <v>4083</v>
      </c>
      <c r="F422" s="1402" t="e">
        <f>'Part III-Sources of Funds'!F45</f>
        <v>#N/A</v>
      </c>
      <c r="G422" s="1393">
        <f>'Part III-Sources of Funds'!G45</f>
        <v>0</v>
      </c>
      <c r="H422" s="1394" t="s">
        <v>4180</v>
      </c>
      <c r="I422" s="1402" t="e">
        <f>'Part III-Sources of Funds'!I45</f>
        <v>#N/A</v>
      </c>
      <c r="J422" s="1393">
        <f>'Part III-Sources of Funds'!J45</f>
        <v>0</v>
      </c>
      <c r="K422" s="1394" t="s">
        <v>4182</v>
      </c>
      <c r="L422" s="1403" t="e">
        <f>'Part III-Sources of Funds'!L45</f>
        <v>#N/A</v>
      </c>
      <c r="M422" s="1403">
        <f>'Part III-Sources of Funds'!M45</f>
        <v>0</v>
      </c>
      <c r="N422" s="1400" t="s">
        <v>4969</v>
      </c>
      <c r="O422" s="1400"/>
      <c r="P422" s="1449">
        <f>'Part III-Sources of Funds'!P45</f>
        <v>0</v>
      </c>
      <c r="Q422" s="1449">
        <f>'Part III-Sources of Funds'!Q45</f>
        <v>0</v>
      </c>
      <c r="R422" s="1393"/>
      <c r="S422" s="1391"/>
      <c r="T422" s="1391"/>
    </row>
    <row r="423" spans="1:20" ht="13.8">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8">
      <c r="A424" s="1330"/>
      <c r="B424" s="1330" t="s">
        <v>2214</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8">
      <c r="A425" s="1330"/>
      <c r="B425" s="1330" t="s">
        <v>800</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516</v>
      </c>
      <c r="M425" s="1404"/>
      <c r="N425" s="1405" t="s">
        <v>517</v>
      </c>
      <c r="O425" s="1405"/>
      <c r="P425" s="1334" t="s">
        <v>515</v>
      </c>
      <c r="Q425" s="1330"/>
      <c r="R425" s="1393"/>
      <c r="S425" s="1391">
        <f>'Part III-Sources of Funds'!S48</f>
        <v>0</v>
      </c>
      <c r="T425" s="1391">
        <f>'Part III-Sources of Funds'!T48</f>
        <v>0</v>
      </c>
    </row>
    <row r="426" spans="1:20" ht="55.2">
      <c r="A426" s="1330"/>
      <c r="B426" s="1330" t="s">
        <v>801</v>
      </c>
      <c r="C426" s="1330"/>
      <c r="D426" s="1330"/>
      <c r="E426" s="1386" t="str">
        <f>'Part III-Sources of Funds'!E49</f>
        <v>Regions Bank &amp; Sugar Creek</v>
      </c>
      <c r="F426" s="1386">
        <f>'Part III-Sources of Funds'!F49</f>
        <v>0</v>
      </c>
      <c r="G426" s="1386">
        <f>'Part III-Sources of Funds'!G49</f>
        <v>0</v>
      </c>
      <c r="H426" s="1386">
        <f>'Part III-Sources of Funds'!H49</f>
        <v>0</v>
      </c>
      <c r="I426" s="1462">
        <f>'Part III-Sources of Funds'!I49</f>
        <v>3174322</v>
      </c>
      <c r="J426" s="1462">
        <f>'Part III-Sources of Funds'!J49</f>
        <v>0</v>
      </c>
      <c r="K426" s="1393"/>
      <c r="L426" s="1406">
        <f>'Part IV-A-Uses of Funds'!$J$175*10*'Part IV-A-Uses of Funds'!$N$168</f>
        <v>3174956.6</v>
      </c>
      <c r="M426" s="1406"/>
      <c r="N426" s="1407">
        <f>I426-L426</f>
        <v>-634.60000000009313</v>
      </c>
      <c r="O426" s="1407"/>
      <c r="P426" s="1408" t="s">
        <v>2559</v>
      </c>
      <c r="Q426" s="1330"/>
      <c r="R426" s="1393"/>
      <c r="S426" s="1391">
        <f>'Part III-Sources of Funds'!S49</f>
        <v>0</v>
      </c>
      <c r="T426" s="1391">
        <f>'Part III-Sources of Funds'!T49</f>
        <v>0</v>
      </c>
    </row>
    <row r="427" spans="1:20" ht="27.6">
      <c r="A427" s="1330"/>
      <c r="B427" s="1330" t="s">
        <v>802</v>
      </c>
      <c r="C427" s="1330"/>
      <c r="D427" s="1330"/>
      <c r="E427" s="1386" t="str">
        <f>'Part III-Sources of Funds'!E50</f>
        <v>Sugar Creek</v>
      </c>
      <c r="F427" s="1386">
        <f>'Part III-Sources of Funds'!F50</f>
        <v>0</v>
      </c>
      <c r="G427" s="1386">
        <f>'Part III-Sources of Funds'!G50</f>
        <v>0</v>
      </c>
      <c r="H427" s="1386">
        <f>'Part III-Sources of Funds'!H50</f>
        <v>0</v>
      </c>
      <c r="I427" s="1462">
        <f>'Part III-Sources of Funds'!I50</f>
        <v>1993577</v>
      </c>
      <c r="J427" s="1462">
        <f>'Part III-Sources of Funds'!J50</f>
        <v>0</v>
      </c>
      <c r="K427" s="1393"/>
      <c r="L427" s="1406">
        <f>'Part IV-A-Uses of Funds'!$J$175*10*'Part IV-A-Uses of Funds'!$Q$168</f>
        <v>1993577.4000000001</v>
      </c>
      <c r="M427" s="1406"/>
      <c r="N427" s="1407">
        <f>I427-L427</f>
        <v>-0.40000000013969839</v>
      </c>
      <c r="O427" s="1407"/>
      <c r="P427" s="1409">
        <f>I426/I436</f>
        <v>0.61416269520034295</v>
      </c>
      <c r="Q427" s="1330"/>
      <c r="R427" s="1393"/>
      <c r="S427" s="1391">
        <f>'Part III-Sources of Funds'!S50</f>
        <v>0</v>
      </c>
      <c r="T427" s="1391">
        <f>'Part III-Sources of Funds'!T50</f>
        <v>0</v>
      </c>
    </row>
    <row r="428" spans="1:20" ht="13.8">
      <c r="A428" s="1330"/>
      <c r="B428" s="1330" t="s">
        <v>1409</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0.38571405906817713</v>
      </c>
      <c r="Q428" s="1330"/>
      <c r="R428" s="1393"/>
      <c r="S428" s="1391">
        <f>'Part III-Sources of Funds'!S51</f>
        <v>0</v>
      </c>
      <c r="T428" s="1391">
        <f>'Part III-Sources of Funds'!T51</f>
        <v>0</v>
      </c>
    </row>
    <row r="429" spans="1:20" ht="13.8">
      <c r="A429" s="1330"/>
      <c r="B429" s="1330" t="s">
        <v>530</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0.99987675426852007</v>
      </c>
      <c r="Q429" s="1330"/>
      <c r="R429" s="1393"/>
      <c r="S429" s="1391">
        <f>'Part III-Sources of Funds'!S52</f>
        <v>0</v>
      </c>
      <c r="T429" s="1391">
        <f>'Part III-Sources of Funds'!T52</f>
        <v>0</v>
      </c>
    </row>
    <row r="430" spans="1:20" ht="13.8">
      <c r="A430" s="1330"/>
      <c r="B430" s="1330" t="s">
        <v>1868</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8">
      <c r="A431" s="1330"/>
      <c r="B431" s="1330" t="s">
        <v>1869</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13.8">
      <c r="A432" s="1330"/>
      <c r="B432" s="1330" t="s">
        <v>740</v>
      </c>
      <c r="C432" s="1386">
        <f>'Part III-Sources of Funds'!C55</f>
        <v>0</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8">
      <c r="A433" s="1330"/>
      <c r="B433" s="1330" t="s">
        <v>740</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8">
      <c r="A434" s="1330"/>
      <c r="B434" s="1330" t="s">
        <v>740</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8">
      <c r="A435" s="1330"/>
      <c r="B435" s="1337" t="s">
        <v>2215</v>
      </c>
      <c r="C435" s="1330"/>
      <c r="D435" s="1330"/>
      <c r="E435" s="1330"/>
      <c r="F435" s="1330"/>
      <c r="G435" s="1330"/>
      <c r="H435" s="1393"/>
      <c r="I435" s="1400">
        <f>SUM(I415:J420)+SUM(I424:J434)</f>
        <v>5168536</v>
      </c>
      <c r="J435" s="1400"/>
      <c r="K435" s="1330"/>
      <c r="L435" s="1334"/>
      <c r="M435" s="1386"/>
      <c r="N435" s="1386"/>
      <c r="O435" s="1386"/>
      <c r="P435" s="1386"/>
      <c r="Q435" s="1330"/>
      <c r="R435" s="1393"/>
      <c r="S435" s="1391">
        <f>'Part III-Sources of Funds'!S58</f>
        <v>0</v>
      </c>
      <c r="T435" s="1391">
        <f>'Part III-Sources of Funds'!T58</f>
        <v>0</v>
      </c>
    </row>
    <row r="436" spans="1:24" ht="13.8">
      <c r="A436" s="1330"/>
      <c r="B436" s="1337" t="s">
        <v>2216</v>
      </c>
      <c r="C436" s="1330"/>
      <c r="D436" s="1330"/>
      <c r="E436" s="1330"/>
      <c r="F436" s="1330"/>
      <c r="G436" s="1330"/>
      <c r="H436" s="1393"/>
      <c r="I436" s="1400">
        <f>'Part IV-A-Uses of Funds'!$G$132</f>
        <v>5168536</v>
      </c>
      <c r="J436" s="1400"/>
      <c r="K436" s="1330"/>
      <c r="L436" s="1334"/>
      <c r="M436" s="1386"/>
      <c r="N436" s="1386"/>
      <c r="O436" s="1386"/>
      <c r="P436" s="1386"/>
      <c r="Q436" s="1330"/>
      <c r="R436" s="1393"/>
      <c r="S436" s="1391">
        <f>'Part III-Sources of Funds'!S59</f>
        <v>0</v>
      </c>
      <c r="T436" s="1391">
        <f>'Part III-Sources of Funds'!T59</f>
        <v>0</v>
      </c>
    </row>
    <row r="437" spans="1:24" ht="13.8">
      <c r="A437" s="1330"/>
      <c r="B437" s="1337" t="s">
        <v>1524</v>
      </c>
      <c r="C437" s="1330"/>
      <c r="D437" s="1330"/>
      <c r="E437" s="1330"/>
      <c r="F437" s="1330"/>
      <c r="G437" s="1330"/>
      <c r="H437" s="1393"/>
      <c r="I437" s="1462">
        <f>I435-I436</f>
        <v>0</v>
      </c>
      <c r="J437" s="1462"/>
      <c r="K437" s="1330"/>
      <c r="L437" s="1334"/>
      <c r="M437" s="1386"/>
      <c r="N437" s="1386"/>
      <c r="O437" s="1386"/>
      <c r="P437" s="1386"/>
      <c r="Q437" s="1330"/>
      <c r="R437" s="1393"/>
      <c r="S437" s="1391">
        <f>'Part III-Sources of Funds'!S60</f>
        <v>0</v>
      </c>
      <c r="T437" s="1391">
        <f>'Part III-Sources of Funds'!T60</f>
        <v>0</v>
      </c>
    </row>
    <row r="438" spans="1:24" ht="13.8">
      <c r="A438" s="1330" t="s">
        <v>3466</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8">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8">
      <c r="A440" s="1330" t="s">
        <v>1791</v>
      </c>
      <c r="B440" s="1330" t="s">
        <v>571</v>
      </c>
      <c r="C440" s="1336"/>
      <c r="D440" s="1336"/>
      <c r="E440" s="1336"/>
      <c r="F440" s="1336"/>
      <c r="G440" s="1336"/>
      <c r="H440" s="1336"/>
      <c r="I440" s="1336"/>
      <c r="J440" s="1336"/>
      <c r="K440" s="1398"/>
      <c r="L440" s="1398"/>
      <c r="M440" s="1330" t="s">
        <v>1791</v>
      </c>
      <c r="N440" s="1330" t="s">
        <v>79</v>
      </c>
      <c r="O440" s="1336"/>
      <c r="P440" s="1336"/>
      <c r="Q440" s="1336"/>
      <c r="R440" s="1398"/>
      <c r="S440" s="1398"/>
      <c r="T440" s="1398"/>
    </row>
    <row r="441" spans="1:24" ht="15.75" customHeight="1">
      <c r="A441" s="1391" t="str">
        <f>'Part III-Sources of Funds'!A64</f>
        <v>There will be no permanent debt  for  the Woodstone II property. The equity will be used to extinguish the existing HOME debt balance of approx. $752,783 (as of 3/1/2019) with the balance of the proceeds used for acquisition and rehab of the property as outlined in the rehabilitation schedule and the Physical Needs Assessment report.</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2325" t="s">
        <v>2692</v>
      </c>
      <c r="T441" s="2325"/>
    </row>
    <row r="446" spans="1:24" ht="13.8">
      <c r="A446" s="1330" t="str">
        <f>CONCATENATE("PART FOUR -  USES OF FUNDS","  -  ",'Part I-Project Information'!$O$6," ",'Part I-Project Information'!$F$34,", ",'Part I-Project Information'!F483,", ",'Part I-Project Information'!J484," County")</f>
        <v>PART FOUR -  USES OF FUNDS  -  2019-049 Woodstone Apartments II,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2019-049 Woodstone Apartments II, ,  County</v>
      </c>
      <c r="X446" s="1330"/>
    </row>
    <row r="447" spans="1:24" ht="13.8">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ht="13.8">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3.8">
      <c r="A449" s="1334"/>
      <c r="B449" s="1334"/>
      <c r="C449" s="1334"/>
      <c r="D449" s="2326"/>
      <c r="E449" s="2326"/>
      <c r="F449" s="2326"/>
      <c r="G449" s="2326"/>
      <c r="H449" s="2326"/>
      <c r="I449" s="1330"/>
      <c r="J449" s="1334"/>
      <c r="K449" s="1334"/>
      <c r="L449" s="1334"/>
      <c r="M449" s="1334"/>
      <c r="N449" s="1334"/>
      <c r="O449" s="1334"/>
      <c r="P449" s="1334"/>
      <c r="Q449" s="1334"/>
      <c r="R449" s="1334"/>
      <c r="S449" s="1334"/>
      <c r="T449" s="1334"/>
      <c r="U449" s="1330"/>
      <c r="V449" s="1330"/>
      <c r="W449" s="1330"/>
      <c r="X449" s="1330"/>
    </row>
    <row r="450" spans="1:24" ht="17.25" customHeight="1">
      <c r="A450" s="2326" t="s">
        <v>615</v>
      </c>
      <c r="B450" s="2326" t="s">
        <v>899</v>
      </c>
      <c r="C450" s="1330"/>
      <c r="D450" s="2327" t="str">
        <f>'Part I-Project Information'!$B$6</f>
        <v>April 2019 Final</v>
      </c>
      <c r="E450" s="2327"/>
      <c r="F450" s="2327"/>
      <c r="G450" s="2327"/>
      <c r="H450" s="2327"/>
      <c r="I450" s="2326"/>
      <c r="J450" s="1386" t="s">
        <v>271</v>
      </c>
      <c r="K450" s="1386"/>
      <c r="L450" s="1412"/>
      <c r="M450" s="2328" t="s">
        <v>488</v>
      </c>
      <c r="N450" s="2328"/>
      <c r="O450" s="1330"/>
      <c r="P450" s="1386" t="s">
        <v>272</v>
      </c>
      <c r="Q450" s="1386"/>
      <c r="R450" s="1330"/>
      <c r="S450" s="1386" t="s">
        <v>273</v>
      </c>
      <c r="T450" s="1386"/>
      <c r="U450" s="1330"/>
      <c r="V450" s="2329" t="str">
        <f>B450</f>
        <v>DEVELOPMENT BUDGET</v>
      </c>
      <c r="W450" s="1330"/>
      <c r="X450" s="1330"/>
    </row>
    <row r="451" spans="1:24" ht="13.8">
      <c r="A451" s="1330"/>
      <c r="B451" s="1330"/>
      <c r="C451" s="1330"/>
      <c r="D451" s="2327"/>
      <c r="E451" s="2327"/>
      <c r="F451" s="2327"/>
      <c r="G451" s="1330" t="s">
        <v>101</v>
      </c>
      <c r="H451" s="1330"/>
      <c r="I451" s="1330"/>
      <c r="J451" s="1386"/>
      <c r="K451" s="1386"/>
      <c r="L451" s="1412"/>
      <c r="M451" s="2328"/>
      <c r="N451" s="2328"/>
      <c r="O451" s="1330"/>
      <c r="P451" s="1386"/>
      <c r="Q451" s="1386"/>
      <c r="R451" s="1330"/>
      <c r="S451" s="1386"/>
      <c r="T451" s="1386"/>
      <c r="U451" s="1330"/>
      <c r="V451" s="1348" t="s">
        <v>2682</v>
      </c>
      <c r="W451" s="1330"/>
      <c r="X451" s="1348"/>
    </row>
    <row r="452" spans="1:24" ht="13.8">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ht="13.8">
      <c r="A453" s="1330"/>
      <c r="B453" s="1330" t="s">
        <v>1999</v>
      </c>
      <c r="C453" s="1330"/>
      <c r="D453" s="1330"/>
      <c r="E453" s="1330"/>
      <c r="F453" s="1330"/>
      <c r="G453" s="1412">
        <f>'Part IV-A-Uses of Funds'!G8</f>
        <v>7500</v>
      </c>
      <c r="H453" s="1412"/>
      <c r="I453" s="1330"/>
      <c r="J453" s="1412">
        <f>'Part IV-A-Uses of Funds'!J8</f>
        <v>0</v>
      </c>
      <c r="K453" s="1412"/>
      <c r="L453" s="1347"/>
      <c r="M453" s="1412">
        <f>'Part IV-A-Uses of Funds'!M8</f>
        <v>0</v>
      </c>
      <c r="N453" s="1412"/>
      <c r="O453" s="1330"/>
      <c r="P453" s="1412">
        <f>'Part IV-A-Uses of Funds'!P8</f>
        <v>7500</v>
      </c>
      <c r="Q453" s="1412"/>
      <c r="R453" s="1330"/>
      <c r="S453" s="1412">
        <f>'Part IV-A-Uses of Funds'!S8</f>
        <v>0</v>
      </c>
      <c r="T453" s="1412"/>
      <c r="U453" s="1330"/>
      <c r="V453" s="1418">
        <f>'Part IV-A-Uses of Funds'!V8</f>
        <v>0</v>
      </c>
      <c r="W453" s="1203">
        <f>'Part IV-A-Uses of Funds'!W8</f>
        <v>0</v>
      </c>
      <c r="X453" s="1203"/>
    </row>
    <row r="454" spans="1:24" ht="13.8">
      <c r="A454" s="1330"/>
      <c r="B454" s="1330" t="s">
        <v>457</v>
      </c>
      <c r="C454" s="1330"/>
      <c r="D454" s="1330"/>
      <c r="E454" s="1330"/>
      <c r="F454" s="1330"/>
      <c r="G454" s="1412">
        <f>'Part IV-A-Uses of Funds'!G9</f>
        <v>5500</v>
      </c>
      <c r="H454" s="1412"/>
      <c r="I454" s="1330"/>
      <c r="J454" s="1412">
        <f>'Part IV-A-Uses of Funds'!J9</f>
        <v>0</v>
      </c>
      <c r="K454" s="1412"/>
      <c r="L454" s="1347"/>
      <c r="M454" s="1412">
        <f>'Part IV-A-Uses of Funds'!M9</f>
        <v>0</v>
      </c>
      <c r="N454" s="1412"/>
      <c r="O454" s="1330"/>
      <c r="P454" s="1412">
        <f>'Part IV-A-Uses of Funds'!P9</f>
        <v>5500</v>
      </c>
      <c r="Q454" s="1412"/>
      <c r="R454" s="1330"/>
      <c r="S454" s="1412">
        <f>'Part IV-A-Uses of Funds'!S9</f>
        <v>0</v>
      </c>
      <c r="T454" s="1412"/>
      <c r="U454" s="1330"/>
      <c r="V454" s="1418">
        <f>'Part IV-A-Uses of Funds'!V9</f>
        <v>0</v>
      </c>
      <c r="W454" s="1203">
        <f>'Part IV-A-Uses of Funds'!W9</f>
        <v>0</v>
      </c>
      <c r="X454" s="1203"/>
    </row>
    <row r="455" spans="1:24" ht="13.8">
      <c r="A455" s="1330"/>
      <c r="B455" s="1330" t="s">
        <v>485</v>
      </c>
      <c r="C455" s="1330"/>
      <c r="D455" s="1330"/>
      <c r="E455" s="1330"/>
      <c r="F455" s="1330"/>
      <c r="G455" s="1412">
        <f>'Part IV-A-Uses of Funds'!G10</f>
        <v>3500</v>
      </c>
      <c r="H455" s="1412"/>
      <c r="I455" s="1330"/>
      <c r="J455" s="1412">
        <f>'Part IV-A-Uses of Funds'!J10</f>
        <v>0</v>
      </c>
      <c r="K455" s="1412"/>
      <c r="L455" s="1347"/>
      <c r="M455" s="1412">
        <f>'Part IV-A-Uses of Funds'!M10</f>
        <v>0</v>
      </c>
      <c r="N455" s="1412"/>
      <c r="O455" s="1330"/>
      <c r="P455" s="1412">
        <f>'Part IV-A-Uses of Funds'!P10</f>
        <v>3500</v>
      </c>
      <c r="Q455" s="1412"/>
      <c r="R455" s="1330"/>
      <c r="S455" s="1412">
        <f>'Part IV-A-Uses of Funds'!S10</f>
        <v>0</v>
      </c>
      <c r="T455" s="1412"/>
      <c r="U455" s="1330"/>
      <c r="V455" s="1418">
        <f>'Part IV-A-Uses of Funds'!V10</f>
        <v>0</v>
      </c>
      <c r="W455" s="1203">
        <f>'Part IV-A-Uses of Funds'!W10</f>
        <v>0</v>
      </c>
      <c r="X455" s="1203"/>
    </row>
    <row r="456" spans="1:24" ht="13.8">
      <c r="A456" s="1330"/>
      <c r="B456" s="1330" t="s">
        <v>486</v>
      </c>
      <c r="C456" s="1330"/>
      <c r="D456" s="1330"/>
      <c r="E456" s="1330"/>
      <c r="F456" s="1330"/>
      <c r="G456" s="1412">
        <f>'Part IV-A-Uses of Funds'!G11</f>
        <v>0</v>
      </c>
      <c r="H456" s="1412"/>
      <c r="I456" s="1330"/>
      <c r="J456" s="1412">
        <f>'Part IV-A-Uses of Funds'!J11</f>
        <v>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ht="13.8">
      <c r="A457" s="1330"/>
      <c r="B457" s="1330" t="s">
        <v>2499</v>
      </c>
      <c r="C457" s="1330"/>
      <c r="D457" s="1330"/>
      <c r="E457" s="1330"/>
      <c r="F457" s="1330"/>
      <c r="G457" s="1412">
        <f>'Part IV-A-Uses of Funds'!G12</f>
        <v>15800</v>
      </c>
      <c r="H457" s="1412"/>
      <c r="I457" s="1330"/>
      <c r="J457" s="1412">
        <f>'Part IV-A-Uses of Funds'!J12</f>
        <v>0</v>
      </c>
      <c r="K457" s="1412"/>
      <c r="L457" s="1347"/>
      <c r="M457" s="1412">
        <f>'Part IV-A-Uses of Funds'!M12</f>
        <v>0</v>
      </c>
      <c r="N457" s="1412"/>
      <c r="O457" s="1330"/>
      <c r="P457" s="1412">
        <f>'Part IV-A-Uses of Funds'!P12</f>
        <v>15800</v>
      </c>
      <c r="Q457" s="1412"/>
      <c r="R457" s="1330"/>
      <c r="S457" s="1412">
        <f>'Part IV-A-Uses of Funds'!S12</f>
        <v>0</v>
      </c>
      <c r="T457" s="1412"/>
      <c r="U457" s="1330"/>
      <c r="V457" s="1418">
        <f>'Part IV-A-Uses of Funds'!V12</f>
        <v>0</v>
      </c>
      <c r="W457" s="1203">
        <f>'Part IV-A-Uses of Funds'!W12</f>
        <v>0</v>
      </c>
      <c r="X457" s="1203"/>
    </row>
    <row r="458" spans="1:24" ht="13.8">
      <c r="A458" s="1330"/>
      <c r="B458" s="1330" t="s">
        <v>190</v>
      </c>
      <c r="C458" s="1330"/>
      <c r="D458" s="1330"/>
      <c r="E458" s="1330"/>
      <c r="F458" s="1330"/>
      <c r="G458" s="1412">
        <f>'Part IV-A-Uses of Funds'!G13</f>
        <v>2500</v>
      </c>
      <c r="H458" s="1412"/>
      <c r="I458" s="1330"/>
      <c r="J458" s="1412">
        <f>'Part IV-A-Uses of Funds'!J13</f>
        <v>0</v>
      </c>
      <c r="K458" s="1412"/>
      <c r="L458" s="1347"/>
      <c r="M458" s="1412">
        <f>'Part IV-A-Uses of Funds'!M13</f>
        <v>0</v>
      </c>
      <c r="N458" s="1412"/>
      <c r="O458" s="1330"/>
      <c r="P458" s="1412">
        <f>'Part IV-A-Uses of Funds'!P13</f>
        <v>2500</v>
      </c>
      <c r="Q458" s="1412"/>
      <c r="R458" s="1330"/>
      <c r="S458" s="1412">
        <f>'Part IV-A-Uses of Funds'!S13</f>
        <v>0</v>
      </c>
      <c r="T458" s="1412"/>
      <c r="U458" s="1330"/>
      <c r="V458" s="1418">
        <f>'Part IV-A-Uses of Funds'!V13</f>
        <v>0</v>
      </c>
      <c r="W458" s="1203">
        <f>'Part IV-A-Uses of Funds'!W13</f>
        <v>0</v>
      </c>
      <c r="X458" s="1203"/>
    </row>
    <row r="459" spans="1:24" ht="15.75" customHeight="1">
      <c r="A459" s="2330" t="str">
        <f>IF(AND(G459&gt;0,OR(C459="",C459="&lt;Enter detailed description here; use Comments section if needed&gt;")),"X","")</f>
        <v/>
      </c>
      <c r="B459" s="1330" t="s">
        <v>740</v>
      </c>
      <c r="C459" s="1342" t="str">
        <f>'Part IV-A-Uses of Funds'!C14</f>
        <v>Engineering-Const Cost Analysis, PNA Report, radon testing, etc.</v>
      </c>
      <c r="D459" s="1342"/>
      <c r="E459" s="1342"/>
      <c r="F459" s="1342"/>
      <c r="G459" s="1412">
        <f>'Part IV-A-Uses of Funds'!G14</f>
        <v>15000</v>
      </c>
      <c r="H459" s="1412"/>
      <c r="I459" s="1330"/>
      <c r="J459" s="1412">
        <f>'Part IV-A-Uses of Funds'!J14</f>
        <v>0</v>
      </c>
      <c r="K459" s="1412"/>
      <c r="L459" s="1347"/>
      <c r="M459" s="1412">
        <f>'Part IV-A-Uses of Funds'!M14</f>
        <v>0</v>
      </c>
      <c r="N459" s="1412"/>
      <c r="O459" s="1330"/>
      <c r="P459" s="1412">
        <f>'Part IV-A-Uses of Funds'!P14</f>
        <v>15000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2330" t="str">
        <f>IF(AND(G460&gt;0,OR(C460="",C460="&lt;Enter detailed description here; use Comments section if needed&gt;")),"X","")</f>
        <v/>
      </c>
      <c r="B460" s="1330" t="s">
        <v>740</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2330" t="str">
        <f>IF(AND(G461&gt;0,OR(C461="",C461="&lt;Enter detailed description here; use Comments section if needed&gt;")),"X","")</f>
        <v/>
      </c>
      <c r="B461" s="1330" t="s">
        <v>740</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ht="13.8">
      <c r="A462" s="1330"/>
      <c r="B462" s="1330"/>
      <c r="C462" s="1330"/>
      <c r="D462" s="1330"/>
      <c r="E462" s="1330"/>
      <c r="F462" s="1444" t="s">
        <v>191</v>
      </c>
      <c r="G462" s="1412">
        <f>SUM(G453:H461)</f>
        <v>49800</v>
      </c>
      <c r="H462" s="1412"/>
      <c r="I462" s="1330"/>
      <c r="J462" s="1412">
        <f>SUM(J453:K461)</f>
        <v>0</v>
      </c>
      <c r="K462" s="1348"/>
      <c r="L462" s="1347"/>
      <c r="M462" s="1412">
        <f>SUM(M453:N461)</f>
        <v>0</v>
      </c>
      <c r="N462" s="1412"/>
      <c r="O462" s="1330"/>
      <c r="P462" s="1412">
        <f>SUM(P453:Q461)</f>
        <v>49800</v>
      </c>
      <c r="Q462" s="1412"/>
      <c r="R462" s="1330"/>
      <c r="S462" s="1412">
        <f>SUM(S453:T461)</f>
        <v>0</v>
      </c>
      <c r="T462" s="1412"/>
      <c r="U462" s="1330"/>
      <c r="V462" s="1418">
        <f>SUM(V453:V461)</f>
        <v>0</v>
      </c>
      <c r="W462" s="1203">
        <f>'Part IV-A-Uses of Funds'!W17</f>
        <v>0</v>
      </c>
      <c r="X462" s="1203"/>
    </row>
    <row r="463" spans="1:24" ht="13.8">
      <c r="A463" s="1330"/>
      <c r="B463" s="1330" t="s">
        <v>2196</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ht="13.8">
      <c r="A464" s="1330"/>
      <c r="B464" s="1330" t="s">
        <v>2197</v>
      </c>
      <c r="C464" s="1330"/>
      <c r="D464" s="1330"/>
      <c r="E464" s="1377" t="s">
        <v>3724</v>
      </c>
      <c r="F464" s="1419">
        <f>IF('Part I-Project Information'!$O$37="","",G464/'Part I-Project Information'!$O$37)</f>
        <v>20884.093282283327</v>
      </c>
      <c r="G464" s="1412">
        <f>'Part IV-A-Uses of Funds'!G19</f>
        <v>120000</v>
      </c>
      <c r="H464" s="1412"/>
      <c r="I464" s="1330"/>
      <c r="J464" s="1347"/>
      <c r="K464" s="1412"/>
      <c r="L464" s="1347"/>
      <c r="M464" s="1347"/>
      <c r="N464" s="1412"/>
      <c r="O464" s="1330"/>
      <c r="P464" s="1347"/>
      <c r="Q464" s="1412"/>
      <c r="R464" s="1330"/>
      <c r="S464" s="1412">
        <f>'Part IV-A-Uses of Funds'!S19</f>
        <v>120000</v>
      </c>
      <c r="T464" s="1412"/>
      <c r="U464" s="1330"/>
      <c r="V464" s="1418">
        <f>'Part IV-A-Uses of Funds'!V19</f>
        <v>0</v>
      </c>
      <c r="W464" s="1203">
        <f>'Part IV-A-Uses of Funds'!W19</f>
        <v>0</v>
      </c>
      <c r="X464" s="1203"/>
    </row>
    <row r="465" spans="1:24" ht="13.8">
      <c r="A465" s="1330"/>
      <c r="B465" s="1330" t="s">
        <v>1118</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ht="13.8">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ht="13.8">
      <c r="A467" s="1330"/>
      <c r="B467" s="1330" t="s">
        <v>430</v>
      </c>
      <c r="C467" s="1330"/>
      <c r="D467" s="1330"/>
      <c r="E467" s="1330"/>
      <c r="F467" s="1330"/>
      <c r="G467" s="1412">
        <f>'Part IV-A-Uses of Funds'!G22</f>
        <v>858238</v>
      </c>
      <c r="H467" s="1412"/>
      <c r="I467" s="1330"/>
      <c r="J467" s="1347"/>
      <c r="K467" s="1412"/>
      <c r="L467" s="1347"/>
      <c r="M467" s="1412">
        <f>'Part IV-A-Uses of Funds'!M22</f>
        <v>752783</v>
      </c>
      <c r="N467" s="1412"/>
      <c r="O467" s="1330"/>
      <c r="P467" s="1347"/>
      <c r="Q467" s="1412"/>
      <c r="R467" s="1330"/>
      <c r="S467" s="1412">
        <f>'Part IV-A-Uses of Funds'!S22</f>
        <v>105455</v>
      </c>
      <c r="T467" s="1412"/>
      <c r="U467" s="1330"/>
      <c r="V467" s="1418">
        <f>'Part IV-A-Uses of Funds'!V22</f>
        <v>0</v>
      </c>
      <c r="W467" s="1203">
        <f>'Part IV-A-Uses of Funds'!W22</f>
        <v>0</v>
      </c>
      <c r="X467" s="1203"/>
    </row>
    <row r="468" spans="1:24" ht="13.8">
      <c r="A468" s="1330"/>
      <c r="B468" s="1330"/>
      <c r="C468" s="1330"/>
      <c r="D468" s="1330"/>
      <c r="E468" s="1330"/>
      <c r="F468" s="1444" t="s">
        <v>191</v>
      </c>
      <c r="G468" s="1412">
        <f>SUM(G464:H467)</f>
        <v>978238</v>
      </c>
      <c r="H468" s="1412"/>
      <c r="I468" s="1330"/>
      <c r="J468" s="1347"/>
      <c r="K468" s="1412"/>
      <c r="L468" s="1347"/>
      <c r="M468" s="1412">
        <f>SUM(M466:N467)</f>
        <v>752783</v>
      </c>
      <c r="N468" s="1412"/>
      <c r="O468" s="1330"/>
      <c r="P468" s="1347"/>
      <c r="Q468" s="1412"/>
      <c r="R468" s="1330"/>
      <c r="S468" s="1412">
        <f>SUM(S464:T467)</f>
        <v>225455</v>
      </c>
      <c r="T468" s="1412"/>
      <c r="U468" s="1330"/>
      <c r="V468" s="1418">
        <f>SUM(V464:V467)</f>
        <v>0</v>
      </c>
      <c r="W468" s="1203">
        <f>'Part IV-A-Uses of Funds'!W23</f>
        <v>0</v>
      </c>
      <c r="X468" s="1203"/>
    </row>
    <row r="469" spans="1:24" ht="13.8">
      <c r="A469" s="1330"/>
      <c r="B469" s="1330" t="s">
        <v>1119</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ht="13.8">
      <c r="A470" s="1330"/>
      <c r="B470" s="1330" t="s">
        <v>1120</v>
      </c>
      <c r="C470" s="1330"/>
      <c r="D470" s="1330"/>
      <c r="E470" s="1377" t="s">
        <v>3724</v>
      </c>
      <c r="F470" s="1419">
        <f>IF('Part I-Project Information'!$O$37="","",G470/'Part I-Project Information'!$O$37)</f>
        <v>34806.822137138879</v>
      </c>
      <c r="G470" s="1412">
        <f>'Part IV-A-Uses of Funds'!G25</f>
        <v>200000</v>
      </c>
      <c r="H470" s="1412"/>
      <c r="I470" s="1330"/>
      <c r="J470" s="1412">
        <f>'Part IV-A-Uses of Funds'!J25</f>
        <v>0</v>
      </c>
      <c r="K470" s="1412"/>
      <c r="L470" s="1347"/>
      <c r="M470" s="1412">
        <f>'Part IV-A-Uses of Funds'!M25</f>
        <v>0</v>
      </c>
      <c r="N470" s="1412"/>
      <c r="O470" s="1330"/>
      <c r="P470" s="1412">
        <f>'Part IV-A-Uses of Funds'!P25</f>
        <v>200000</v>
      </c>
      <c r="Q470" s="1412"/>
      <c r="R470" s="1330"/>
      <c r="S470" s="1412">
        <f>'Part IV-A-Uses of Funds'!S25</f>
        <v>0</v>
      </c>
      <c r="T470" s="1412"/>
      <c r="U470" s="1330"/>
      <c r="V470" s="1418">
        <f>'Part IV-A-Uses of Funds'!V25</f>
        <v>0</v>
      </c>
      <c r="W470" s="1203">
        <f>'Part IV-A-Uses of Funds'!W25</f>
        <v>0</v>
      </c>
      <c r="X470" s="1203"/>
    </row>
    <row r="471" spans="1:24" ht="13.8">
      <c r="A471" s="1330"/>
      <c r="B471" s="1330" t="s">
        <v>1121</v>
      </c>
      <c r="C471" s="1330"/>
      <c r="D471" s="1330"/>
      <c r="E471" s="1330"/>
      <c r="F471" s="1330"/>
      <c r="G471" s="1412">
        <f>'Part IV-A-Uses of Funds'!G26</f>
        <v>0</v>
      </c>
      <c r="H471" s="1412"/>
      <c r="I471" s="1330"/>
      <c r="J471" s="1412">
        <f>'Part IV-A-Uses of Funds'!J26</f>
        <v>0</v>
      </c>
      <c r="K471" s="1412"/>
      <c r="L471" s="2331"/>
      <c r="M471" s="1412"/>
      <c r="N471" s="1412"/>
      <c r="O471" s="1330"/>
      <c r="P471" s="1412"/>
      <c r="Q471" s="1412"/>
      <c r="R471" s="1330"/>
      <c r="S471" s="1412">
        <f>'Part IV-A-Uses of Funds'!S26</f>
        <v>0</v>
      </c>
      <c r="T471" s="1412"/>
      <c r="U471" s="1330"/>
      <c r="V471" s="1418">
        <f>'Part IV-A-Uses of Funds'!V26</f>
        <v>0</v>
      </c>
      <c r="W471" s="1203">
        <f>'Part IV-A-Uses of Funds'!W26</f>
        <v>0</v>
      </c>
      <c r="X471" s="1203"/>
    </row>
    <row r="472" spans="1:24" ht="13.8">
      <c r="A472" s="1330"/>
      <c r="B472" s="1330"/>
      <c r="C472" s="1330"/>
      <c r="D472" s="1330"/>
      <c r="E472" s="1330"/>
      <c r="F472" s="1444" t="s">
        <v>191</v>
      </c>
      <c r="G472" s="1412">
        <f>SUM(G470:H471)</f>
        <v>200000</v>
      </c>
      <c r="H472" s="1412"/>
      <c r="I472" s="1330"/>
      <c r="J472" s="1412">
        <f>SUM(J470:K471)</f>
        <v>0</v>
      </c>
      <c r="K472" s="1412"/>
      <c r="L472" s="1347"/>
      <c r="M472" s="1412">
        <f>M470</f>
        <v>0</v>
      </c>
      <c r="N472" s="1412"/>
      <c r="O472" s="1330"/>
      <c r="P472" s="1412">
        <f>P470</f>
        <v>200000</v>
      </c>
      <c r="Q472" s="1412"/>
      <c r="R472" s="1330"/>
      <c r="S472" s="1412">
        <f>SUM(S470:T471)</f>
        <v>0</v>
      </c>
      <c r="T472" s="1412"/>
      <c r="U472" s="1330"/>
      <c r="V472" s="1418">
        <f>SUM(V470:V471)</f>
        <v>0</v>
      </c>
      <c r="W472" s="1203">
        <f>'Part IV-A-Uses of Funds'!W27</f>
        <v>0</v>
      </c>
      <c r="X472" s="1203"/>
    </row>
    <row r="473" spans="1:24" ht="13.8">
      <c r="A473" s="1330"/>
      <c r="B473" s="1330" t="s">
        <v>1122</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ht="13.8">
      <c r="A474" s="1330"/>
      <c r="B474" s="1330" t="s">
        <v>1123</v>
      </c>
      <c r="C474" s="1330"/>
      <c r="D474" s="1330"/>
      <c r="E474" s="1330"/>
      <c r="F474" s="1330"/>
      <c r="G474" s="1412">
        <f>'Part IV-A-Uses of Funds'!G29</f>
        <v>0</v>
      </c>
      <c r="H474" s="1412"/>
      <c r="I474" s="1330"/>
      <c r="J474" s="1412">
        <f>'Part IV-A-Uses of Funds'!J29</f>
        <v>0</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ht="13.8">
      <c r="A475" s="1330"/>
      <c r="B475" s="1330" t="s">
        <v>1124</v>
      </c>
      <c r="C475" s="1330"/>
      <c r="D475" s="1330"/>
      <c r="E475" s="1330"/>
      <c r="F475" s="1330"/>
      <c r="G475" s="1412">
        <f>'Part IV-A-Uses of Funds'!G30</f>
        <v>1952756</v>
      </c>
      <c r="H475" s="1412"/>
      <c r="I475" s="1330"/>
      <c r="J475" s="1412">
        <f>'Part IV-A-Uses of Funds'!J30</f>
        <v>0</v>
      </c>
      <c r="K475" s="1412"/>
      <c r="L475" s="1347"/>
      <c r="M475" s="1412">
        <f>'Part IV-A-Uses of Funds'!M30</f>
        <v>0</v>
      </c>
      <c r="N475" s="1412"/>
      <c r="O475" s="1330"/>
      <c r="P475" s="1412">
        <f>'Part IV-A-Uses of Funds'!P30</f>
        <v>1952756</v>
      </c>
      <c r="Q475" s="1412"/>
      <c r="R475" s="1330"/>
      <c r="S475" s="1412">
        <f>'Part IV-A-Uses of Funds'!S30</f>
        <v>0</v>
      </c>
      <c r="T475" s="1412"/>
      <c r="U475" s="1330"/>
      <c r="V475" s="1418">
        <f>'Part IV-A-Uses of Funds'!V30</f>
        <v>0</v>
      </c>
      <c r="W475" s="1203">
        <f>'Part IV-A-Uses of Funds'!W30</f>
        <v>0</v>
      </c>
      <c r="X475" s="1203"/>
    </row>
    <row r="476" spans="1:24" ht="13.8">
      <c r="A476" s="1330"/>
      <c r="B476" s="1330" t="s">
        <v>2778</v>
      </c>
      <c r="C476" s="1330"/>
      <c r="D476" s="1330"/>
      <c r="E476" s="1330"/>
      <c r="F476" s="1330"/>
      <c r="G476" s="1412">
        <f>'Part IV-A-Uses of Funds'!G31</f>
        <v>0</v>
      </c>
      <c r="H476" s="1412"/>
      <c r="I476" s="1330"/>
      <c r="J476" s="1412">
        <f>'Part IV-A-Uses of Funds'!J31</f>
        <v>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ht="13.8">
      <c r="A477" s="1336"/>
      <c r="B477" s="1330" t="s">
        <v>2777</v>
      </c>
      <c r="C477" s="1336"/>
      <c r="D477" s="1336"/>
      <c r="E477" s="1336"/>
      <c r="F477" s="1336"/>
      <c r="G477" s="1412">
        <f>'Part IV-A-Uses of Funds'!G32</f>
        <v>30000</v>
      </c>
      <c r="H477" s="1412"/>
      <c r="I477" s="1330"/>
      <c r="J477" s="1412">
        <f>'Part IV-A-Uses of Funds'!J32</f>
        <v>0</v>
      </c>
      <c r="K477" s="1412"/>
      <c r="L477" s="1347"/>
      <c r="M477" s="1412">
        <f>'Part IV-A-Uses of Funds'!M32</f>
        <v>0</v>
      </c>
      <c r="N477" s="1412"/>
      <c r="O477" s="1330"/>
      <c r="P477" s="1412">
        <f>'Part IV-A-Uses of Funds'!P32</f>
        <v>30000</v>
      </c>
      <c r="Q477" s="1412"/>
      <c r="R477" s="1330"/>
      <c r="S477" s="1412">
        <f>'Part IV-A-Uses of Funds'!S32</f>
        <v>0</v>
      </c>
      <c r="T477" s="1412"/>
      <c r="U477" s="1336"/>
      <c r="V477" s="1418">
        <f>'Part IV-A-Uses of Funds'!V32</f>
        <v>0</v>
      </c>
      <c r="W477" s="1203">
        <f>'Part IV-A-Uses of Funds'!W32</f>
        <v>0</v>
      </c>
      <c r="X477" s="1203"/>
    </row>
    <row r="478" spans="1:24" ht="13.8">
      <c r="A478" s="1330"/>
      <c r="B478" s="1330"/>
      <c r="C478" s="2332"/>
      <c r="D478" s="2332"/>
      <c r="E478" s="2333"/>
      <c r="F478" s="1444" t="s">
        <v>191</v>
      </c>
      <c r="G478" s="1412">
        <f>SUM(G474:H477)</f>
        <v>1982756</v>
      </c>
      <c r="H478" s="1412"/>
      <c r="I478" s="1330"/>
      <c r="J478" s="1412">
        <f>SUM(J474:K477)</f>
        <v>0</v>
      </c>
      <c r="K478" s="1412"/>
      <c r="L478" s="1347"/>
      <c r="M478" s="1412">
        <f>SUM(M474:N477)</f>
        <v>0</v>
      </c>
      <c r="N478" s="1412"/>
      <c r="O478" s="1330"/>
      <c r="P478" s="1412">
        <f>SUM(P474:Q477)</f>
        <v>1982756</v>
      </c>
      <c r="Q478" s="1412"/>
      <c r="R478" s="1330"/>
      <c r="S478" s="1412">
        <f>SUM(S474:T477)</f>
        <v>0</v>
      </c>
      <c r="T478" s="1412"/>
      <c r="U478" s="1330"/>
      <c r="V478" s="1418">
        <f>SUM(V474:V477)</f>
        <v>0</v>
      </c>
      <c r="W478" s="1203">
        <f>'Part IV-A-Uses of Funds'!W33</f>
        <v>0</v>
      </c>
      <c r="X478" s="1203"/>
    </row>
    <row r="479" spans="1:24" ht="13.8">
      <c r="A479" s="1330"/>
      <c r="B479" s="1330" t="s">
        <v>2342</v>
      </c>
      <c r="C479" s="1330"/>
      <c r="D479" s="1393" t="s">
        <v>3728</v>
      </c>
      <c r="E479" s="1393"/>
      <c r="F479" s="2334">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8">
      <c r="A480" s="1330"/>
      <c r="B480" s="1330" t="s">
        <v>2343</v>
      </c>
      <c r="C480" s="1330"/>
      <c r="D480" s="1425">
        <f>'DCA Underwriting Assumptions'!$R$73</f>
        <v>0.06</v>
      </c>
      <c r="E480" s="1426">
        <f>D480*(G472+G478)</f>
        <v>130965.36</v>
      </c>
      <c r="F480" s="1425">
        <f>IF(($G$27+$G$33)=0,0,G480/($G$27+$G$33))</f>
        <v>0</v>
      </c>
      <c r="G480" s="1412">
        <f>'Part IV-A-Uses of Funds'!G35</f>
        <v>125928</v>
      </c>
      <c r="H480" s="1412"/>
      <c r="I480" s="1336"/>
      <c r="J480" s="1412">
        <f>'Part IV-A-Uses of Funds'!J35</f>
        <v>0</v>
      </c>
      <c r="K480" s="1412"/>
      <c r="L480" s="1347"/>
      <c r="M480" s="1412">
        <f>'Part IV-A-Uses of Funds'!M35</f>
        <v>0</v>
      </c>
      <c r="N480" s="1412"/>
      <c r="O480" s="1330"/>
      <c r="P480" s="1412">
        <f>'Part IV-A-Uses of Funds'!P35</f>
        <v>125928</v>
      </c>
      <c r="Q480" s="1412"/>
      <c r="R480" s="1330"/>
      <c r="S480" s="1412">
        <f>'Part IV-A-Uses of Funds'!S35</f>
        <v>0</v>
      </c>
      <c r="T480" s="1412"/>
      <c r="U480" s="1330"/>
      <c r="V480" s="1418">
        <f>'Part IV-A-Uses of Funds'!V35</f>
        <v>0</v>
      </c>
      <c r="W480" s="1203">
        <f>'Part IV-A-Uses of Funds'!W35</f>
        <v>0</v>
      </c>
      <c r="X480" s="1203"/>
    </row>
    <row r="481" spans="1:24" ht="13.8">
      <c r="A481" s="1330"/>
      <c r="B481" s="1330" t="s">
        <v>2734</v>
      </c>
      <c r="C481" s="1330"/>
      <c r="D481" s="1425">
        <f>'DCA Underwriting Assumptions'!$R$74</f>
        <v>0.02</v>
      </c>
      <c r="E481" s="1426">
        <f>D481*(G472+G478)</f>
        <v>43655.12</v>
      </c>
      <c r="F481" s="1425">
        <f>IF(($G$27+$G$33)=0,0,G481/($G$27+$G$33))</f>
        <v>0</v>
      </c>
      <c r="G481" s="1412">
        <f>'Part IV-A-Uses of Funds'!G36</f>
        <v>41976</v>
      </c>
      <c r="H481" s="1412"/>
      <c r="I481" s="1336"/>
      <c r="J481" s="1412">
        <f>'Part IV-A-Uses of Funds'!J36</f>
        <v>0</v>
      </c>
      <c r="K481" s="1412"/>
      <c r="L481" s="1347"/>
      <c r="M481" s="1412">
        <f>'Part IV-A-Uses of Funds'!M36</f>
        <v>0</v>
      </c>
      <c r="N481" s="1412"/>
      <c r="O481" s="1330"/>
      <c r="P481" s="1412">
        <f>'Part IV-A-Uses of Funds'!P36</f>
        <v>41976</v>
      </c>
      <c r="Q481" s="1412"/>
      <c r="R481" s="1330"/>
      <c r="S481" s="1412">
        <f>'Part IV-A-Uses of Funds'!S36</f>
        <v>0</v>
      </c>
      <c r="T481" s="1412"/>
      <c r="U481" s="1330"/>
      <c r="V481" s="1418">
        <f>'Part IV-A-Uses of Funds'!V36</f>
        <v>0</v>
      </c>
      <c r="W481" s="1203">
        <f>'Part IV-A-Uses of Funds'!W36</f>
        <v>0</v>
      </c>
      <c r="X481" s="1203"/>
    </row>
    <row r="482" spans="1:24" ht="13.8">
      <c r="A482" s="1330"/>
      <c r="B482" s="1330" t="s">
        <v>2735</v>
      </c>
      <c r="C482" s="1330"/>
      <c r="D482" s="1425">
        <f>'DCA Underwriting Assumptions'!$R$75</f>
        <v>0.06</v>
      </c>
      <c r="E482" s="1426">
        <f>D482*(G472+G478)</f>
        <v>130965.36</v>
      </c>
      <c r="F482" s="1425">
        <f>IF(($G$27+$G$33)=0,0,G482/($G$27+$G$33))</f>
        <v>0</v>
      </c>
      <c r="G482" s="1412">
        <f>'Part IV-A-Uses of Funds'!G37</f>
        <v>125928</v>
      </c>
      <c r="H482" s="1412"/>
      <c r="I482" s="1336"/>
      <c r="J482" s="1412">
        <f>'Part IV-A-Uses of Funds'!J37</f>
        <v>0</v>
      </c>
      <c r="K482" s="1412"/>
      <c r="L482" s="1347"/>
      <c r="M482" s="1412">
        <f>'Part IV-A-Uses of Funds'!M37</f>
        <v>0</v>
      </c>
      <c r="N482" s="1412"/>
      <c r="O482" s="1330"/>
      <c r="P482" s="1412">
        <f>'Part IV-A-Uses of Funds'!P37</f>
        <v>125928</v>
      </c>
      <c r="Q482" s="1412"/>
      <c r="R482" s="1330"/>
      <c r="S482" s="1412">
        <f>'Part IV-A-Uses of Funds'!S37</f>
        <v>0</v>
      </c>
      <c r="T482" s="1412"/>
      <c r="U482" s="1330"/>
      <c r="V482" s="1418">
        <f>'Part IV-A-Uses of Funds'!V37</f>
        <v>0</v>
      </c>
      <c r="W482" s="1203">
        <f>'Part IV-A-Uses of Funds'!W37</f>
        <v>0</v>
      </c>
      <c r="X482" s="1203"/>
    </row>
    <row r="483" spans="1:24" ht="13.8">
      <c r="A483" s="1330"/>
      <c r="B483" s="1335" t="s">
        <v>3729</v>
      </c>
      <c r="C483" s="1330"/>
      <c r="D483" s="2334">
        <f>SUM(D480:D482)</f>
        <v>0.14000000000000001</v>
      </c>
      <c r="E483" s="2335">
        <f>SUM(E480:E482)</f>
        <v>305585.84000000003</v>
      </c>
      <c r="F483" s="1444" t="s">
        <v>191</v>
      </c>
      <c r="G483" s="1412">
        <f>SUM(G480:H482)</f>
        <v>293832</v>
      </c>
      <c r="H483" s="1412"/>
      <c r="I483" s="1330"/>
      <c r="J483" s="1412">
        <f>SUM(J480:K482)</f>
        <v>0</v>
      </c>
      <c r="K483" s="1412"/>
      <c r="L483" s="1347"/>
      <c r="M483" s="1412">
        <f>SUM(M480:N482)</f>
        <v>0</v>
      </c>
      <c r="N483" s="1412"/>
      <c r="O483" s="1330"/>
      <c r="P483" s="1412">
        <f>SUM(P480:Q482)</f>
        <v>293832</v>
      </c>
      <c r="Q483" s="1412"/>
      <c r="R483" s="1330"/>
      <c r="S483" s="1412">
        <f>SUM(S480:T482)</f>
        <v>0</v>
      </c>
      <c r="T483" s="1412"/>
      <c r="U483" s="1330"/>
      <c r="V483" s="1418">
        <f>SUM(V480:V482)</f>
        <v>0</v>
      </c>
      <c r="W483" s="1203">
        <f>'Part IV-A-Uses of Funds'!W38</f>
        <v>0</v>
      </c>
      <c r="X483" s="1203"/>
    </row>
    <row r="484" spans="1:24" ht="13.8">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ht="13.8">
      <c r="A485" s="1330"/>
      <c r="B485" s="1330" t="s">
        <v>4502</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740</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ht="13.8">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5317</v>
      </c>
      <c r="C488" s="1429"/>
      <c r="D488" s="1330"/>
      <c r="E488" s="1386" t="s">
        <v>2742</v>
      </c>
      <c r="F488" s="1430">
        <f>B489/'Part VI-Revenues &amp; Expenses'!$O$65</f>
        <v>63502.256410256414</v>
      </c>
      <c r="G488" s="1431" t="s">
        <v>4504</v>
      </c>
      <c r="H488" s="1330"/>
      <c r="I488" s="1330"/>
      <c r="J488" s="1432">
        <f>B489/'Part VI-Revenues &amp; Expenses'!$O$67</f>
        <v>61914.7</v>
      </c>
      <c r="K488" s="1432"/>
      <c r="L488" s="1330"/>
      <c r="M488" s="1433" t="s">
        <v>1401</v>
      </c>
      <c r="N488" s="1433"/>
      <c r="O488" s="1330"/>
      <c r="P488" s="1432">
        <f>B489/'Part I-Project Information'!$P$75</f>
        <v>66.985502542464573</v>
      </c>
      <c r="Q488" s="1432"/>
      <c r="R488" s="1330"/>
      <c r="S488" s="1354" t="s">
        <v>2776</v>
      </c>
      <c r="T488" s="1354"/>
      <c r="U488" s="1330"/>
      <c r="V488" s="1418"/>
      <c r="W488" s="1203">
        <f>'Part IV-A-Uses of Funds'!W43</f>
        <v>0</v>
      </c>
      <c r="X488" s="1203"/>
    </row>
    <row r="489" spans="1:24" ht="13.8">
      <c r="A489" s="1330"/>
      <c r="B489" s="1434">
        <f>G472+G478+G483+G486</f>
        <v>2476588</v>
      </c>
      <c r="C489" s="1434"/>
      <c r="D489" s="1330"/>
      <c r="E489" s="1386"/>
      <c r="F489" s="1430">
        <f>B489/'Part VI-Revenues &amp; Expenses'!$O$154</f>
        <v>71.451718069299787</v>
      </c>
      <c r="G489" s="1354" t="s">
        <v>4505</v>
      </c>
      <c r="H489" s="1330"/>
      <c r="I489" s="1330"/>
      <c r="J489" s="1432">
        <f>B489/'Part VI-Revenues &amp; Expenses'!$O$156</f>
        <v>69.614009444569376</v>
      </c>
      <c r="K489" s="1432"/>
      <c r="L489" s="1330"/>
      <c r="M489" s="1354" t="s">
        <v>2775</v>
      </c>
      <c r="N489" s="1354"/>
      <c r="O489" s="1330"/>
      <c r="P489" s="1330"/>
      <c r="Q489" s="1330"/>
      <c r="R489" s="1330"/>
      <c r="S489" s="1330"/>
      <c r="T489" s="1330"/>
      <c r="U489" s="1330"/>
      <c r="V489" s="1418"/>
      <c r="W489" s="1203">
        <f>'Part IV-A-Uses of Funds'!W44</f>
        <v>0</v>
      </c>
      <c r="X489" s="1203"/>
    </row>
    <row r="490" spans="1:24" ht="13.8">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ht="13.8">
      <c r="A491" s="1330"/>
      <c r="B491" s="1330" t="s">
        <v>1125</v>
      </c>
      <c r="C491" s="1330"/>
      <c r="D491" s="1330"/>
      <c r="E491" s="1330"/>
      <c r="F491" s="1435" t="s">
        <v>4186</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8">
      <c r="A492" s="1336"/>
      <c r="B492" s="1330" t="s">
        <v>1960</v>
      </c>
      <c r="C492" s="1336"/>
      <c r="D492" s="1436" t="s">
        <v>4185</v>
      </c>
      <c r="E492" s="233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247658.80000000002</v>
      </c>
      <c r="F492" s="1438">
        <f>G492/B489</f>
        <v>0.10000008075626628</v>
      </c>
      <c r="G492" s="1412">
        <f>'Part IV-A-Uses of Funds'!G47</f>
        <v>247659</v>
      </c>
      <c r="H492" s="1412"/>
      <c r="I492" s="1330"/>
      <c r="J492" s="1412">
        <f>'Part IV-A-Uses of Funds'!J47</f>
        <v>0</v>
      </c>
      <c r="K492" s="1412"/>
      <c r="L492" s="1347"/>
      <c r="M492" s="1412">
        <f>'Part IV-A-Uses of Funds'!M47</f>
        <v>0</v>
      </c>
      <c r="N492" s="1412"/>
      <c r="O492" s="1330"/>
      <c r="P492" s="1412">
        <f>'Part IV-A-Uses of Funds'!P47</f>
        <v>222893</v>
      </c>
      <c r="Q492" s="1412"/>
      <c r="R492" s="1330"/>
      <c r="S492" s="1412">
        <f>'Part IV-A-Uses of Funds'!S47</f>
        <v>24766</v>
      </c>
      <c r="T492" s="1412"/>
      <c r="U492" s="1336"/>
      <c r="V492" s="1418">
        <f>SUM(V489:V491)</f>
        <v>0</v>
      </c>
      <c r="W492" s="1203">
        <f>'Part IV-A-Uses of Funds'!W47</f>
        <v>0</v>
      </c>
      <c r="X492" s="1203"/>
    </row>
    <row r="493" spans="1:24" ht="13.8">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2326" t="s">
        <v>615</v>
      </c>
      <c r="B494" s="2326" t="s">
        <v>4506</v>
      </c>
      <c r="C494" s="1330"/>
      <c r="D494" s="1330"/>
      <c r="E494" s="1330"/>
      <c r="F494" s="1330"/>
      <c r="G494" s="1330"/>
      <c r="H494" s="1330"/>
      <c r="I494" s="1330"/>
      <c r="J494" s="1386" t="s">
        <v>271</v>
      </c>
      <c r="K494" s="1386"/>
      <c r="L494" s="1412"/>
      <c r="M494" s="2328" t="s">
        <v>488</v>
      </c>
      <c r="N494" s="2328"/>
      <c r="O494" s="1330"/>
      <c r="P494" s="1386" t="s">
        <v>272</v>
      </c>
      <c r="Q494" s="1386"/>
      <c r="R494" s="1330"/>
      <c r="S494" s="1386" t="s">
        <v>273</v>
      </c>
      <c r="T494" s="1386"/>
      <c r="U494" s="1330"/>
      <c r="V494" s="1418"/>
      <c r="W494" s="2329" t="str">
        <f>B494</f>
        <v>DEVELOPMENT BUDGET (cont'd)</v>
      </c>
      <c r="X494" s="1330"/>
    </row>
    <row r="495" spans="1:24" ht="13.8">
      <c r="A495" s="1330"/>
      <c r="B495" s="1330"/>
      <c r="C495" s="1330"/>
      <c r="D495" s="1330"/>
      <c r="E495" s="1330"/>
      <c r="F495" s="1330"/>
      <c r="G495" s="1330" t="s">
        <v>101</v>
      </c>
      <c r="H495" s="1330"/>
      <c r="I495" s="1330"/>
      <c r="J495" s="1386"/>
      <c r="K495" s="1386"/>
      <c r="L495" s="1412"/>
      <c r="M495" s="2328"/>
      <c r="N495" s="2328"/>
      <c r="O495" s="1330"/>
      <c r="P495" s="1386"/>
      <c r="Q495" s="1386"/>
      <c r="R495" s="1330"/>
      <c r="S495" s="1386"/>
      <c r="T495" s="1386"/>
      <c r="U495" s="1330"/>
      <c r="V495" s="1418"/>
      <c r="W495" s="1348" t="s">
        <v>2682</v>
      </c>
      <c r="X495" s="1348"/>
    </row>
    <row r="496" spans="1:24" ht="13.8">
      <c r="A496" s="1330"/>
      <c r="B496" s="1330" t="s">
        <v>721</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ht="13.8">
      <c r="A497" s="1330"/>
      <c r="B497" s="1330" t="s">
        <v>3730</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ht="13.8">
      <c r="A498" s="1330"/>
      <c r="B498" s="1330" t="s">
        <v>3731</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ht="13.8">
      <c r="A499" s="1330"/>
      <c r="B499" s="1330" t="s">
        <v>2345</v>
      </c>
      <c r="C499" s="1330"/>
      <c r="D499" s="1330"/>
      <c r="E499" s="1330"/>
      <c r="F499" s="1330"/>
      <c r="G499" s="1412">
        <f>'Part IV-A-Uses of Funds'!G54</f>
        <v>20500</v>
      </c>
      <c r="H499" s="1412"/>
      <c r="I499" s="1330"/>
      <c r="J499" s="1412">
        <f>'Part IV-A-Uses of Funds'!J54</f>
        <v>0</v>
      </c>
      <c r="K499" s="1412"/>
      <c r="L499" s="1347"/>
      <c r="M499" s="1412">
        <f>'Part IV-A-Uses of Funds'!M54</f>
        <v>0</v>
      </c>
      <c r="N499" s="1412"/>
      <c r="O499" s="1330"/>
      <c r="P499" s="1412">
        <f>'Part IV-A-Uses of Funds'!P54</f>
        <v>20500</v>
      </c>
      <c r="Q499" s="1412"/>
      <c r="R499" s="1330"/>
      <c r="S499" s="1412">
        <f>'Part IV-A-Uses of Funds'!S54</f>
        <v>0</v>
      </c>
      <c r="T499" s="1412"/>
      <c r="U499" s="1330"/>
      <c r="V499" s="1418">
        <f>'Part IV-A-Uses of Funds'!V54</f>
        <v>0</v>
      </c>
      <c r="W499" s="1203">
        <f>'Part IV-A-Uses of Funds'!W54</f>
        <v>0</v>
      </c>
      <c r="X499" s="1203"/>
    </row>
    <row r="500" spans="1:24" ht="13.8">
      <c r="A500" s="1330"/>
      <c r="B500" s="1330" t="s">
        <v>2346</v>
      </c>
      <c r="C500" s="1330"/>
      <c r="D500" s="1330"/>
      <c r="E500" s="1330"/>
      <c r="F500" s="1330"/>
      <c r="G500" s="1412">
        <f>'Part IV-A-Uses of Funds'!G55</f>
        <v>194500</v>
      </c>
      <c r="H500" s="1412"/>
      <c r="I500" s="1330"/>
      <c r="J500" s="1412">
        <f>'Part IV-A-Uses of Funds'!J55</f>
        <v>0</v>
      </c>
      <c r="K500" s="1412"/>
      <c r="L500" s="1347"/>
      <c r="M500" s="1412">
        <f>'Part IV-A-Uses of Funds'!M55</f>
        <v>0</v>
      </c>
      <c r="N500" s="1412"/>
      <c r="O500" s="1330"/>
      <c r="P500" s="1412">
        <f>'Part IV-A-Uses of Funds'!P55</f>
        <v>194500</v>
      </c>
      <c r="Q500" s="1412"/>
      <c r="R500" s="1330"/>
      <c r="S500" s="1412">
        <f>'Part IV-A-Uses of Funds'!S55</f>
        <v>0</v>
      </c>
      <c r="T500" s="1412"/>
      <c r="U500" s="1330"/>
      <c r="V500" s="1418">
        <f>'Part IV-A-Uses of Funds'!V55</f>
        <v>0</v>
      </c>
      <c r="W500" s="1203">
        <f>'Part IV-A-Uses of Funds'!W55</f>
        <v>0</v>
      </c>
      <c r="X500" s="1203"/>
    </row>
    <row r="501" spans="1:24" ht="13.8">
      <c r="A501" s="1330"/>
      <c r="B501" s="1330" t="s">
        <v>2347</v>
      </c>
      <c r="C501" s="1330"/>
      <c r="D501" s="1330"/>
      <c r="E501" s="1330"/>
      <c r="F501" s="1330"/>
      <c r="G501" s="1412">
        <f>'Part IV-A-Uses of Funds'!G56</f>
        <v>76000</v>
      </c>
      <c r="H501" s="1412"/>
      <c r="I501" s="1330"/>
      <c r="J501" s="1412">
        <f>'Part IV-A-Uses of Funds'!J56</f>
        <v>0</v>
      </c>
      <c r="K501" s="1412"/>
      <c r="L501" s="1347"/>
      <c r="M501" s="1412">
        <f>'Part IV-A-Uses of Funds'!M56</f>
        <v>0</v>
      </c>
      <c r="N501" s="1412"/>
      <c r="O501" s="1330"/>
      <c r="P501" s="1412">
        <f>'Part IV-A-Uses of Funds'!P56</f>
        <v>55000</v>
      </c>
      <c r="Q501" s="1412"/>
      <c r="R501" s="1330"/>
      <c r="S501" s="1412">
        <f>'Part IV-A-Uses of Funds'!S56</f>
        <v>21000</v>
      </c>
      <c r="T501" s="1412"/>
      <c r="U501" s="1330"/>
      <c r="V501" s="1418">
        <f>'Part IV-A-Uses of Funds'!V56</f>
        <v>0</v>
      </c>
      <c r="W501" s="1203">
        <f>'Part IV-A-Uses of Funds'!W56</f>
        <v>0</v>
      </c>
      <c r="X501" s="1203"/>
    </row>
    <row r="502" spans="1:24" ht="13.8">
      <c r="A502" s="1330"/>
      <c r="B502" s="1330" t="s">
        <v>2686</v>
      </c>
      <c r="C502" s="1330"/>
      <c r="D502" s="1330"/>
      <c r="E502" s="1330"/>
      <c r="F502" s="1330"/>
      <c r="G502" s="1412">
        <f>'Part IV-A-Uses of Funds'!G57</f>
        <v>15000</v>
      </c>
      <c r="H502" s="1412"/>
      <c r="I502" s="1330"/>
      <c r="J502" s="1412">
        <f>'Part IV-A-Uses of Funds'!J57</f>
        <v>0</v>
      </c>
      <c r="K502" s="1412"/>
      <c r="L502" s="1347"/>
      <c r="M502" s="1412">
        <f>'Part IV-A-Uses of Funds'!M57</f>
        <v>0</v>
      </c>
      <c r="N502" s="1412"/>
      <c r="O502" s="1330"/>
      <c r="P502" s="1412">
        <f>'Part IV-A-Uses of Funds'!P57</f>
        <v>15000</v>
      </c>
      <c r="Q502" s="1412"/>
      <c r="R502" s="1330"/>
      <c r="S502" s="1412">
        <f>'Part IV-A-Uses of Funds'!S57</f>
        <v>0</v>
      </c>
      <c r="T502" s="1412"/>
      <c r="U502" s="1330"/>
      <c r="V502" s="1418">
        <f>'Part IV-A-Uses of Funds'!V57</f>
        <v>0</v>
      </c>
      <c r="W502" s="1203">
        <f>'Part IV-A-Uses of Funds'!W57</f>
        <v>0</v>
      </c>
      <c r="X502" s="1203"/>
    </row>
    <row r="503" spans="1:24" ht="13.8">
      <c r="A503" s="1330"/>
      <c r="B503" s="1330" t="s">
        <v>722</v>
      </c>
      <c r="C503" s="1330"/>
      <c r="D503" s="1330"/>
      <c r="E503" s="1330"/>
      <c r="F503" s="1330"/>
      <c r="G503" s="1412">
        <f>'Part IV-A-Uses of Funds'!G58</f>
        <v>1000</v>
      </c>
      <c r="H503" s="1412"/>
      <c r="I503" s="1330"/>
      <c r="J503" s="1412">
        <f>'Part IV-A-Uses of Funds'!J58</f>
        <v>0</v>
      </c>
      <c r="K503" s="1412"/>
      <c r="L503" s="1347"/>
      <c r="M503" s="1412">
        <f>'Part IV-A-Uses of Funds'!M58</f>
        <v>0</v>
      </c>
      <c r="N503" s="1412"/>
      <c r="O503" s="1330"/>
      <c r="P503" s="1412">
        <f>'Part IV-A-Uses of Funds'!P58</f>
        <v>1000</v>
      </c>
      <c r="Q503" s="1412"/>
      <c r="R503" s="1330"/>
      <c r="S503" s="1412">
        <f>'Part IV-A-Uses of Funds'!S58</f>
        <v>0</v>
      </c>
      <c r="T503" s="1412"/>
      <c r="U503" s="1330"/>
      <c r="V503" s="1418">
        <f>'Part IV-A-Uses of Funds'!V58</f>
        <v>0</v>
      </c>
      <c r="W503" s="1203">
        <f>'Part IV-A-Uses of Funds'!W58</f>
        <v>0</v>
      </c>
      <c r="X503" s="1203"/>
    </row>
    <row r="504" spans="1:24" ht="13.8">
      <c r="A504" s="1330"/>
      <c r="B504" s="1330" t="s">
        <v>2348</v>
      </c>
      <c r="C504" s="1330"/>
      <c r="D504" s="1330"/>
      <c r="E504" s="1330"/>
      <c r="F504" s="1330"/>
      <c r="G504" s="1412">
        <f>'Part IV-A-Uses of Funds'!G59</f>
        <v>7000</v>
      </c>
      <c r="H504" s="1412"/>
      <c r="I504" s="1330"/>
      <c r="J504" s="1412">
        <f>'Part IV-A-Uses of Funds'!J59</f>
        <v>0</v>
      </c>
      <c r="K504" s="1412"/>
      <c r="L504" s="1347"/>
      <c r="M504" s="1412">
        <f>'Part IV-A-Uses of Funds'!M59</f>
        <v>0</v>
      </c>
      <c r="N504" s="1412"/>
      <c r="O504" s="1330"/>
      <c r="P504" s="1412">
        <f>'Part IV-A-Uses of Funds'!P59</f>
        <v>7000</v>
      </c>
      <c r="Q504" s="1412"/>
      <c r="R504" s="1330"/>
      <c r="S504" s="1412">
        <f>'Part IV-A-Uses of Funds'!S59</f>
        <v>0</v>
      </c>
      <c r="T504" s="1412"/>
      <c r="U504" s="1330"/>
      <c r="V504" s="1418">
        <f>'Part IV-A-Uses of Funds'!V59</f>
        <v>0</v>
      </c>
      <c r="W504" s="1203">
        <f>'Part IV-A-Uses of Funds'!W59</f>
        <v>0</v>
      </c>
      <c r="X504" s="1203"/>
    </row>
    <row r="505" spans="1:24" ht="13.8">
      <c r="A505" s="1330"/>
      <c r="B505" s="1330" t="s">
        <v>1275</v>
      </c>
      <c r="C505" s="1330"/>
      <c r="D505" s="1330"/>
      <c r="E505" s="1330"/>
      <c r="F505" s="1330"/>
      <c r="G505" s="1412">
        <f>'Part IV-A-Uses of Funds'!G60</f>
        <v>10000</v>
      </c>
      <c r="H505" s="1412"/>
      <c r="I505" s="1330"/>
      <c r="J505" s="1412">
        <f>'Part IV-A-Uses of Funds'!J60</f>
        <v>0</v>
      </c>
      <c r="K505" s="1412"/>
      <c r="L505" s="1347"/>
      <c r="M505" s="1412">
        <f>'Part IV-A-Uses of Funds'!M60</f>
        <v>0</v>
      </c>
      <c r="N505" s="1412"/>
      <c r="O505" s="1330"/>
      <c r="P505" s="1412">
        <f>'Part IV-A-Uses of Funds'!P60</f>
        <v>10000</v>
      </c>
      <c r="Q505" s="1412"/>
      <c r="R505" s="1330"/>
      <c r="S505" s="1412">
        <f>'Part IV-A-Uses of Funds'!S60</f>
        <v>0</v>
      </c>
      <c r="T505" s="1412"/>
      <c r="U505" s="1330"/>
      <c r="V505" s="1418">
        <f>'Part IV-A-Uses of Funds'!V60</f>
        <v>0</v>
      </c>
      <c r="W505" s="1203">
        <f>'Part IV-A-Uses of Funds'!W60</f>
        <v>0</v>
      </c>
      <c r="X505" s="1203"/>
    </row>
    <row r="506" spans="1:24" ht="13.8">
      <c r="A506" s="1330"/>
      <c r="B506" s="1439" t="s">
        <v>1152</v>
      </c>
      <c r="C506" s="1330"/>
      <c r="D506" s="1438"/>
      <c r="E506" s="1438"/>
      <c r="F506" s="1440"/>
      <c r="G506" s="1412">
        <f>'Part IV-A-Uses of Funds'!G61</f>
        <v>0</v>
      </c>
      <c r="H506" s="1412"/>
      <c r="I506" s="1336"/>
      <c r="J506" s="1412">
        <f>'Part IV-A-Uses of Funds'!J61</f>
        <v>0</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2330" t="str">
        <f>IF(AND(G507&gt;0,OR(C507="",C507="&lt;Enter detailed description here; use Comments section if needed&gt;")),"X","")</f>
        <v/>
      </c>
      <c r="B507" s="1330" t="s">
        <v>740</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2330" t="str">
        <f>IF(AND(G508&gt;0,OR(C508="",C508="&lt;Enter detailed description here; use Comments section if needed&gt;")),"X","")</f>
        <v/>
      </c>
      <c r="B508" s="1330" t="s">
        <v>740</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ht="13.8">
      <c r="A509" s="1330"/>
      <c r="B509" s="1330"/>
      <c r="C509" s="1330"/>
      <c r="D509" s="1330"/>
      <c r="E509" s="1330"/>
      <c r="F509" s="1444" t="s">
        <v>191</v>
      </c>
      <c r="G509" s="1412">
        <f>SUM(G497:H508)</f>
        <v>324000</v>
      </c>
      <c r="H509" s="1412"/>
      <c r="I509" s="1330"/>
      <c r="J509" s="1412">
        <f>SUM(J497:K508)</f>
        <v>0</v>
      </c>
      <c r="K509" s="1412"/>
      <c r="L509" s="1347"/>
      <c r="M509" s="1412">
        <f>SUM(M497:N508)</f>
        <v>0</v>
      </c>
      <c r="N509" s="1412"/>
      <c r="O509" s="1330"/>
      <c r="P509" s="1412">
        <f>SUM(P497:Q508)</f>
        <v>303000</v>
      </c>
      <c r="Q509" s="1412"/>
      <c r="R509" s="1330"/>
      <c r="S509" s="1412">
        <f>SUM(S497:T508)</f>
        <v>21000</v>
      </c>
      <c r="T509" s="1412"/>
      <c r="U509" s="1330"/>
      <c r="V509" s="1418">
        <f>SUM(V497:V508)</f>
        <v>0</v>
      </c>
      <c r="W509" s="1203">
        <f>'Part IV-A-Uses of Funds'!W64</f>
        <v>0</v>
      </c>
      <c r="X509" s="1203"/>
    </row>
    <row r="510" spans="1:24" ht="13.8">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ht="13.8">
      <c r="A511" s="1330"/>
      <c r="B511" s="1330" t="s">
        <v>477</v>
      </c>
      <c r="C511" s="1330"/>
      <c r="D511" s="1330"/>
      <c r="E511" s="1330"/>
      <c r="F511" s="1330"/>
      <c r="G511" s="1412">
        <f>'Part IV-A-Uses of Funds'!G66</f>
        <v>89600</v>
      </c>
      <c r="H511" s="1412"/>
      <c r="I511" s="1330"/>
      <c r="J511" s="1412">
        <f>'Part IV-A-Uses of Funds'!J66</f>
        <v>0</v>
      </c>
      <c r="K511" s="1412"/>
      <c r="L511" s="1347"/>
      <c r="M511" s="1412">
        <f>'Part IV-A-Uses of Funds'!M66</f>
        <v>0</v>
      </c>
      <c r="N511" s="1412"/>
      <c r="O511" s="1330"/>
      <c r="P511" s="1412">
        <f>'Part IV-A-Uses of Funds'!P66</f>
        <v>89600</v>
      </c>
      <c r="Q511" s="1412"/>
      <c r="R511" s="1330"/>
      <c r="S511" s="1412">
        <f>'Part IV-A-Uses of Funds'!S66</f>
        <v>0</v>
      </c>
      <c r="T511" s="1412"/>
      <c r="U511" s="1330"/>
      <c r="V511" s="1418">
        <f>'Part IV-A-Uses of Funds'!V66</f>
        <v>0</v>
      </c>
      <c r="W511" s="1203">
        <f>'Part IV-A-Uses of Funds'!W66</f>
        <v>0</v>
      </c>
      <c r="X511" s="1203"/>
    </row>
    <row r="512" spans="1:24" ht="13.8">
      <c r="A512" s="1330"/>
      <c r="B512" s="1330" t="s">
        <v>478</v>
      </c>
      <c r="C512" s="1330"/>
      <c r="D512" s="1330"/>
      <c r="E512" s="1330"/>
      <c r="F512" s="1330"/>
      <c r="G512" s="1412">
        <f>'Part IV-A-Uses of Funds'!G67</f>
        <v>22400</v>
      </c>
      <c r="H512" s="1412"/>
      <c r="I512" s="1330"/>
      <c r="J512" s="1412">
        <f>'Part IV-A-Uses of Funds'!J67</f>
        <v>0</v>
      </c>
      <c r="K512" s="1412"/>
      <c r="L512" s="1347"/>
      <c r="M512" s="1412">
        <f>'Part IV-A-Uses of Funds'!M67</f>
        <v>0</v>
      </c>
      <c r="N512" s="1412"/>
      <c r="O512" s="1330"/>
      <c r="P512" s="1412">
        <f>'Part IV-A-Uses of Funds'!P67</f>
        <v>22400</v>
      </c>
      <c r="Q512" s="1412"/>
      <c r="R512" s="1330"/>
      <c r="S512" s="1412">
        <f>'Part IV-A-Uses of Funds'!S67</f>
        <v>0</v>
      </c>
      <c r="T512" s="1412"/>
      <c r="U512" s="1330"/>
      <c r="V512" s="1418">
        <f>'Part IV-A-Uses of Funds'!V67</f>
        <v>0</v>
      </c>
      <c r="W512" s="1203">
        <f>'Part IV-A-Uses of Funds'!W67</f>
        <v>0</v>
      </c>
      <c r="X512" s="1203"/>
    </row>
    <row r="513" spans="1:24" ht="13.8">
      <c r="A513" s="1330"/>
      <c r="B513" s="1330" t="s">
        <v>1126</v>
      </c>
      <c r="C513" s="1330"/>
      <c r="D513" s="1340" t="s">
        <v>3845</v>
      </c>
      <c r="E513" s="1441">
        <f>'DCA Underwriting Assumptions'!R521</f>
        <v>0</v>
      </c>
      <c r="F513" s="1330" t="str">
        <f>IF(G513&gt;E513,"CHECK!!!","")</f>
        <v>CHECK!!!</v>
      </c>
      <c r="G513" s="1412">
        <f>'Part IV-A-Uses of Funds'!G68</f>
        <v>15000</v>
      </c>
      <c r="H513" s="1412"/>
      <c r="I513" s="1330"/>
      <c r="J513" s="1412">
        <f>'Part IV-A-Uses of Funds'!J68</f>
        <v>0</v>
      </c>
      <c r="K513" s="1412"/>
      <c r="L513" s="1347"/>
      <c r="M513" s="1412">
        <f>'Part IV-A-Uses of Funds'!M68</f>
        <v>0</v>
      </c>
      <c r="N513" s="1412"/>
      <c r="O513" s="1330"/>
      <c r="P513" s="1412">
        <f>'Part IV-A-Uses of Funds'!P68</f>
        <v>15000</v>
      </c>
      <c r="Q513" s="1412"/>
      <c r="R513" s="1330"/>
      <c r="S513" s="1412">
        <f>'Part IV-A-Uses of Funds'!S68</f>
        <v>0</v>
      </c>
      <c r="T513" s="1412"/>
      <c r="U513" s="1330"/>
      <c r="V513" s="1418">
        <f>'Part IV-A-Uses of Funds'!V68</f>
        <v>0</v>
      </c>
      <c r="W513" s="1203">
        <f>'Part IV-A-Uses of Funds'!W68</f>
        <v>0</v>
      </c>
      <c r="X513" s="1203"/>
    </row>
    <row r="514" spans="1:24" ht="13.8">
      <c r="A514" s="1330"/>
      <c r="B514" s="1330" t="s">
        <v>1127</v>
      </c>
      <c r="C514" s="1330"/>
      <c r="D514" s="1330"/>
      <c r="E514" s="1330"/>
      <c r="F514" s="1330"/>
      <c r="G514" s="1412">
        <f>'Part IV-A-Uses of Funds'!G69</f>
        <v>0</v>
      </c>
      <c r="H514" s="1412"/>
      <c r="I514" s="1330"/>
      <c r="J514" s="1412">
        <f>'Part IV-A-Uses of Funds'!J69</f>
        <v>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ht="13.8">
      <c r="A515" s="1330"/>
      <c r="B515" s="1330" t="s">
        <v>1128</v>
      </c>
      <c r="C515" s="1330"/>
      <c r="D515" s="1330"/>
      <c r="E515" s="1330"/>
      <c r="F515" s="1330"/>
      <c r="G515" s="1412">
        <f>'Part IV-A-Uses of Funds'!G70</f>
        <v>7500</v>
      </c>
      <c r="H515" s="1412"/>
      <c r="I515" s="1330"/>
      <c r="J515" s="1412">
        <f>'Part IV-A-Uses of Funds'!J70</f>
        <v>0</v>
      </c>
      <c r="K515" s="1412"/>
      <c r="L515" s="1347"/>
      <c r="M515" s="1412">
        <f>'Part IV-A-Uses of Funds'!M70</f>
        <v>0</v>
      </c>
      <c r="N515" s="1412"/>
      <c r="O515" s="1330"/>
      <c r="P515" s="1412">
        <f>'Part IV-A-Uses of Funds'!P70</f>
        <v>7500</v>
      </c>
      <c r="Q515" s="1412"/>
      <c r="R515" s="1330"/>
      <c r="S515" s="1412">
        <f>'Part IV-A-Uses of Funds'!S70</f>
        <v>0</v>
      </c>
      <c r="T515" s="1412"/>
      <c r="U515" s="1330"/>
      <c r="V515" s="1418">
        <f>'Part IV-A-Uses of Funds'!V70</f>
        <v>0</v>
      </c>
      <c r="W515" s="1203">
        <f>'Part IV-A-Uses of Funds'!W70</f>
        <v>0</v>
      </c>
      <c r="X515" s="1203"/>
    </row>
    <row r="516" spans="1:24" ht="13.8">
      <c r="A516" s="1330"/>
      <c r="B516" s="1330" t="s">
        <v>1129</v>
      </c>
      <c r="C516" s="1330"/>
      <c r="D516" s="1330"/>
      <c r="E516" s="1330"/>
      <c r="F516" s="1330"/>
      <c r="G516" s="1412">
        <f>'Part IV-A-Uses of Funds'!G71</f>
        <v>10000</v>
      </c>
      <c r="H516" s="1412"/>
      <c r="I516" s="1330"/>
      <c r="J516" s="1412">
        <f>'Part IV-A-Uses of Funds'!J71</f>
        <v>0</v>
      </c>
      <c r="K516" s="1412"/>
      <c r="L516" s="1347"/>
      <c r="M516" s="1412">
        <f>'Part IV-A-Uses of Funds'!M71</f>
        <v>0</v>
      </c>
      <c r="N516" s="1412"/>
      <c r="O516" s="1330"/>
      <c r="P516" s="1412">
        <f>'Part IV-A-Uses of Funds'!P71</f>
        <v>10000</v>
      </c>
      <c r="Q516" s="1412"/>
      <c r="R516" s="1330"/>
      <c r="S516" s="1412">
        <f>'Part IV-A-Uses of Funds'!S71</f>
        <v>0</v>
      </c>
      <c r="T516" s="1412"/>
      <c r="U516" s="1330"/>
      <c r="V516" s="1418">
        <f>'Part IV-A-Uses of Funds'!V71</f>
        <v>0</v>
      </c>
      <c r="W516" s="1203">
        <f>'Part IV-A-Uses of Funds'!W71</f>
        <v>0</v>
      </c>
      <c r="X516" s="1203"/>
    </row>
    <row r="517" spans="1:24" ht="13.8">
      <c r="A517" s="1330"/>
      <c r="B517" s="1330" t="s">
        <v>479</v>
      </c>
      <c r="C517" s="1330"/>
      <c r="D517" s="1330"/>
      <c r="E517" s="1330"/>
      <c r="F517" s="1330"/>
      <c r="G517" s="1412">
        <f>'Part IV-A-Uses of Funds'!G72</f>
        <v>50000</v>
      </c>
      <c r="H517" s="1412"/>
      <c r="I517" s="1330"/>
      <c r="J517" s="1412">
        <f>'Part IV-A-Uses of Funds'!J72</f>
        <v>0</v>
      </c>
      <c r="K517" s="1412"/>
      <c r="L517" s="1347"/>
      <c r="M517" s="1412">
        <f>'Part IV-A-Uses of Funds'!M72</f>
        <v>0</v>
      </c>
      <c r="N517" s="1412"/>
      <c r="O517" s="1330"/>
      <c r="P517" s="1412">
        <f>'Part IV-A-Uses of Funds'!P72</f>
        <v>50000</v>
      </c>
      <c r="Q517" s="1412"/>
      <c r="R517" s="1330"/>
      <c r="S517" s="1412">
        <f>'Part IV-A-Uses of Funds'!S72</f>
        <v>0</v>
      </c>
      <c r="T517" s="1412"/>
      <c r="U517" s="1330"/>
      <c r="V517" s="1418">
        <f>'Part IV-A-Uses of Funds'!V72</f>
        <v>0</v>
      </c>
      <c r="W517" s="1203">
        <f>'Part IV-A-Uses of Funds'!W72</f>
        <v>0</v>
      </c>
      <c r="X517" s="1203"/>
    </row>
    <row r="518" spans="1:24" ht="13.8">
      <c r="A518" s="1330"/>
      <c r="B518" s="1330" t="s">
        <v>480</v>
      </c>
      <c r="C518" s="1330"/>
      <c r="D518" s="1330"/>
      <c r="E518" s="1330"/>
      <c r="F518" s="1330"/>
      <c r="G518" s="1412">
        <f>'Part IV-A-Uses of Funds'!G73</f>
        <v>30000</v>
      </c>
      <c r="H518" s="1412"/>
      <c r="I518" s="1330"/>
      <c r="J518" s="1412">
        <f>'Part IV-A-Uses of Funds'!J73</f>
        <v>0</v>
      </c>
      <c r="K518" s="1412"/>
      <c r="L518" s="1347"/>
      <c r="M518" s="1412">
        <f>'Part IV-A-Uses of Funds'!M73</f>
        <v>0</v>
      </c>
      <c r="N518" s="1412"/>
      <c r="O518" s="1330"/>
      <c r="P518" s="1412">
        <f>'Part IV-A-Uses of Funds'!P73</f>
        <v>15000</v>
      </c>
      <c r="Q518" s="1412"/>
      <c r="R518" s="1330"/>
      <c r="S518" s="1412">
        <f>'Part IV-A-Uses of Funds'!S73</f>
        <v>15000</v>
      </c>
      <c r="T518" s="1412"/>
      <c r="U518" s="1330"/>
      <c r="V518" s="1418">
        <f>'Part IV-A-Uses of Funds'!V73</f>
        <v>0</v>
      </c>
      <c r="W518" s="1203">
        <f>'Part IV-A-Uses of Funds'!W73</f>
        <v>0</v>
      </c>
      <c r="X518" s="1203"/>
    </row>
    <row r="519" spans="1:24" ht="13.8">
      <c r="A519" s="1330"/>
      <c r="B519" s="1330" t="s">
        <v>2048</v>
      </c>
      <c r="C519" s="1330"/>
      <c r="D519" s="1330"/>
      <c r="E519" s="1330"/>
      <c r="F519" s="1330"/>
      <c r="G519" s="1412">
        <f>'Part IV-A-Uses of Funds'!G74</f>
        <v>16500</v>
      </c>
      <c r="H519" s="1412"/>
      <c r="I519" s="1330"/>
      <c r="J519" s="1412">
        <f>'Part IV-A-Uses of Funds'!J74</f>
        <v>0</v>
      </c>
      <c r="K519" s="1412"/>
      <c r="L519" s="1347"/>
      <c r="M519" s="1412">
        <f>'Part IV-A-Uses of Funds'!M74</f>
        <v>0</v>
      </c>
      <c r="N519" s="1412"/>
      <c r="O519" s="1330"/>
      <c r="P519" s="1412">
        <f>'Part IV-A-Uses of Funds'!P74</f>
        <v>2500</v>
      </c>
      <c r="Q519" s="1412"/>
      <c r="R519" s="1330"/>
      <c r="S519" s="1412">
        <f>'Part IV-A-Uses of Funds'!S74</f>
        <v>14000</v>
      </c>
      <c r="T519" s="1412"/>
      <c r="U519" s="1330"/>
      <c r="V519" s="1418">
        <f>'Part IV-A-Uses of Funds'!V74</f>
        <v>0</v>
      </c>
      <c r="W519" s="1203">
        <f>'Part IV-A-Uses of Funds'!W74</f>
        <v>0</v>
      </c>
      <c r="X519" s="1203"/>
    </row>
    <row r="520" spans="1:24" ht="13.8">
      <c r="A520" s="1330"/>
      <c r="B520" s="1330" t="s">
        <v>1276</v>
      </c>
      <c r="C520" s="1330"/>
      <c r="D520" s="1330"/>
      <c r="E520" s="1330"/>
      <c r="F520" s="1330"/>
      <c r="G520" s="1412">
        <f>'Part IV-A-Uses of Funds'!G75</f>
        <v>15000</v>
      </c>
      <c r="H520" s="1412"/>
      <c r="I520" s="1330"/>
      <c r="J520" s="1412">
        <f>'Part IV-A-Uses of Funds'!J75</f>
        <v>0</v>
      </c>
      <c r="K520" s="1412"/>
      <c r="L520" s="1347"/>
      <c r="M520" s="1412">
        <f>'Part IV-A-Uses of Funds'!M75</f>
        <v>0</v>
      </c>
      <c r="N520" s="1412"/>
      <c r="O520" s="1330"/>
      <c r="P520" s="1412">
        <f>'Part IV-A-Uses of Funds'!P75</f>
        <v>15000</v>
      </c>
      <c r="Q520" s="1412"/>
      <c r="R520" s="1330"/>
      <c r="S520" s="1412">
        <f>'Part IV-A-Uses of Funds'!S75</f>
        <v>0</v>
      </c>
      <c r="T520" s="1412"/>
      <c r="U520" s="1330"/>
      <c r="V520" s="1418">
        <f>'Part IV-A-Uses of Funds'!V75</f>
        <v>0</v>
      </c>
      <c r="W520" s="1203">
        <f>'Part IV-A-Uses of Funds'!W75</f>
        <v>0</v>
      </c>
      <c r="X520" s="1203"/>
    </row>
    <row r="521" spans="1:24" ht="16.5" customHeight="1">
      <c r="A521" s="2330" t="str">
        <f>IF(AND(G521&gt;0,OR(C521="",C521="&lt;Enter detailed description here; use Comments section if needed&gt;")),"X","")</f>
        <v/>
      </c>
      <c r="B521" s="1330" t="s">
        <v>740</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ht="13.8">
      <c r="A522" s="1330"/>
      <c r="B522" s="1330"/>
      <c r="C522" s="1330"/>
      <c r="D522" s="1330"/>
      <c r="E522" s="1330"/>
      <c r="F522" s="1444" t="s">
        <v>191</v>
      </c>
      <c r="G522" s="1412">
        <f>SUM(G511:H521)</f>
        <v>256000</v>
      </c>
      <c r="H522" s="1412"/>
      <c r="I522" s="1330"/>
      <c r="J522" s="1412">
        <f>SUM(J511:K521)</f>
        <v>0</v>
      </c>
      <c r="K522" s="1412"/>
      <c r="L522" s="1347"/>
      <c r="M522" s="1412">
        <f>SUM(M511:N521)</f>
        <v>0</v>
      </c>
      <c r="N522" s="1412"/>
      <c r="O522" s="1330"/>
      <c r="P522" s="1412">
        <f>SUM(P511:Q521)</f>
        <v>227000</v>
      </c>
      <c r="Q522" s="1412"/>
      <c r="R522" s="1330"/>
      <c r="S522" s="1412">
        <f>SUM(S511:T521)</f>
        <v>29000</v>
      </c>
      <c r="T522" s="1412"/>
      <c r="U522" s="1330"/>
      <c r="V522" s="1418">
        <f>SUM(V511:V521)</f>
        <v>0</v>
      </c>
      <c r="W522" s="1203">
        <f>'Part IV-A-Uses of Funds'!W77</f>
        <v>0</v>
      </c>
      <c r="X522" s="1203"/>
    </row>
    <row r="523" spans="1:24" ht="13.8">
      <c r="A523" s="1330"/>
      <c r="B523" s="1330" t="s">
        <v>1268</v>
      </c>
      <c r="C523" s="1330"/>
      <c r="D523" s="1442" t="s">
        <v>3732</v>
      </c>
      <c r="E523" s="1443">
        <f>G528/'Part VI-Revenues &amp; Expenses'!$O$67</f>
        <v>702.3</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ht="13.8">
      <c r="A524" s="1330"/>
      <c r="B524" s="1330" t="s">
        <v>1269</v>
      </c>
      <c r="C524" s="1330"/>
      <c r="D524" s="1330"/>
      <c r="E524" s="1330"/>
      <c r="F524" s="1330"/>
      <c r="G524" s="1412">
        <f>'Part IV-A-Uses of Funds'!G79</f>
        <v>2092</v>
      </c>
      <c r="H524" s="1412"/>
      <c r="I524" s="1330"/>
      <c r="J524" s="1412">
        <f>'Part IV-A-Uses of Funds'!J79</f>
        <v>0</v>
      </c>
      <c r="K524" s="1412"/>
      <c r="L524" s="1347"/>
      <c r="M524" s="1412">
        <f>'Part IV-A-Uses of Funds'!M79</f>
        <v>0</v>
      </c>
      <c r="N524" s="1412"/>
      <c r="O524" s="1330"/>
      <c r="P524" s="1412">
        <f>'Part IV-A-Uses of Funds'!P79</f>
        <v>2092</v>
      </c>
      <c r="Q524" s="1412"/>
      <c r="R524" s="1330"/>
      <c r="S524" s="1412">
        <f>'Part IV-A-Uses of Funds'!S79</f>
        <v>0</v>
      </c>
      <c r="T524" s="1412"/>
      <c r="U524" s="1330"/>
      <c r="V524" s="1418">
        <f>'Part IV-A-Uses of Funds'!V79</f>
        <v>0</v>
      </c>
      <c r="W524" s="1203">
        <f>'Part IV-A-Uses of Funds'!W79</f>
        <v>0</v>
      </c>
      <c r="X524" s="1203"/>
    </row>
    <row r="525" spans="1:24" ht="13.8">
      <c r="A525" s="1330"/>
      <c r="B525" s="1330" t="s">
        <v>1270</v>
      </c>
      <c r="C525" s="1330"/>
      <c r="D525" s="1330"/>
      <c r="E525" s="1330"/>
      <c r="F525" s="1330"/>
      <c r="G525" s="1412">
        <f>'Part IV-A-Uses of Funds'!G80</f>
        <v>2000</v>
      </c>
      <c r="H525" s="1412"/>
      <c r="I525" s="1330"/>
      <c r="J525" s="1412">
        <f>'Part IV-A-Uses of Funds'!J80</f>
        <v>0</v>
      </c>
      <c r="K525" s="1412"/>
      <c r="L525" s="1347"/>
      <c r="M525" s="1412">
        <f>'Part IV-A-Uses of Funds'!M80</f>
        <v>0</v>
      </c>
      <c r="N525" s="1412"/>
      <c r="O525" s="1330"/>
      <c r="P525" s="1412">
        <f>'Part IV-A-Uses of Funds'!P80</f>
        <v>2000</v>
      </c>
      <c r="Q525" s="1412"/>
      <c r="R525" s="1330"/>
      <c r="S525" s="1412">
        <f>'Part IV-A-Uses of Funds'!S80</f>
        <v>0</v>
      </c>
      <c r="T525" s="1412"/>
      <c r="U525" s="1330"/>
      <c r="V525" s="1418">
        <f>'Part IV-A-Uses of Funds'!V80</f>
        <v>0</v>
      </c>
      <c r="W525" s="1203">
        <f>'Part IV-A-Uses of Funds'!W80</f>
        <v>0</v>
      </c>
      <c r="X525" s="1203"/>
    </row>
    <row r="526" spans="1:24" ht="34.200000000000003">
      <c r="A526" s="1330"/>
      <c r="B526" s="1330" t="s">
        <v>1271</v>
      </c>
      <c r="C526" s="1330"/>
      <c r="D526" s="1444" t="s">
        <v>1402</v>
      </c>
      <c r="E526" s="1457">
        <f>'Part IV-A-Uses of Funds'!E81</f>
        <v>0</v>
      </c>
      <c r="F526" s="1330"/>
      <c r="G526" s="1412">
        <f>'Part IV-A-Uses of Funds'!G81</f>
        <v>24000</v>
      </c>
      <c r="H526" s="1412"/>
      <c r="I526" s="1336"/>
      <c r="J526" s="1412">
        <f>'Part IV-A-Uses of Funds'!J81</f>
        <v>0</v>
      </c>
      <c r="K526" s="1412"/>
      <c r="L526" s="1347"/>
      <c r="M526" s="1412">
        <f>'Part IV-A-Uses of Funds'!M81</f>
        <v>0</v>
      </c>
      <c r="N526" s="1412"/>
      <c r="O526" s="1330"/>
      <c r="P526" s="1412">
        <f>'Part IV-A-Uses of Funds'!P81</f>
        <v>24000</v>
      </c>
      <c r="Q526" s="1412"/>
      <c r="R526" s="1330"/>
      <c r="S526" s="1412">
        <f>'Part IV-A-Uses of Funds'!S81</f>
        <v>0</v>
      </c>
      <c r="T526" s="1412"/>
      <c r="U526" s="1330"/>
      <c r="V526" s="1418">
        <f>'Part IV-A-Uses of Funds'!V81</f>
        <v>0</v>
      </c>
      <c r="W526" s="1203" t="str">
        <f>'Part IV-A-Uses of Funds'!W81</f>
        <v>Submeter change out costs</v>
      </c>
      <c r="X526" s="1203"/>
    </row>
    <row r="527" spans="1:24" ht="13.8">
      <c r="A527" s="1330"/>
      <c r="B527" s="1330" t="s">
        <v>1272</v>
      </c>
      <c r="C527" s="1330"/>
      <c r="D527" s="1444" t="s">
        <v>1402</v>
      </c>
      <c r="E527" s="1457">
        <f>'Part IV-A-Uses of Funds'!E82</f>
        <v>0</v>
      </c>
      <c r="F527" s="1330"/>
      <c r="G527" s="1412">
        <f>'Part IV-A-Uses of Funds'!G82</f>
        <v>0</v>
      </c>
      <c r="H527" s="1412"/>
      <c r="I527" s="1336"/>
      <c r="J527" s="1412">
        <f>'Part IV-A-Uses of Funds'!J82</f>
        <v>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ht="13.8">
      <c r="A528" s="1330"/>
      <c r="B528" s="1330"/>
      <c r="C528" s="1330"/>
      <c r="D528" s="1330"/>
      <c r="E528" s="1330"/>
      <c r="F528" s="1444" t="s">
        <v>191</v>
      </c>
      <c r="G528" s="1412">
        <f>SUM(G524:H527)</f>
        <v>28092</v>
      </c>
      <c r="H528" s="1412"/>
      <c r="I528" s="1330"/>
      <c r="J528" s="1412">
        <f>SUM(J524:K527)</f>
        <v>0</v>
      </c>
      <c r="K528" s="1412"/>
      <c r="L528" s="1347"/>
      <c r="M528" s="1412">
        <f>SUM(M524:N527)</f>
        <v>0</v>
      </c>
      <c r="N528" s="1412"/>
      <c r="O528" s="1330"/>
      <c r="P528" s="1412">
        <f>SUM(P524:Q527)</f>
        <v>28092</v>
      </c>
      <c r="Q528" s="1412"/>
      <c r="R528" s="1330"/>
      <c r="S528" s="1412">
        <f>SUM(S524:T527)</f>
        <v>0</v>
      </c>
      <c r="T528" s="1412"/>
      <c r="U528" s="1330"/>
      <c r="V528" s="1418">
        <f>SUM(V524:V527)</f>
        <v>0</v>
      </c>
      <c r="W528" s="1203">
        <f>'Part IV-A-Uses of Funds'!W83</f>
        <v>0</v>
      </c>
      <c r="X528" s="1203"/>
    </row>
    <row r="529" spans="1:24" ht="13.8">
      <c r="A529" s="1330"/>
      <c r="B529" s="1330" t="s">
        <v>723</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ht="13.8">
      <c r="A530" s="1330"/>
      <c r="B530" s="1330" t="s">
        <v>1273</v>
      </c>
      <c r="C530" s="1330"/>
      <c r="D530" s="1330"/>
      <c r="E530" s="1330"/>
      <c r="F530" s="1330"/>
      <c r="G530" s="1412">
        <f>'Part IV-A-Uses of Funds'!G85</f>
        <v>0</v>
      </c>
      <c r="H530" s="1412"/>
      <c r="I530" s="1330"/>
      <c r="J530" s="1412"/>
      <c r="K530" s="1412"/>
      <c r="L530" s="1347"/>
      <c r="M530" s="1412"/>
      <c r="N530" s="1412"/>
      <c r="O530" s="1330"/>
      <c r="P530" s="1412"/>
      <c r="Q530" s="1412"/>
      <c r="R530" s="1330"/>
      <c r="S530" s="1412">
        <f>'Part IV-A-Uses of Funds'!S85</f>
        <v>0</v>
      </c>
      <c r="T530" s="1412"/>
      <c r="U530" s="1330"/>
      <c r="V530" s="1418">
        <f>'Part IV-A-Uses of Funds'!V85</f>
        <v>0</v>
      </c>
      <c r="W530" s="1203">
        <f>'Part IV-A-Uses of Funds'!W85</f>
        <v>0</v>
      </c>
      <c r="X530" s="1203"/>
    </row>
    <row r="531" spans="1:24" ht="13.8">
      <c r="A531" s="1330"/>
      <c r="B531" s="1330" t="s">
        <v>1274</v>
      </c>
      <c r="C531" s="1330"/>
      <c r="D531" s="1330"/>
      <c r="E531" s="1330"/>
      <c r="F531" s="1330"/>
      <c r="G531" s="1412">
        <f>'Part IV-A-Uses of Funds'!G86</f>
        <v>0</v>
      </c>
      <c r="H531" s="1412"/>
      <c r="I531" s="1330"/>
      <c r="J531" s="1412"/>
      <c r="K531" s="1412"/>
      <c r="L531" s="1347"/>
      <c r="M531" s="1412"/>
      <c r="N531" s="1412"/>
      <c r="O531" s="1330"/>
      <c r="P531" s="1412"/>
      <c r="Q531" s="1412"/>
      <c r="R531" s="1330"/>
      <c r="S531" s="1412">
        <f>'Part IV-A-Uses of Funds'!S86</f>
        <v>0</v>
      </c>
      <c r="T531" s="1412"/>
      <c r="U531" s="1330"/>
      <c r="V531" s="1418">
        <f>'Part IV-A-Uses of Funds'!V86</f>
        <v>0</v>
      </c>
      <c r="W531" s="1203">
        <f>'Part IV-A-Uses of Funds'!W86</f>
        <v>0</v>
      </c>
      <c r="X531" s="1203"/>
    </row>
    <row r="532" spans="1:24" ht="13.8">
      <c r="A532" s="1330"/>
      <c r="B532" s="1330" t="s">
        <v>1275</v>
      </c>
      <c r="C532" s="1330"/>
      <c r="D532" s="1330"/>
      <c r="E532" s="1330"/>
      <c r="F532" s="1330"/>
      <c r="G532" s="1412">
        <f>'Part IV-A-Uses of Funds'!G87</f>
        <v>0</v>
      </c>
      <c r="H532" s="1412"/>
      <c r="I532" s="1330"/>
      <c r="J532" s="1412"/>
      <c r="K532" s="1412"/>
      <c r="L532" s="1347"/>
      <c r="M532" s="1412"/>
      <c r="N532" s="1412"/>
      <c r="O532" s="1330"/>
      <c r="P532" s="1412"/>
      <c r="Q532" s="1412"/>
      <c r="R532" s="1330"/>
      <c r="S532" s="1412">
        <f>'Part IV-A-Uses of Funds'!S87</f>
        <v>0</v>
      </c>
      <c r="T532" s="1412"/>
      <c r="U532" s="1330"/>
      <c r="V532" s="1418">
        <f>'Part IV-A-Uses of Funds'!V87</f>
        <v>0</v>
      </c>
      <c r="W532" s="1203">
        <f>'Part IV-A-Uses of Funds'!W87</f>
        <v>0</v>
      </c>
      <c r="X532" s="1203"/>
    </row>
    <row r="533" spans="1:24" ht="13.8">
      <c r="A533" s="1330"/>
      <c r="B533" s="1330" t="s">
        <v>1277</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ht="13.8">
      <c r="A534" s="1330"/>
      <c r="B534" s="1330" t="s">
        <v>2297</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2330" t="str">
        <f>IF(AND(G535&gt;0,OR(C535="",C535="&lt;Enter detailed description here; use Comments section if needed&gt;")),"X","")</f>
        <v/>
      </c>
      <c r="B535" s="1330" t="s">
        <v>740</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ht="13.8">
      <c r="A536" s="1330"/>
      <c r="B536" s="1330"/>
      <c r="C536" s="1330"/>
      <c r="D536" s="1330"/>
      <c r="E536" s="1330"/>
      <c r="F536" s="1444" t="s">
        <v>191</v>
      </c>
      <c r="G536" s="1412">
        <f>SUM(G530:H535)</f>
        <v>0</v>
      </c>
      <c r="H536" s="1412"/>
      <c r="I536" s="1330"/>
      <c r="J536" s="1412"/>
      <c r="K536" s="1412"/>
      <c r="L536" s="1347"/>
      <c r="M536" s="1412"/>
      <c r="N536" s="1412"/>
      <c r="O536" s="1330"/>
      <c r="P536" s="1412"/>
      <c r="Q536" s="1412"/>
      <c r="R536" s="1330"/>
      <c r="S536" s="1412">
        <f>SUM(S530:T535)</f>
        <v>0</v>
      </c>
      <c r="T536" s="1412"/>
      <c r="U536" s="1330"/>
      <c r="V536" s="1418">
        <f>SUM(V530:V535)</f>
        <v>0</v>
      </c>
      <c r="W536" s="1203">
        <f>'Part IV-A-Uses of Funds'!W91</f>
        <v>0</v>
      </c>
      <c r="X536" s="1203"/>
    </row>
    <row r="537" spans="1:24" ht="13.8">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2326" t="s">
        <v>615</v>
      </c>
      <c r="B538" s="2326" t="s">
        <v>4507</v>
      </c>
      <c r="C538" s="1330"/>
      <c r="D538" s="1330"/>
      <c r="E538" s="1330"/>
      <c r="F538" s="1330"/>
      <c r="G538" s="1330"/>
      <c r="H538" s="1330"/>
      <c r="I538" s="1330"/>
      <c r="J538" s="1386" t="s">
        <v>271</v>
      </c>
      <c r="K538" s="1386"/>
      <c r="L538" s="1412"/>
      <c r="M538" s="2328" t="s">
        <v>488</v>
      </c>
      <c r="N538" s="2328"/>
      <c r="O538" s="1330"/>
      <c r="P538" s="1386" t="s">
        <v>272</v>
      </c>
      <c r="Q538" s="1386"/>
      <c r="R538" s="1330"/>
      <c r="S538" s="1386" t="s">
        <v>273</v>
      </c>
      <c r="T538" s="1386"/>
      <c r="U538" s="1330"/>
      <c r="V538" s="2329" t="str">
        <f>B538</f>
        <v>DEVELOPMENT BUDGET  (cont'd)</v>
      </c>
      <c r="W538" s="1330"/>
      <c r="X538" s="1330"/>
    </row>
    <row r="539" spans="1:24" ht="13.8">
      <c r="A539" s="1330"/>
      <c r="B539" s="1330"/>
      <c r="C539" s="1330"/>
      <c r="D539" s="1330"/>
      <c r="E539" s="1330"/>
      <c r="F539" s="1330"/>
      <c r="G539" s="1330" t="s">
        <v>101</v>
      </c>
      <c r="H539" s="1330"/>
      <c r="I539" s="1330"/>
      <c r="J539" s="1386"/>
      <c r="K539" s="1386"/>
      <c r="L539" s="1412"/>
      <c r="M539" s="2328"/>
      <c r="N539" s="2328"/>
      <c r="O539" s="1330"/>
      <c r="P539" s="1386"/>
      <c r="Q539" s="1386"/>
      <c r="R539" s="1330"/>
      <c r="S539" s="1386"/>
      <c r="T539" s="1386"/>
      <c r="U539" s="1330"/>
      <c r="V539" s="1348" t="s">
        <v>2682</v>
      </c>
      <c r="W539" s="1330"/>
      <c r="X539" s="1348"/>
    </row>
    <row r="540" spans="1:24" ht="13.8">
      <c r="A540" s="1330"/>
      <c r="B540" s="1330" t="s">
        <v>724</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ht="13.8">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0</v>
      </c>
      <c r="H541" s="1412"/>
      <c r="I541" s="1330"/>
      <c r="J541" s="1347"/>
      <c r="K541" s="1347"/>
      <c r="L541" s="1347"/>
      <c r="M541" s="1347"/>
      <c r="N541" s="1347"/>
      <c r="O541" s="1330"/>
      <c r="P541" s="1347"/>
      <c r="Q541" s="1347"/>
      <c r="R541" s="1330"/>
      <c r="S541" s="1412">
        <f>'Part IV-A-Uses of Funds'!S96</f>
        <v>0</v>
      </c>
      <c r="T541" s="1412"/>
      <c r="U541" s="1330"/>
      <c r="V541" s="1418">
        <f>'Part IV-A-Uses of Funds'!V96</f>
        <v>0</v>
      </c>
      <c r="W541" s="1203">
        <f>'Part IV-A-Uses of Funds'!W96</f>
        <v>0</v>
      </c>
      <c r="X541" s="1203"/>
    </row>
    <row r="542" spans="1:24" ht="13.8">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6500</v>
      </c>
      <c r="T542" s="1412"/>
      <c r="U542" s="1330"/>
      <c r="V542" s="1418">
        <f>'Part IV-A-Uses of Funds'!V97</f>
        <v>0</v>
      </c>
      <c r="W542" s="1203">
        <f>'Part IV-A-Uses of Funds'!W97</f>
        <v>0</v>
      </c>
      <c r="X542" s="1203"/>
    </row>
    <row r="543" spans="1:24" ht="13.8">
      <c r="A543" s="1330"/>
      <c r="B543" s="1330" t="s">
        <v>3947</v>
      </c>
      <c r="C543" s="1330"/>
      <c r="D543" s="1330"/>
      <c r="E543" s="1330"/>
      <c r="F543" s="1330"/>
      <c r="G543" s="1412">
        <f>'Part IV-A-Uses of Funds'!G98</f>
        <v>1500</v>
      </c>
      <c r="H543" s="1412"/>
      <c r="I543" s="1330"/>
      <c r="J543" s="1347"/>
      <c r="K543" s="1347"/>
      <c r="L543" s="1445"/>
      <c r="M543" s="1347"/>
      <c r="N543" s="1347"/>
      <c r="O543" s="1330"/>
      <c r="P543" s="1347"/>
      <c r="Q543" s="1347"/>
      <c r="R543" s="1330"/>
      <c r="S543" s="1412">
        <f>'Part IV-A-Uses of Funds'!S98</f>
        <v>1500</v>
      </c>
      <c r="T543" s="1412"/>
      <c r="U543" s="1330"/>
      <c r="V543" s="1418">
        <f>'Part IV-A-Uses of Funds'!V98</f>
        <v>0</v>
      </c>
      <c r="W543" s="1203">
        <f>'Part IV-A-Uses of Funds'!W98</f>
        <v>0</v>
      </c>
      <c r="X543" s="1203"/>
    </row>
    <row r="544" spans="1:24" ht="13.8">
      <c r="A544" s="1330"/>
      <c r="B544" s="1330" t="s">
        <v>518</v>
      </c>
      <c r="C544" s="1330"/>
      <c r="D544" s="1330"/>
      <c r="E544" s="1446">
        <f>'DCA Underwriting Assumptions'!$Q$88*J620</f>
        <v>29534.48</v>
      </c>
      <c r="F544" s="1446"/>
      <c r="G544" s="1412">
        <f>'Part IV-A-Uses of Funds'!G99</f>
        <v>29533</v>
      </c>
      <c r="H544" s="1412"/>
      <c r="I544" s="1330"/>
      <c r="J544" s="2337" t="str">
        <f>IF(E544&gt;G544,"WARNING!  LIHTC Allocation Fee proposed is below minimum required.","")</f>
        <v>WARNING!  LIHTC Allocation Fee proposed is below minimum required.</v>
      </c>
      <c r="K544" s="1347"/>
      <c r="L544" s="1347"/>
      <c r="M544" s="1347"/>
      <c r="N544" s="1347"/>
      <c r="O544" s="1330"/>
      <c r="P544" s="1347"/>
      <c r="Q544" s="1347"/>
      <c r="R544" s="1330"/>
      <c r="S544" s="1412">
        <f>'Part IV-A-Uses of Funds'!S99</f>
        <v>29533</v>
      </c>
      <c r="T544" s="1412"/>
      <c r="U544" s="1330"/>
      <c r="V544" s="1418">
        <f>'Part IV-A-Uses of Funds'!V99</f>
        <v>0</v>
      </c>
      <c r="W544" s="1203">
        <f>'Part IV-A-Uses of Funds'!W99</f>
        <v>0</v>
      </c>
      <c r="X544" s="1203"/>
    </row>
    <row r="545" spans="1:24" ht="13.8">
      <c r="A545" s="1330"/>
      <c r="B545" s="1330" t="s">
        <v>752</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32000</v>
      </c>
      <c r="F545" s="1446"/>
      <c r="G545" s="1412">
        <f>'Part IV-A-Uses of Funds'!G100</f>
        <v>32000</v>
      </c>
      <c r="H545" s="1412"/>
      <c r="I545" s="1330"/>
      <c r="J545" s="2337" t="str">
        <f>IF(E545&gt;G545,"WARNING!  LIHTC Compliance Fee proposed is below minimum required.","")</f>
        <v/>
      </c>
      <c r="K545" s="1336"/>
      <c r="L545" s="1336"/>
      <c r="M545" s="1336"/>
      <c r="N545" s="1336"/>
      <c r="O545" s="1336"/>
      <c r="P545" s="1336"/>
      <c r="Q545" s="1336"/>
      <c r="R545" s="1330"/>
      <c r="S545" s="1412">
        <f>'Part IV-A-Uses of Funds'!S100</f>
        <v>32000</v>
      </c>
      <c r="T545" s="1412"/>
      <c r="U545" s="1330"/>
      <c r="V545" s="1418">
        <f>'Part IV-A-Uses of Funds'!V100</f>
        <v>0</v>
      </c>
      <c r="W545" s="1203">
        <f>'Part IV-A-Uses of Funds'!W100</f>
        <v>0</v>
      </c>
      <c r="X545" s="1203"/>
    </row>
    <row r="546" spans="1:24" ht="13.8">
      <c r="A546" s="1330"/>
      <c r="B546" s="1330" t="s">
        <v>4238</v>
      </c>
      <c r="C546" s="1330"/>
      <c r="D546" s="1330"/>
      <c r="E546" s="1330"/>
      <c r="F546" s="1448">
        <f>'DCA Underwriting Assumptions'!$Q$90</f>
        <v>3000</v>
      </c>
      <c r="G546" s="1412">
        <f>'Part IV-A-Uses of Funds'!G101</f>
        <v>0</v>
      </c>
      <c r="H546" s="1412"/>
      <c r="I546" s="1330"/>
      <c r="J546" s="1336"/>
      <c r="K546" s="1336"/>
      <c r="L546" s="1336"/>
      <c r="M546" s="1336"/>
      <c r="N546" s="1336"/>
      <c r="O546" s="1336"/>
      <c r="P546" s="1336"/>
      <c r="Q546" s="1336"/>
      <c r="R546" s="1330"/>
      <c r="S546" s="1412">
        <f>'Part IV-A-Uses of Funds'!S101</f>
        <v>0</v>
      </c>
      <c r="T546" s="1412"/>
      <c r="U546" s="1330"/>
      <c r="V546" s="1418">
        <f>'Part IV-A-Uses of Funds'!V101</f>
        <v>0</v>
      </c>
      <c r="W546" s="1203">
        <f>'Part IV-A-Uses of Funds'!W101</f>
        <v>0</v>
      </c>
      <c r="X546" s="1203"/>
    </row>
    <row r="547" spans="1:24" ht="13.8">
      <c r="A547" s="1330"/>
      <c r="B547" s="1330" t="s">
        <v>4239</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3000</v>
      </c>
      <c r="T547" s="1412"/>
      <c r="U547" s="1330"/>
      <c r="V547" s="1418">
        <f>'Part IV-A-Uses of Funds'!V102</f>
        <v>0</v>
      </c>
      <c r="W547" s="1203">
        <f>'Part IV-A-Uses of Funds'!W102</f>
        <v>0</v>
      </c>
      <c r="X547" s="1203"/>
    </row>
    <row r="548" spans="1:24" ht="15.75" customHeight="1">
      <c r="A548" s="2330" t="str">
        <f>IF(AND(G548&gt;0,OR(C548="",C548="&lt;Enter detailed description here; use Comments section if needed&gt;")),"X","")</f>
        <v/>
      </c>
      <c r="B548" s="1330" t="s">
        <v>740</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2330" t="str">
        <f>IF(AND(G549&gt;0,OR(C549="",C549="&lt;Enter detailed description here; use Comments section if needed&gt;")),"X","")</f>
        <v/>
      </c>
      <c r="B549" s="1330" t="s">
        <v>740</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ht="13.8">
      <c r="A550" s="1330"/>
      <c r="B550" s="1330"/>
      <c r="C550" s="1330"/>
      <c r="D550" s="1330"/>
      <c r="E550" s="1330"/>
      <c r="F550" s="1444" t="s">
        <v>191</v>
      </c>
      <c r="G550" s="1412">
        <f>SUM(G541:H549)</f>
        <v>72533</v>
      </c>
      <c r="H550" s="1412"/>
      <c r="I550" s="1330"/>
      <c r="J550" s="1347"/>
      <c r="K550" s="1347"/>
      <c r="L550" s="1347"/>
      <c r="M550" s="1347"/>
      <c r="N550" s="1347"/>
      <c r="O550" s="1330"/>
      <c r="P550" s="1347"/>
      <c r="Q550" s="1347"/>
      <c r="R550" s="1330"/>
      <c r="S550" s="1412">
        <f>SUM(S541:T549)</f>
        <v>72533</v>
      </c>
      <c r="T550" s="1412"/>
      <c r="U550" s="1330"/>
      <c r="V550" s="1418">
        <f>SUM(V541:V549)</f>
        <v>0</v>
      </c>
      <c r="W550" s="1203">
        <f>'Part IV-A-Uses of Funds'!W105</f>
        <v>0</v>
      </c>
      <c r="X550" s="1203"/>
    </row>
    <row r="551" spans="1:24" ht="13.8">
      <c r="A551" s="1330"/>
      <c r="B551" s="1330" t="s">
        <v>2298</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ht="13.8">
      <c r="A552" s="1330"/>
      <c r="B552" s="1330" t="s">
        <v>279</v>
      </c>
      <c r="C552" s="1330"/>
      <c r="D552" s="1330"/>
      <c r="E552" s="1330"/>
      <c r="F552" s="1330"/>
      <c r="G552" s="1412">
        <f>'Part IV-A-Uses of Funds'!G107</f>
        <v>0</v>
      </c>
      <c r="H552" s="1412"/>
      <c r="I552" s="1330"/>
      <c r="J552" s="1412"/>
      <c r="K552" s="1412"/>
      <c r="L552" s="1347"/>
      <c r="M552" s="1412"/>
      <c r="N552" s="1412"/>
      <c r="O552" s="1330"/>
      <c r="P552" s="1412"/>
      <c r="Q552" s="1412"/>
      <c r="R552" s="1330"/>
      <c r="S552" s="1412">
        <f>'Part IV-A-Uses of Funds'!S107</f>
        <v>0</v>
      </c>
      <c r="T552" s="1412"/>
      <c r="U552" s="1330"/>
      <c r="V552" s="1418">
        <f>'Part IV-A-Uses of Funds'!V107</f>
        <v>0</v>
      </c>
      <c r="W552" s="1203">
        <f>'Part IV-A-Uses of Funds'!W107</f>
        <v>0</v>
      </c>
      <c r="X552" s="1203"/>
    </row>
    <row r="553" spans="1:24" ht="13.8">
      <c r="A553" s="1330"/>
      <c r="B553" s="1330" t="s">
        <v>280</v>
      </c>
      <c r="C553" s="1330"/>
      <c r="D553" s="1330"/>
      <c r="E553" s="1330"/>
      <c r="F553" s="1330"/>
      <c r="G553" s="1412">
        <f>'Part IV-A-Uses of Funds'!G108</f>
        <v>4000</v>
      </c>
      <c r="H553" s="1412"/>
      <c r="I553" s="1330"/>
      <c r="J553" s="1412"/>
      <c r="K553" s="1412"/>
      <c r="L553" s="1347"/>
      <c r="M553" s="1412"/>
      <c r="N553" s="1412"/>
      <c r="O553" s="1330"/>
      <c r="P553" s="1412"/>
      <c r="Q553" s="1412"/>
      <c r="R553" s="1330"/>
      <c r="S553" s="1412">
        <f>'Part IV-A-Uses of Funds'!S108</f>
        <v>4000</v>
      </c>
      <c r="T553" s="1412"/>
      <c r="U553" s="1330"/>
      <c r="V553" s="1418">
        <f>'Part IV-A-Uses of Funds'!V108</f>
        <v>0</v>
      </c>
      <c r="W553" s="1203">
        <f>'Part IV-A-Uses of Funds'!W108</f>
        <v>0</v>
      </c>
      <c r="X553" s="1203"/>
    </row>
    <row r="554" spans="1:24" ht="13.8">
      <c r="A554" s="1330"/>
      <c r="B554" s="1330" t="s">
        <v>2385</v>
      </c>
      <c r="C554" s="1330"/>
      <c r="D554" s="1330"/>
      <c r="E554" s="1330"/>
      <c r="F554" s="1330"/>
      <c r="G554" s="1412">
        <f>'Part IV-A-Uses of Funds'!G109</f>
        <v>37500</v>
      </c>
      <c r="H554" s="1412"/>
      <c r="I554" s="1330"/>
      <c r="J554" s="1412"/>
      <c r="K554" s="1412"/>
      <c r="L554" s="1347"/>
      <c r="M554" s="1412"/>
      <c r="N554" s="1412"/>
      <c r="O554" s="1330"/>
      <c r="P554" s="1412"/>
      <c r="Q554" s="1412"/>
      <c r="R554" s="1330"/>
      <c r="S554" s="1412">
        <f>'Part IV-A-Uses of Funds'!S109</f>
        <v>37500</v>
      </c>
      <c r="T554" s="1412"/>
      <c r="U554" s="1330"/>
      <c r="V554" s="1418">
        <f>'Part IV-A-Uses of Funds'!V109</f>
        <v>0</v>
      </c>
      <c r="W554" s="1203">
        <f>'Part IV-A-Uses of Funds'!W109</f>
        <v>0</v>
      </c>
      <c r="X554" s="1203"/>
    </row>
    <row r="555" spans="1:24" ht="16.5" customHeight="1">
      <c r="A555" s="2330" t="str">
        <f>IF(AND(G555&gt;0,OR(C555="",C555="&lt;Enter detailed description here; use Comments section if needed&gt;")),"X","")</f>
        <v/>
      </c>
      <c r="B555" s="1330" t="s">
        <v>740</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ht="13.8">
      <c r="A556" s="1330"/>
      <c r="B556" s="1330"/>
      <c r="C556" s="1330"/>
      <c r="D556" s="1330"/>
      <c r="E556" s="1330"/>
      <c r="F556" s="1444" t="s">
        <v>191</v>
      </c>
      <c r="G556" s="1412">
        <f>SUM(G552:H555)</f>
        <v>41500</v>
      </c>
      <c r="H556" s="1412"/>
      <c r="I556" s="1330"/>
      <c r="J556" s="1412"/>
      <c r="K556" s="1412"/>
      <c r="L556" s="1347"/>
      <c r="M556" s="1412"/>
      <c r="N556" s="1412"/>
      <c r="O556" s="1330"/>
      <c r="P556" s="1412"/>
      <c r="Q556" s="1412"/>
      <c r="R556" s="1330"/>
      <c r="S556" s="1412">
        <f>SUM(S552:T555)</f>
        <v>41500</v>
      </c>
      <c r="T556" s="1412"/>
      <c r="U556" s="1330"/>
      <c r="V556" s="1418">
        <f>SUM(V552:V555)</f>
        <v>0</v>
      </c>
      <c r="W556" s="1203">
        <f>'Part IV-A-Uses of Funds'!W111</f>
        <v>0</v>
      </c>
      <c r="X556" s="1203"/>
    </row>
    <row r="557" spans="1:24" ht="13.8">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ht="13.8">
      <c r="A558" s="1330"/>
      <c r="B558" s="1330" t="s">
        <v>1859</v>
      </c>
      <c r="C558" s="1330"/>
      <c r="D558" s="1330"/>
      <c r="E558" s="1330"/>
      <c r="F558" s="1399">
        <f>IF($G$118=0,0,G558/$G$118)</f>
        <v>0</v>
      </c>
      <c r="G558" s="1412">
        <f>'Part IV-A-Uses of Funds'!G113</f>
        <v>184020</v>
      </c>
      <c r="H558" s="1412"/>
      <c r="I558" s="1330"/>
      <c r="J558" s="1412">
        <f>'Part IV-A-Uses of Funds'!J113</f>
        <v>0</v>
      </c>
      <c r="K558" s="1412"/>
      <c r="L558" s="1347"/>
      <c r="M558" s="1412">
        <f>'Part IV-A-Uses of Funds'!M113</f>
        <v>0</v>
      </c>
      <c r="N558" s="1412"/>
      <c r="O558" s="1330"/>
      <c r="P558" s="1412">
        <f>'Part IV-A-Uses of Funds'!P113</f>
        <v>184020</v>
      </c>
      <c r="Q558" s="1412"/>
      <c r="R558" s="1330"/>
      <c r="S558" s="1412">
        <f>'Part IV-A-Uses of Funds'!S113</f>
        <v>0</v>
      </c>
      <c r="T558" s="1412"/>
      <c r="U558" s="1330"/>
      <c r="V558" s="1418">
        <f>'Part IV-A-Uses of Funds'!V113</f>
        <v>0</v>
      </c>
      <c r="W558" s="1203">
        <f>'Part IV-A-Uses of Funds'!W113</f>
        <v>0</v>
      </c>
      <c r="X558" s="1203"/>
    </row>
    <row r="559" spans="1:24" ht="13.8">
      <c r="A559" s="1330"/>
      <c r="B559" s="1330" t="s">
        <v>4194</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ht="13.8">
      <c r="A560" s="1330"/>
      <c r="B560" s="1330" t="s">
        <v>1860</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ht="13.8">
      <c r="A561" s="1330"/>
      <c r="B561" s="1330" t="s">
        <v>3631</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ht="13.8">
      <c r="A562" s="1330"/>
      <c r="B562" s="1330" t="s">
        <v>1852</v>
      </c>
      <c r="C562" s="1330"/>
      <c r="D562" s="1330"/>
      <c r="E562" s="1330"/>
      <c r="F562" s="1399">
        <f>IF($G$118=0,0,G562/$G$118)</f>
        <v>0</v>
      </c>
      <c r="G562" s="1412">
        <f>'Part IV-A-Uses of Funds'!G117</f>
        <v>184020</v>
      </c>
      <c r="H562" s="1412"/>
      <c r="I562" s="1330"/>
      <c r="J562" s="1412">
        <f>'Part IV-A-Uses of Funds'!J117</f>
        <v>0</v>
      </c>
      <c r="K562" s="1412"/>
      <c r="L562" s="1347"/>
      <c r="M562" s="1412">
        <f>'Part IV-A-Uses of Funds'!M117</f>
        <v>0</v>
      </c>
      <c r="N562" s="1412"/>
      <c r="O562" s="1330"/>
      <c r="P562" s="1412">
        <f>'Part IV-A-Uses of Funds'!P117</f>
        <v>184020</v>
      </c>
      <c r="Q562" s="1412"/>
      <c r="R562" s="1330"/>
      <c r="S562" s="1412">
        <f>'Part IV-A-Uses of Funds'!S117</f>
        <v>0</v>
      </c>
      <c r="T562" s="1412"/>
      <c r="U562" s="1330"/>
      <c r="V562" s="1418">
        <f>'Part IV-A-Uses of Funds'!V117</f>
        <v>0</v>
      </c>
      <c r="W562" s="1203">
        <f>'Part IV-A-Uses of Funds'!W117</f>
        <v>0</v>
      </c>
      <c r="X562" s="1203"/>
    </row>
    <row r="563" spans="1:24" ht="13.8">
      <c r="A563" s="1330"/>
      <c r="B563" s="1330"/>
      <c r="C563" s="1337"/>
      <c r="D563" s="1330"/>
      <c r="E563" s="1330"/>
      <c r="F563" s="1444" t="s">
        <v>191</v>
      </c>
      <c r="G563" s="2338">
        <f>SUM(G558:H562)</f>
        <v>368040</v>
      </c>
      <c r="H563" s="2338"/>
      <c r="I563" s="1330"/>
      <c r="J563" s="1412">
        <f>SUM(J558:K562)</f>
        <v>0</v>
      </c>
      <c r="K563" s="1412"/>
      <c r="L563" s="1347"/>
      <c r="M563" s="1412">
        <f>SUM(M558:N562)</f>
        <v>0</v>
      </c>
      <c r="N563" s="1412"/>
      <c r="O563" s="1330"/>
      <c r="P563" s="1412">
        <f>SUM(P558:Q562)</f>
        <v>368040</v>
      </c>
      <c r="Q563" s="1412"/>
      <c r="R563" s="1330"/>
      <c r="S563" s="1412">
        <f>SUM(S558:T562)</f>
        <v>0</v>
      </c>
      <c r="T563" s="1412"/>
      <c r="U563" s="1330"/>
      <c r="V563" s="1418">
        <f>SUM(V558:V562)</f>
        <v>0</v>
      </c>
      <c r="W563" s="1203">
        <f>'Part IV-A-Uses of Funds'!W118</f>
        <v>0</v>
      </c>
      <c r="X563" s="1203"/>
    </row>
    <row r="564" spans="1:24" ht="13.8">
      <c r="A564" s="1330"/>
      <c r="B564" s="1330" t="s">
        <v>1308</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ht="13.8">
      <c r="A565" s="1330"/>
      <c r="B565" s="1330" t="s">
        <v>251</v>
      </c>
      <c r="C565" s="1330"/>
      <c r="D565" s="1330"/>
      <c r="E565" s="1330"/>
      <c r="F565" s="1330"/>
      <c r="G565" s="1412">
        <f>'Part IV-A-Uses of Funds'!G120</f>
        <v>7500</v>
      </c>
      <c r="H565" s="1412"/>
      <c r="I565" s="1330"/>
      <c r="J565" s="1445"/>
      <c r="K565" s="1445"/>
      <c r="L565" s="1445"/>
      <c r="M565" s="1445"/>
      <c r="N565" s="1445"/>
      <c r="O565" s="1330"/>
      <c r="P565" s="1445"/>
      <c r="Q565" s="1445"/>
      <c r="R565" s="1330"/>
      <c r="S565" s="1412">
        <f>'Part IV-A-Uses of Funds'!S120</f>
        <v>7500</v>
      </c>
      <c r="T565" s="1412"/>
      <c r="U565" s="1330"/>
      <c r="V565" s="1418">
        <f>'Part IV-A-Uses of Funds'!V120</f>
        <v>0</v>
      </c>
      <c r="W565" s="1203">
        <f>'Part IV-A-Uses of Funds'!W120</f>
        <v>0</v>
      </c>
      <c r="X565" s="1203"/>
    </row>
    <row r="566" spans="1:24" ht="13.8">
      <c r="A566" s="1330"/>
      <c r="B566" s="1330" t="s">
        <v>1535</v>
      </c>
      <c r="C566" s="1330"/>
      <c r="D566" s="1330"/>
      <c r="E566" s="1330"/>
      <c r="F566" s="1419">
        <f>+'Part VI-Revenues &amp; Expenses'!$P$226*('DCA Underwriting Assumptions'!$Q$112/12)</f>
        <v>39783.25</v>
      </c>
      <c r="G566" s="1412">
        <f>'Part IV-A-Uses of Funds'!G121</f>
        <v>43283</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43283</v>
      </c>
      <c r="T566" s="1412"/>
      <c r="U566" s="1330"/>
      <c r="V566" s="1418">
        <f>'Part IV-A-Uses of Funds'!V121</f>
        <v>0</v>
      </c>
      <c r="W566" s="1203">
        <f>'Part IV-A-Uses of Funds'!W121</f>
        <v>0</v>
      </c>
      <c r="X566" s="1203"/>
    </row>
    <row r="567" spans="1:24" ht="13.8">
      <c r="A567" s="1330"/>
      <c r="B567" s="1330" t="s">
        <v>677</v>
      </c>
      <c r="C567" s="1330"/>
      <c r="D567" s="1330"/>
      <c r="E567" s="1330"/>
      <c r="F567" s="1419">
        <f>'Part VI-Revenues &amp; Expenses'!$P$226*('DCA Underwriting Assumptions'!$Q$111/12)+('Part VII-Pro Forma'!$B$25+'Part VII-Pro Forma'!$B$26+'Part VII-Pro Forma'!$B$27+'Part VII-Pro Forma'!$B$28)*'DCA Underwriting Assumptions'!$Q$110/(-12)</f>
        <v>79566.5</v>
      </c>
      <c r="G567" s="1412">
        <f>'Part IV-A-Uses of Funds'!G122</f>
        <v>86567</v>
      </c>
      <c r="H567" s="1412"/>
      <c r="I567" s="1330"/>
      <c r="J567" s="1486" t="str">
        <f>IF(E567&gt;G567,"WARNING! ODR proposed is below minimum - add comment.","")</f>
        <v/>
      </c>
      <c r="K567" s="1445"/>
      <c r="L567" s="1445"/>
      <c r="M567" s="1445"/>
      <c r="N567" s="1445"/>
      <c r="O567" s="1330"/>
      <c r="P567" s="1445"/>
      <c r="Q567" s="1445"/>
      <c r="R567" s="1330"/>
      <c r="S567" s="1412">
        <f>'Part IV-A-Uses of Funds'!S122</f>
        <v>86567</v>
      </c>
      <c r="T567" s="1412"/>
      <c r="U567" s="1330"/>
      <c r="V567" s="1418">
        <f>'Part IV-A-Uses of Funds'!V122</f>
        <v>0</v>
      </c>
      <c r="W567" s="1203">
        <f>'Part IV-A-Uses of Funds'!W122</f>
        <v>0</v>
      </c>
      <c r="X567" s="1203"/>
    </row>
    <row r="568" spans="1:24" ht="13.8">
      <c r="A568" s="1330"/>
      <c r="B568" s="1330" t="s">
        <v>1243</v>
      </c>
      <c r="C568" s="1330"/>
      <c r="D568" s="1330"/>
      <c r="E568" s="1330"/>
      <c r="F568" s="1330"/>
      <c r="G568" s="1412">
        <f>'Part IV-A-Uses of Funds'!G123</f>
        <v>7500</v>
      </c>
      <c r="H568" s="1412"/>
      <c r="I568" s="1330"/>
      <c r="J568" s="1445"/>
      <c r="K568" s="1445"/>
      <c r="L568" s="1445"/>
      <c r="M568" s="1445"/>
      <c r="N568" s="1445"/>
      <c r="O568" s="1330"/>
      <c r="P568" s="1445"/>
      <c r="Q568" s="1445"/>
      <c r="R568" s="1330"/>
      <c r="S568" s="1412">
        <f>'Part IV-A-Uses of Funds'!S123</f>
        <v>7500</v>
      </c>
      <c r="T568" s="1412"/>
      <c r="U568" s="1330"/>
      <c r="V568" s="1418">
        <f>'Part IV-A-Uses of Funds'!V123</f>
        <v>0</v>
      </c>
      <c r="W568" s="1203">
        <f>'Part IV-A-Uses of Funds'!W123</f>
        <v>0</v>
      </c>
      <c r="X568" s="1203"/>
    </row>
    <row r="569" spans="1:24" ht="13.8">
      <c r="A569" s="1330"/>
      <c r="B569" s="1330" t="s">
        <v>1244</v>
      </c>
      <c r="C569" s="1330"/>
      <c r="D569" s="1330"/>
      <c r="E569" s="1377" t="s">
        <v>3564</v>
      </c>
      <c r="F569" s="1419">
        <f>IF('Part VI-Revenues &amp; Expenses'!$O$67=0,0,G569/'Part VI-Revenues &amp; Expenses'!$O$67)</f>
        <v>338.9</v>
      </c>
      <c r="G569" s="1412">
        <f>'Part IV-A-Uses of Funds'!G124</f>
        <v>13556</v>
      </c>
      <c r="H569" s="1412"/>
      <c r="I569" s="1330"/>
      <c r="J569" s="1412">
        <f>'Part IV-A-Uses of Funds'!J124</f>
        <v>0</v>
      </c>
      <c r="K569" s="1412"/>
      <c r="L569" s="1347"/>
      <c r="M569" s="1412">
        <f>'Part IV-A-Uses of Funds'!M124</f>
        <v>0</v>
      </c>
      <c r="N569" s="1412"/>
      <c r="O569" s="1330"/>
      <c r="P569" s="1412">
        <f>'Part IV-A-Uses of Funds'!P124</f>
        <v>13556</v>
      </c>
      <c r="Q569" s="1412"/>
      <c r="R569" s="1330"/>
      <c r="S569" s="1412">
        <f>'Part IV-A-Uses of Funds'!S124</f>
        <v>0</v>
      </c>
      <c r="T569" s="1412"/>
      <c r="U569" s="1330"/>
      <c r="V569" s="1418">
        <f>'Part IV-A-Uses of Funds'!V124</f>
        <v>0</v>
      </c>
      <c r="W569" s="1203">
        <f>'Part IV-A-Uses of Funds'!W124</f>
        <v>0</v>
      </c>
      <c r="X569" s="1203"/>
    </row>
    <row r="570" spans="1:24" ht="16.5" customHeight="1">
      <c r="A570" s="2330" t="str">
        <f>IF(AND(G570&gt;0,OR(C570="",C570="&lt;Enter detailed description here; use Comments section if needed&gt;")),"X","")</f>
        <v/>
      </c>
      <c r="B570" s="1330" t="s">
        <v>740</v>
      </c>
      <c r="C570" s="1342" t="str">
        <f>'Part IV-A-Uses of Funds'!C125</f>
        <v>T &amp; I Escrow--$37,680; Asset Mgmt Fees --$45,000</v>
      </c>
      <c r="D570" s="1342"/>
      <c r="E570" s="1342"/>
      <c r="F570" s="1342"/>
      <c r="G570" s="1412">
        <f>'Part IV-A-Uses of Funds'!G125</f>
        <v>82680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82680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ht="13.8">
      <c r="A571" s="1330"/>
      <c r="B571" s="1457"/>
      <c r="C571" s="1330"/>
      <c r="D571" s="1330"/>
      <c r="E571" s="1330"/>
      <c r="F571" s="1444" t="s">
        <v>191</v>
      </c>
      <c r="G571" s="1412">
        <f>SUM(G565:H570)</f>
        <v>241086</v>
      </c>
      <c r="H571" s="1412"/>
      <c r="I571" s="1330"/>
      <c r="J571" s="1412">
        <f>SUM(J569:K570)</f>
        <v>0</v>
      </c>
      <c r="K571" s="1412"/>
      <c r="L571" s="1347"/>
      <c r="M571" s="1412">
        <f>SUM(M569:N570)</f>
        <v>0</v>
      </c>
      <c r="N571" s="1412"/>
      <c r="O571" s="1330"/>
      <c r="P571" s="1412">
        <f>SUM(P569:Q570)</f>
        <v>13556</v>
      </c>
      <c r="Q571" s="1412"/>
      <c r="R571" s="1330"/>
      <c r="S571" s="1412">
        <f>SUM(S565:T570)</f>
        <v>227530</v>
      </c>
      <c r="T571" s="1412"/>
      <c r="U571" s="1330"/>
      <c r="V571" s="1418">
        <f>SUM(V565:V570)</f>
        <v>0</v>
      </c>
      <c r="W571" s="1203">
        <f>'Part IV-A-Uses of Funds'!W126</f>
        <v>0</v>
      </c>
      <c r="X571" s="1203"/>
    </row>
    <row r="572" spans="1:24" ht="13.8">
      <c r="A572" s="1330"/>
      <c r="B572" s="1330" t="s">
        <v>609</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ht="13.8">
      <c r="A573" s="1330"/>
      <c r="B573" s="1330" t="s">
        <v>610</v>
      </c>
      <c r="C573" s="1337"/>
      <c r="D573" s="1330"/>
      <c r="E573" s="1330"/>
      <c r="F573" s="1330"/>
      <c r="G573" s="1412">
        <f>'Part IV-A-Uses of Funds'!G128</f>
        <v>85000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85000</v>
      </c>
      <c r="T573" s="1412"/>
      <c r="U573" s="1330"/>
      <c r="V573" s="1418">
        <f>'Part IV-A-Uses of Funds'!V128</f>
        <v>0</v>
      </c>
      <c r="W573" s="1203">
        <f>'Part IV-A-Uses of Funds'!W128</f>
        <v>0</v>
      </c>
      <c r="X573" s="1203"/>
    </row>
    <row r="574" spans="1:24" ht="16.5" customHeight="1">
      <c r="A574" s="2330" t="str">
        <f>IF(AND(G574&gt;0,OR(C574="",C574="&lt;Enter detailed description here; use Comments section if needed&gt;")),"X","")</f>
        <v/>
      </c>
      <c r="B574" s="1330" t="s">
        <v>740</v>
      </c>
      <c r="C574" s="1342" t="str">
        <f>'Part IV-A-Uses of Funds'!C129</f>
        <v>Relocation cost explanation included on Tab IV-B-Other Items</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ht="13.8">
      <c r="A575" s="1330"/>
      <c r="B575" s="1330"/>
      <c r="C575" s="1337"/>
      <c r="D575" s="1330"/>
      <c r="E575" s="1330"/>
      <c r="F575" s="1444" t="s">
        <v>191</v>
      </c>
      <c r="G575" s="1412">
        <f>SUM(G573:H574)</f>
        <v>85000</v>
      </c>
      <c r="H575" s="1412"/>
      <c r="I575" s="1330"/>
      <c r="J575" s="1412">
        <f>SUM(J573:K574)</f>
        <v>0</v>
      </c>
      <c r="K575" s="1412"/>
      <c r="L575" s="1347"/>
      <c r="M575" s="1412">
        <f>SUM(M573:N574)</f>
        <v>0</v>
      </c>
      <c r="N575" s="1412"/>
      <c r="O575" s="1330"/>
      <c r="P575" s="1412">
        <f>SUM(P573:Q574)</f>
        <v>0</v>
      </c>
      <c r="Q575" s="1412"/>
      <c r="R575" s="1330"/>
      <c r="S575" s="1412">
        <f>SUM(S573:T574)</f>
        <v>85000</v>
      </c>
      <c r="T575" s="1412"/>
      <c r="U575" s="1330"/>
      <c r="V575" s="1418">
        <f>SUM(V573:V574)</f>
        <v>0</v>
      </c>
      <c r="W575" s="1203">
        <f>'Part IV-A-Uses of Funds'!W130</f>
        <v>0</v>
      </c>
      <c r="X575" s="1203"/>
    </row>
    <row r="576" spans="1:24" ht="13.8">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ht="13.8">
      <c r="A577" s="1330"/>
      <c r="B577" s="1337" t="s">
        <v>5318</v>
      </c>
      <c r="C577" s="1330"/>
      <c r="D577" s="1330"/>
      <c r="E577" s="1330"/>
      <c r="F577" s="1330"/>
      <c r="G577" s="1412">
        <f>G462+G468+G472+G478+G483+G486+G492+G509+G522+G528+G536+G550+G556+G563+G571+G575</f>
        <v>5168536</v>
      </c>
      <c r="H577" s="1412"/>
      <c r="I577" s="1330"/>
      <c r="J577" s="1412">
        <f>J462+J468+J472+J478+J483+J486+J492+J509+J522+J528+J536+J550+J556+J563+J571+J575</f>
        <v>0</v>
      </c>
      <c r="K577" s="1412"/>
      <c r="L577" s="1330"/>
      <c r="M577" s="1412">
        <f>M462+M468+M472+M478+M483+M486+M492+M509+M522+M528+M536+M550+M556+M563+M571+M575</f>
        <v>752783</v>
      </c>
      <c r="N577" s="1412"/>
      <c r="O577" s="1330"/>
      <c r="P577" s="1412">
        <f>P462+P468+P472+P478+P483+P486+P492+P509+P522+P528+P536+P550+P556+P563+P571+P575</f>
        <v>3688969</v>
      </c>
      <c r="Q577" s="1412"/>
      <c r="R577" s="1330"/>
      <c r="S577" s="1412">
        <f>S462+S468+S472+S478+S483+S486+S492+S509+S522+S528+S536+S550+S556+S563+S571+S575</f>
        <v>726784</v>
      </c>
      <c r="T577" s="1412"/>
      <c r="U577" s="1330"/>
      <c r="V577" s="1418">
        <f>V462+V468+V472+V478+V483+V486+V492+V509+V522+V528+V536+V550+V556+V563+V571+V575</f>
        <v>0</v>
      </c>
      <c r="W577" s="1203">
        <f>'Part IV-A-Uses of Funds'!W132</f>
        <v>0</v>
      </c>
      <c r="X577" s="1203"/>
    </row>
    <row r="578" spans="1:24" ht="13.8">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ht="13.8">
      <c r="A579" s="1330"/>
      <c r="B579" s="2339" t="s">
        <v>5098</v>
      </c>
      <c r="C579" s="1429"/>
      <c r="D579" s="1456">
        <f>IF('Part VI-Revenues &amp; Expenses'!$O$67=0,0,G577/'Part VI-Revenues &amp; Expenses'!$O$67)</f>
        <v>129213.4</v>
      </c>
      <c r="E579" s="1456"/>
      <c r="F579" s="1457" t="s">
        <v>2761</v>
      </c>
      <c r="G579" s="1456">
        <f>IF('Part I-Project Information'!$P$75=0,0,G577/'Part I-Project Information'!$P$75)</f>
        <v>139.79595369468788</v>
      </c>
      <c r="H579" s="1456"/>
      <c r="I579" s="2340"/>
      <c r="J579" s="1330"/>
      <c r="K579" s="1330"/>
      <c r="L579" s="1330"/>
      <c r="M579" s="1330"/>
      <c r="N579" s="1330"/>
      <c r="O579" s="1330"/>
      <c r="P579" s="1330"/>
      <c r="Q579" s="1330"/>
      <c r="R579" s="1330"/>
      <c r="S579" s="1330"/>
      <c r="T579" s="1330"/>
      <c r="U579" s="1330"/>
      <c r="V579" s="1418"/>
      <c r="W579" s="1330"/>
      <c r="X579" s="1330"/>
    </row>
    <row r="580" spans="1:24" ht="13.8">
      <c r="A580" s="1330"/>
      <c r="B580" s="1330"/>
      <c r="C580" s="1330"/>
      <c r="D580" s="1330"/>
      <c r="E580" s="1330"/>
      <c r="F580" s="1330"/>
      <c r="G580" s="1330"/>
      <c r="H580" s="1330"/>
      <c r="I580" s="2340"/>
      <c r="J580" s="1330"/>
      <c r="K580" s="1330"/>
      <c r="L580" s="2340"/>
      <c r="M580" s="1330"/>
      <c r="N580" s="1330"/>
      <c r="O580" s="1330"/>
      <c r="P580" s="1330"/>
      <c r="Q580" s="1330"/>
      <c r="R580" s="1330"/>
      <c r="S580" s="1330"/>
      <c r="T580" s="1330"/>
      <c r="U580" s="1330"/>
      <c r="V580" s="1418"/>
      <c r="W580" s="1330"/>
      <c r="X580" s="1330"/>
    </row>
    <row r="581" spans="1:24" ht="13.8">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2326" t="s">
        <v>739</v>
      </c>
      <c r="B582" s="2341" t="s">
        <v>1425</v>
      </c>
      <c r="C582" s="1334"/>
      <c r="D582" s="1347"/>
      <c r="E582" s="1347"/>
      <c r="F582" s="1347"/>
      <c r="G582" s="1330"/>
      <c r="H582" s="1330"/>
      <c r="I582" s="2342"/>
      <c r="J582" s="1386" t="s">
        <v>271</v>
      </c>
      <c r="K582" s="1386"/>
      <c r="L582" s="1330"/>
      <c r="M582" s="1386" t="s">
        <v>100</v>
      </c>
      <c r="N582" s="1386"/>
      <c r="O582" s="1330"/>
      <c r="P582" s="1386" t="s">
        <v>272</v>
      </c>
      <c r="Q582" s="1386"/>
      <c r="R582" s="1330"/>
      <c r="S582" s="1330"/>
      <c r="T582" s="1330"/>
      <c r="U582" s="1330"/>
      <c r="V582" s="1418"/>
      <c r="W582" s="2329" t="str">
        <f>B582</f>
        <v>TAX CREDIT CALCULATION - BASIS METHOD</v>
      </c>
      <c r="X582" s="1330"/>
    </row>
    <row r="583" spans="1:24" ht="13.8">
      <c r="A583" s="1330"/>
      <c r="B583" s="1337" t="s">
        <v>2043</v>
      </c>
      <c r="C583" s="1330"/>
      <c r="D583" s="1347"/>
      <c r="E583" s="1347"/>
      <c r="F583" s="1330"/>
      <c r="G583" s="1330"/>
      <c r="H583" s="1330"/>
      <c r="I583" s="2342"/>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ht="13.8">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ht="13.8">
      <c r="A585" s="1330"/>
      <c r="B585" s="1337" t="s">
        <v>144</v>
      </c>
      <c r="C585" s="1330"/>
      <c r="D585" s="1330"/>
      <c r="E585" s="1330"/>
      <c r="F585" s="1330"/>
      <c r="G585" s="1330"/>
      <c r="H585" s="1330"/>
      <c r="I585" s="2342"/>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ht="13.8">
      <c r="A586" s="1330"/>
      <c r="B586" s="1330" t="s">
        <v>2151</v>
      </c>
      <c r="C586" s="1330"/>
      <c r="D586" s="1330"/>
      <c r="E586" s="1330"/>
      <c r="F586" s="1330"/>
      <c r="G586" s="1330"/>
      <c r="H586" s="1330"/>
      <c r="I586" s="2342"/>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ht="13.8">
      <c r="A587" s="1330"/>
      <c r="B587" s="1330" t="s">
        <v>1862</v>
      </c>
      <c r="C587" s="1330"/>
      <c r="D587" s="1330"/>
      <c r="E587" s="1330"/>
      <c r="F587" s="1330"/>
      <c r="G587" s="1330"/>
      <c r="H587" s="1330"/>
      <c r="I587" s="2342"/>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ht="13.8">
      <c r="A588" s="1330"/>
      <c r="B588" s="1330" t="s">
        <v>1863</v>
      </c>
      <c r="C588" s="1330"/>
      <c r="D588" s="1330"/>
      <c r="E588" s="1330"/>
      <c r="F588" s="1330"/>
      <c r="G588" s="1330"/>
      <c r="H588" s="1330"/>
      <c r="I588" s="2342"/>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ht="13.8">
      <c r="A589" s="1330"/>
      <c r="B589" s="1330" t="s">
        <v>254</v>
      </c>
      <c r="C589" s="1330"/>
      <c r="D589" s="1330"/>
      <c r="E589" s="1330"/>
      <c r="F589" s="1330"/>
      <c r="G589" s="1330"/>
      <c r="H589" s="1330"/>
      <c r="I589" s="2342"/>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1600</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ht="13.8">
      <c r="A591" s="1330"/>
      <c r="B591" s="1330" t="s">
        <v>1864</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ht="13.8">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ht="13.8">
      <c r="A593" s="1330"/>
      <c r="B593" s="1330" t="s">
        <v>2339</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1789</v>
      </c>
      <c r="C594" s="1330"/>
      <c r="D594" s="1330"/>
      <c r="E594" s="1330"/>
      <c r="F594" s="1330"/>
      <c r="G594" s="1330"/>
      <c r="H594" s="1330"/>
      <c r="I594" s="1330"/>
      <c r="J594" s="1462">
        <f>J577</f>
        <v>0</v>
      </c>
      <c r="K594" s="1462"/>
      <c r="L594" s="1330"/>
      <c r="M594" s="1462">
        <f>M577</f>
        <v>752783</v>
      </c>
      <c r="N594" s="1462"/>
      <c r="O594" s="1330"/>
      <c r="P594" s="1462">
        <f>P577</f>
        <v>3688969</v>
      </c>
      <c r="Q594" s="1462"/>
      <c r="R594" s="1468" t="s">
        <v>4728</v>
      </c>
      <c r="S594" s="1468"/>
      <c r="T594" s="1468"/>
      <c r="U594" s="1330"/>
      <c r="V594" s="1418">
        <f>'Part IV-A-Uses of Funds'!V149</f>
        <v>0</v>
      </c>
      <c r="W594" s="1203">
        <f>'Part IV-A-Uses of Funds'!W149</f>
        <v>0</v>
      </c>
      <c r="X594" s="1203"/>
    </row>
    <row r="595" spans="1:24" ht="13.8">
      <c r="A595" s="1330"/>
      <c r="B595" s="1330" t="s">
        <v>2219</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ht="13.8">
      <c r="A596" s="1330"/>
      <c r="B596" s="1330" t="s">
        <v>2220</v>
      </c>
      <c r="C596" s="1330"/>
      <c r="D596" s="1330"/>
      <c r="E596" s="1330"/>
      <c r="F596" s="1330"/>
      <c r="G596" s="1330"/>
      <c r="H596" s="1330"/>
      <c r="I596" s="1330"/>
      <c r="J596" s="1462">
        <f>J594-J595</f>
        <v>0</v>
      </c>
      <c r="K596" s="1462"/>
      <c r="L596" s="1330"/>
      <c r="M596" s="1462">
        <f>M594</f>
        <v>752783</v>
      </c>
      <c r="N596" s="1462"/>
      <c r="O596" s="1330"/>
      <c r="P596" s="1462">
        <f>P594-P595</f>
        <v>3688969</v>
      </c>
      <c r="Q596" s="1462"/>
      <c r="R596" s="1468"/>
      <c r="S596" s="1468"/>
      <c r="T596" s="1468"/>
      <c r="U596" s="1468"/>
      <c r="V596" s="1418">
        <f>'Part IV-A-Uses of Funds'!V151</f>
        <v>0</v>
      </c>
      <c r="W596" s="1203">
        <f>'Part IV-A-Uses of Funds'!W151</f>
        <v>0</v>
      </c>
      <c r="X596" s="1203"/>
    </row>
    <row r="597" spans="1:24" ht="30.6">
      <c r="A597" s="1330"/>
      <c r="B597" s="1330" t="s">
        <v>1484</v>
      </c>
      <c r="C597" s="1330"/>
      <c r="D597" s="1330"/>
      <c r="E597" s="1330"/>
      <c r="F597" s="1330"/>
      <c r="G597" s="1334" t="s">
        <v>1713</v>
      </c>
      <c r="H597" s="1330" t="str">
        <f>'Part IV-A-Uses of Funds'!H152</f>
        <v>State Boost</v>
      </c>
      <c r="I597" s="1330"/>
      <c r="J597" s="1463">
        <f>'Part IV-A-Uses of Funds'!J152</f>
        <v>0</v>
      </c>
      <c r="K597" s="1463"/>
      <c r="L597" s="1330"/>
      <c r="M597" s="1463"/>
      <c r="N597" s="1463"/>
      <c r="O597" s="1330"/>
      <c r="P597" s="1463">
        <f>'Part IV-A-Uses of Funds'!P152</f>
        <v>1.3</v>
      </c>
      <c r="Q597" s="1463"/>
      <c r="R597" s="1468" t="str">
        <f>'Part IV-A-Uses of Funds'!R152</f>
        <v>Multifamily Rural projects w/out DCA HOME</v>
      </c>
      <c r="S597" s="1468"/>
      <c r="T597" s="1468"/>
      <c r="U597" s="1386"/>
      <c r="V597" s="1418">
        <f>'Part IV-A-Uses of Funds'!V152</f>
        <v>0</v>
      </c>
      <c r="W597" s="1203">
        <f>'Part IV-A-Uses of Funds'!W152</f>
        <v>0</v>
      </c>
      <c r="X597" s="1203"/>
    </row>
    <row r="598" spans="1:24" ht="13.8">
      <c r="A598" s="1330"/>
      <c r="B598" s="1330" t="s">
        <v>2053</v>
      </c>
      <c r="C598" s="1330"/>
      <c r="D598" s="1330"/>
      <c r="E598" s="1330"/>
      <c r="F598" s="1330"/>
      <c r="G598" s="1330"/>
      <c r="H598" s="1330"/>
      <c r="I598" s="1330"/>
      <c r="J598" s="1462">
        <f>J596*J597</f>
        <v>0</v>
      </c>
      <c r="K598" s="1462"/>
      <c r="L598" s="1330"/>
      <c r="M598" s="1462">
        <f>+M596</f>
        <v>752783</v>
      </c>
      <c r="N598" s="1462"/>
      <c r="O598" s="1330"/>
      <c r="P598" s="1462">
        <f>P596*P597</f>
        <v>4795659.7</v>
      </c>
      <c r="Q598" s="1462"/>
      <c r="R598" s="1468"/>
      <c r="S598" s="1468"/>
      <c r="T598" s="1468"/>
      <c r="U598" s="1386"/>
      <c r="V598" s="1418">
        <f>'Part IV-A-Uses of Funds'!V153</f>
        <v>0</v>
      </c>
      <c r="W598" s="1203">
        <f>'Part IV-A-Uses of Funds'!W153</f>
        <v>0</v>
      </c>
      <c r="X598" s="1203"/>
    </row>
    <row r="599" spans="1:24" ht="13.8">
      <c r="A599" s="1330"/>
      <c r="B599" s="1330" t="s">
        <v>2540</v>
      </c>
      <c r="C599" s="1330"/>
      <c r="D599" s="1330"/>
      <c r="E599" s="1330"/>
      <c r="F599" s="1330"/>
      <c r="G599" s="1330"/>
      <c r="H599" s="1330"/>
      <c r="I599" s="1330"/>
      <c r="J599" s="1463">
        <f>MIN('Part VI-Revenues &amp; Expenses'!$O$63/'Part VI-Revenues &amp; Expenses'!$O$65,'Part VI-Revenues &amp; Expenses'!$O$152/'Part VI-Revenues &amp; Expenses'!$O$154)</f>
        <v>1</v>
      </c>
      <c r="K599" s="1463"/>
      <c r="L599" s="1330"/>
      <c r="M599" s="1463">
        <f>MIN('Part VI-Revenues &amp; Expenses'!$O$63/'Part VI-Revenues &amp; Expenses'!$O$65,'Part VI-Revenues &amp; Expenses'!$O$152/'Part VI-Revenues &amp; Expenses'!$O$154)</f>
        <v>1</v>
      </c>
      <c r="N599" s="1463"/>
      <c r="O599" s="1330"/>
      <c r="P599" s="1463">
        <f>MIN('Part VI-Revenues &amp; Expenses'!$O$63/'Part VI-Revenues &amp; Expenses'!$O$65,'Part VI-Revenues &amp; Expenses'!$O$152/'Part VI-Revenues &amp; Expenses'!$O$154)</f>
        <v>1</v>
      </c>
      <c r="Q599" s="1463"/>
      <c r="R599" s="1468"/>
      <c r="S599" s="1468"/>
      <c r="T599" s="1468"/>
      <c r="U599" s="1330"/>
      <c r="V599" s="1418">
        <f>'Part IV-A-Uses of Funds'!V154</f>
        <v>0</v>
      </c>
      <c r="W599" s="1203">
        <f>'Part IV-A-Uses of Funds'!W154</f>
        <v>0</v>
      </c>
      <c r="X599" s="1203"/>
    </row>
    <row r="600" spans="1:24" ht="13.8">
      <c r="A600" s="1330"/>
      <c r="B600" s="1330" t="s">
        <v>2044</v>
      </c>
      <c r="C600" s="1330"/>
      <c r="D600" s="1330"/>
      <c r="E600" s="1330"/>
      <c r="F600" s="1330"/>
      <c r="G600" s="1330"/>
      <c r="H600" s="1330"/>
      <c r="I600" s="1330"/>
      <c r="J600" s="1462">
        <f>J598*J599</f>
        <v>0</v>
      </c>
      <c r="K600" s="1462"/>
      <c r="L600" s="1330"/>
      <c r="M600" s="1462">
        <f>M598*M599</f>
        <v>752783</v>
      </c>
      <c r="N600" s="1462"/>
      <c r="O600" s="1330"/>
      <c r="P600" s="1462">
        <f>P598*P599</f>
        <v>4795659.7</v>
      </c>
      <c r="Q600" s="1462"/>
      <c r="R600" s="1330"/>
      <c r="S600" s="1330"/>
      <c r="T600" s="1330"/>
      <c r="U600" s="1330"/>
      <c r="V600" s="1418">
        <f>'Part IV-A-Uses of Funds'!V155</f>
        <v>0</v>
      </c>
      <c r="W600" s="1203">
        <f>'Part IV-A-Uses of Funds'!W155</f>
        <v>0</v>
      </c>
      <c r="X600" s="1203"/>
    </row>
    <row r="601" spans="1:24" ht="13.8">
      <c r="A601" s="1330"/>
      <c r="B601" s="1330" t="s">
        <v>2045</v>
      </c>
      <c r="C601" s="1330"/>
      <c r="D601" s="1330"/>
      <c r="E601" s="1330"/>
      <c r="F601" s="1330"/>
      <c r="G601" s="1330"/>
      <c r="H601" s="1330"/>
      <c r="I601" s="1330"/>
      <c r="J601" s="1463">
        <f>'Part IV-A-Uses of Funds'!J156</f>
        <v>1</v>
      </c>
      <c r="K601" s="1463"/>
      <c r="L601" s="1330"/>
      <c r="M601" s="1463">
        <f>'Part IV-A-Uses of Funds'!M156</f>
        <v>1</v>
      </c>
      <c r="N601" s="1463"/>
      <c r="O601" s="1330"/>
      <c r="P601" s="1463">
        <f>'Part IV-A-Uses of Funds'!P156</f>
        <v>1</v>
      </c>
      <c r="Q601" s="1463"/>
      <c r="R601" s="1330"/>
      <c r="S601" s="1330"/>
      <c r="T601" s="1330"/>
      <c r="U601" s="1330"/>
      <c r="V601" s="1418">
        <f>'Part IV-A-Uses of Funds'!V156</f>
        <v>0</v>
      </c>
      <c r="W601" s="1203">
        <f>'Part IV-A-Uses of Funds'!W156</f>
        <v>0</v>
      </c>
      <c r="X601" s="1203"/>
    </row>
    <row r="602" spans="1:24" ht="13.8">
      <c r="A602" s="1330"/>
      <c r="B602" s="1330" t="s">
        <v>2541</v>
      </c>
      <c r="C602" s="1330"/>
      <c r="D602" s="1330"/>
      <c r="E602" s="1330"/>
      <c r="F602" s="1330"/>
      <c r="G602" s="1330"/>
      <c r="H602" s="1330"/>
      <c r="I602" s="1330"/>
      <c r="J602" s="1462">
        <f>J600*J601</f>
        <v>0</v>
      </c>
      <c r="K602" s="1462"/>
      <c r="L602" s="1330"/>
      <c r="M602" s="1462">
        <f>M600*M601</f>
        <v>752783</v>
      </c>
      <c r="N602" s="1462"/>
      <c r="O602" s="1330"/>
      <c r="P602" s="1462">
        <f>P600*P601</f>
        <v>4795659.7</v>
      </c>
      <c r="Q602" s="1462"/>
      <c r="R602" s="1330"/>
      <c r="S602" s="1330"/>
      <c r="T602" s="1330"/>
      <c r="U602" s="1330"/>
      <c r="V602" s="1418">
        <f>'Part IV-A-Uses of Funds'!V157</f>
        <v>0</v>
      </c>
      <c r="W602" s="1203">
        <f>'Part IV-A-Uses of Funds'!W157</f>
        <v>0</v>
      </c>
      <c r="X602" s="1203"/>
    </row>
    <row r="603" spans="1:24" ht="13.8">
      <c r="A603" s="1330"/>
      <c r="B603" s="1330" t="s">
        <v>1423</v>
      </c>
      <c r="C603" s="1330"/>
      <c r="D603" s="1330"/>
      <c r="E603" s="1330"/>
      <c r="F603" s="1330"/>
      <c r="G603" s="1330"/>
      <c r="H603" s="1330"/>
      <c r="I603" s="1330"/>
      <c r="J603" s="1462">
        <f>'Part IV-A-Uses of Funds'!J158</f>
        <v>5548442</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ht="13.8">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3.8">
      <c r="A605" s="2329" t="s">
        <v>741</v>
      </c>
      <c r="B605" s="2329" t="s">
        <v>1426</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3.8">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2329" t="str">
        <f>B605</f>
        <v>TAX CREDIT CALCULATION - GAP METHOD</v>
      </c>
      <c r="X606" s="1330"/>
    </row>
    <row r="607" spans="1:24" ht="13.5" customHeight="1">
      <c r="A607" s="1330"/>
      <c r="B607" s="1332" t="s">
        <v>5319</v>
      </c>
      <c r="C607" s="1330"/>
      <c r="D607" s="1330"/>
      <c r="E607" s="1330"/>
      <c r="F607" s="1330"/>
      <c r="G607" s="1335" t="str">
        <f>IF(J608&gt;J607,"TDC exceeds QAP PUCL!","")</f>
        <v/>
      </c>
      <c r="H607" s="1335"/>
      <c r="I607" s="1335"/>
      <c r="J607" s="1467">
        <f>'Part VIII-Threshold Criteria'!$P$63</f>
        <v>7171052</v>
      </c>
      <c r="K607" s="1467"/>
      <c r="L607" s="1467"/>
      <c r="M607" s="1468" t="s">
        <v>2744</v>
      </c>
      <c r="N607" s="1468"/>
      <c r="O607" s="1468"/>
      <c r="P607" s="1468"/>
      <c r="Q607" s="1468"/>
      <c r="R607" s="1468"/>
      <c r="S607" s="1468" t="s">
        <v>3672</v>
      </c>
      <c r="T607" s="1468"/>
      <c r="U607" s="1330"/>
      <c r="V607" s="1418">
        <f>'Part IV-A-Uses of Funds'!V162</f>
        <v>0</v>
      </c>
      <c r="W607" s="1203">
        <f>'Part IV-A-Uses of Funds'!W162</f>
        <v>0</v>
      </c>
      <c r="X607" s="1203"/>
    </row>
    <row r="608" spans="1:24" ht="13.8">
      <c r="A608" s="1330"/>
      <c r="B608" s="1330" t="s">
        <v>5320</v>
      </c>
      <c r="C608" s="1330"/>
      <c r="D608" s="1330"/>
      <c r="E608" s="1330"/>
      <c r="F608" s="1330"/>
      <c r="G608" s="1330"/>
      <c r="H608" s="1330"/>
      <c r="I608" s="1330"/>
      <c r="J608" s="1462">
        <f>'Part IV-A-Uses of Funds'!J163</f>
        <v>5168536</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ht="13.8">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8">
      <c r="A610" s="1330"/>
      <c r="B610" s="1330" t="s">
        <v>2231</v>
      </c>
      <c r="C610" s="1330"/>
      <c r="D610" s="1330"/>
      <c r="E610" s="1330"/>
      <c r="F610" s="1330"/>
      <c r="G610" s="1330"/>
      <c r="H610" s="1330"/>
      <c r="I610" s="1330"/>
      <c r="J610" s="1462">
        <f>+J608-J609</f>
        <v>5168536</v>
      </c>
      <c r="K610" s="1462"/>
      <c r="L610" s="1462"/>
      <c r="M610" s="1393" t="s">
        <v>2745</v>
      </c>
      <c r="N610" s="1393"/>
      <c r="O610" s="1469">
        <f>'Part III-Sources of Funds'!$I$42</f>
        <v>0</v>
      </c>
      <c r="P610" s="1469"/>
      <c r="Q610" s="1469"/>
      <c r="R610" s="1469"/>
      <c r="S610" s="1470" t="s">
        <v>1661</v>
      </c>
      <c r="T610" s="1820" t="str">
        <f>'Part IV-A-Uses of Funds'!T165</f>
        <v>No</v>
      </c>
      <c r="U610" s="1330"/>
      <c r="V610" s="1418">
        <f>'Part IV-A-Uses of Funds'!V165</f>
        <v>0</v>
      </c>
      <c r="W610" s="1203">
        <f>'Part IV-A-Uses of Funds'!W165</f>
        <v>0</v>
      </c>
      <c r="X610" s="1203"/>
    </row>
    <row r="611" spans="1:24" ht="13.8">
      <c r="A611" s="1330"/>
      <c r="B611" s="1330" t="s">
        <v>1285</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ht="13.8">
      <c r="A612" s="1330"/>
      <c r="B612" s="1330" t="s">
        <v>1286</v>
      </c>
      <c r="C612" s="1330"/>
      <c r="D612" s="1330"/>
      <c r="E612" s="1330"/>
      <c r="F612" s="1330"/>
      <c r="G612" s="1330"/>
      <c r="H612" s="1330"/>
      <c r="I612" s="1330"/>
      <c r="J612" s="1462">
        <f>J610/10</f>
        <v>516853.6</v>
      </c>
      <c r="K612" s="1462"/>
      <c r="L612" s="1462"/>
      <c r="M612" s="1336"/>
      <c r="N612" s="1330" t="s">
        <v>1287</v>
      </c>
      <c r="O612" s="1330"/>
      <c r="P612" s="1330"/>
      <c r="Q612" s="1330" t="s">
        <v>1798</v>
      </c>
      <c r="R612" s="1330"/>
      <c r="S612" s="1330"/>
      <c r="T612" s="1330"/>
      <c r="U612" s="1330"/>
      <c r="V612" s="1418">
        <f>'Part IV-A-Uses of Funds'!V167</f>
        <v>0</v>
      </c>
      <c r="W612" s="1203">
        <f>'Part IV-A-Uses of Funds'!W167</f>
        <v>0</v>
      </c>
      <c r="X612" s="1203"/>
    </row>
    <row r="613" spans="1:24" ht="13.8">
      <c r="A613" s="1330"/>
      <c r="B613" s="1330" t="s">
        <v>5099</v>
      </c>
      <c r="C613" s="1330"/>
      <c r="D613" s="1330"/>
      <c r="E613" s="1330"/>
      <c r="F613" s="1330"/>
      <c r="G613" s="1330"/>
      <c r="H613" s="1330"/>
      <c r="I613" s="1330"/>
      <c r="J613" s="1471">
        <f>N613+Q613</f>
        <v>1.4</v>
      </c>
      <c r="K613" s="1471"/>
      <c r="L613" s="1471"/>
      <c r="M613" s="1334" t="s">
        <v>1288</v>
      </c>
      <c r="N613" s="1821">
        <f>'Part IV-A-Uses of Funds'!N168</f>
        <v>0.86</v>
      </c>
      <c r="O613" s="1821"/>
      <c r="P613" s="1334" t="s">
        <v>611</v>
      </c>
      <c r="Q613" s="1821">
        <f>'Part IV-A-Uses of Funds'!Q168</f>
        <v>0.54</v>
      </c>
      <c r="R613" s="1821"/>
      <c r="S613" s="1330"/>
      <c r="T613" s="1330"/>
      <c r="U613" s="1330"/>
      <c r="V613" s="1418">
        <f>'Part IV-A-Uses of Funds'!V168</f>
        <v>0</v>
      </c>
      <c r="W613" s="1203">
        <f>'Part IV-A-Uses of Funds'!W168</f>
        <v>0</v>
      </c>
      <c r="X613" s="1203"/>
    </row>
    <row r="614" spans="1:24" ht="13.8">
      <c r="A614" s="1330"/>
      <c r="B614" s="1330" t="s">
        <v>1424</v>
      </c>
      <c r="C614" s="1330"/>
      <c r="D614" s="1330"/>
      <c r="E614" s="1330"/>
      <c r="F614" s="1330"/>
      <c r="G614" s="1330"/>
      <c r="H614" s="1330"/>
      <c r="I614" s="1330"/>
      <c r="J614" s="1462">
        <f>ROUNDDOWN(IF(J613=0,"",J612/J613),0)</f>
        <v>369181</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ht="13.8">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ht="13.8">
      <c r="A616" s="1330"/>
      <c r="B616" s="1330" t="s">
        <v>5100</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369181</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ht="13.8">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ht="13.8">
      <c r="A618" s="1330"/>
      <c r="B618" s="1330" t="s">
        <v>5101</v>
      </c>
      <c r="C618" s="1330"/>
      <c r="D618" s="1330"/>
      <c r="E618" s="1330"/>
      <c r="F618" s="1330"/>
      <c r="G618" s="1330"/>
      <c r="H618" s="1330"/>
      <c r="I618" s="1330"/>
      <c r="J618" s="1462">
        <f>'Part IV-A-Uses of Funds'!J173</f>
        <v>369181</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ht="13.8">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3.8">
      <c r="A620" s="2329" t="s">
        <v>1791</v>
      </c>
      <c r="B620" s="2329" t="s">
        <v>5321</v>
      </c>
      <c r="C620" s="1330"/>
      <c r="D620" s="1336"/>
      <c r="E620" s="1336"/>
      <c r="F620" s="1337"/>
      <c r="G620" s="1330"/>
      <c r="H620" s="1330"/>
      <c r="I620" s="1330"/>
      <c r="J620" s="1462">
        <f>IF(J618="",0,+MIN(J616,J618))</f>
        <v>369181</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ht="13.8">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ht="13.8">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ht="13.8">
      <c r="A623" s="1330" t="s">
        <v>1793</v>
      </c>
      <c r="B623" s="1336" t="s">
        <v>571</v>
      </c>
      <c r="C623" s="1336"/>
      <c r="D623" s="1336"/>
      <c r="E623" s="1336"/>
      <c r="F623" s="1336"/>
      <c r="G623" s="1336"/>
      <c r="H623" s="1336"/>
      <c r="I623" s="1336"/>
      <c r="J623" s="1336"/>
      <c r="K623" s="1336"/>
      <c r="L623" s="1336"/>
      <c r="M623" s="1336"/>
      <c r="N623" s="1330" t="s">
        <v>529</v>
      </c>
      <c r="O623" s="1330" t="s">
        <v>79</v>
      </c>
      <c r="P623" s="1336"/>
      <c r="Q623" s="1336"/>
      <c r="R623" s="1336"/>
      <c r="S623" s="1336"/>
      <c r="T623" s="1336"/>
      <c r="U623" s="1336"/>
      <c r="V623" s="1336"/>
      <c r="W623" s="1336"/>
      <c r="X623" s="1336"/>
    </row>
    <row r="624" spans="1:24" ht="15.75" customHeight="1">
      <c r="A624" s="1391" t="str">
        <f>'Part IV-A-Uses of Funds'!A179</f>
        <v>* To all applicants: in addition to your other comments, please provide methodology for determining applicable construction hard costs.
.Uses of Funds Construction Loan Interest amount estimated is based upon  the interest rates quoted by Regions Bank LOI Commitment Letters for Equity and the Construction Loan.  Since the prime lending rate has risen over the past year several times and the construction loan interest rate will be based upon a blend of the LIBOR rate plus additional points and Regions used 7% as the construction loan interest rate for a safe harbor calculation in the Equity LOI the construction loan interest was calculated at a rate of 5.50% for a full 12 months on the full $4,100,000 construction loan request.  It is estimated that the construction loan will be satisfied once the rehabilitation is complete, the Certificates of Occupancy are received, and the units are occuppied by qualifying tenants.  If there are any interest cost savings, those savings can and will be used to further improve the property prior to completion of the cost certification and issuance of the Forms 8609.                    Hard costs were determined based on actual current costs of ongoing similar rehabilitation work being performed by Olympia Construction, Inc., the General Contractor of Woodstone Apartments II. Olympis is currently involved in several apartment rehab projects.</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2325" t="s">
        <v>2692</v>
      </c>
      <c r="X624" s="2325"/>
    </row>
    <row r="628" spans="1:8" ht="15">
      <c r="A628" s="2343" t="str">
        <f>CONCATENATE("PART FOUR (b) -  OTHER COSTS","  -  ",'Part I-Project Information'!$O$6," - ",'Part I-Project Information'!$F$34,"  -  ",'Part I-Project Information'!$F$38,"  -  ",'Part I-Project Information'!$J$39,",  ","County")</f>
        <v>PART FOUR (b) -  OTHER COSTS  -  2019-049 - Woodstone Apartments II  -  Leesburg  -  Lee,  County</v>
      </c>
      <c r="B628" s="2343"/>
      <c r="C628" s="2343"/>
      <c r="D628" s="2343"/>
      <c r="E628" s="2343"/>
      <c r="F628" s="2343"/>
      <c r="G628" s="2343"/>
      <c r="H628" s="2343"/>
    </row>
    <row r="629" spans="1:8">
      <c r="A629" s="1822"/>
      <c r="B629" s="1822"/>
      <c r="C629" s="1822"/>
      <c r="D629" s="1822"/>
      <c r="E629" s="1822"/>
      <c r="F629" s="1822"/>
      <c r="G629" s="1822"/>
      <c r="H629" s="1822"/>
    </row>
    <row r="630" spans="1:8" ht="14.25" customHeight="1">
      <c r="A630" s="1823" t="s">
        <v>3711</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2344" t="s">
        <v>5102</v>
      </c>
      <c r="B632" s="2344"/>
      <c r="C632" s="2344"/>
      <c r="D632" s="2344"/>
      <c r="E632" s="1822"/>
      <c r="F632" s="2345" t="s">
        <v>3702</v>
      </c>
      <c r="G632" s="1477"/>
      <c r="H632" s="2345" t="s">
        <v>3703</v>
      </c>
    </row>
    <row r="633" spans="1:8">
      <c r="A633" s="1477"/>
      <c r="B633" s="1477"/>
      <c r="C633" s="1477"/>
      <c r="D633" s="1477"/>
      <c r="E633" s="1822"/>
      <c r="F633" s="1822"/>
      <c r="G633" s="1822"/>
      <c r="H633" s="1822"/>
    </row>
    <row r="634" spans="1:8">
      <c r="A634" s="2346"/>
      <c r="B634" s="2346"/>
      <c r="C634" s="2346"/>
      <c r="D634" s="2346"/>
      <c r="E634" s="2346"/>
      <c r="F634" s="2346"/>
      <c r="G634" s="2346"/>
      <c r="H634" s="1824"/>
    </row>
    <row r="635" spans="1:8">
      <c r="A635" s="1477" t="s">
        <v>102</v>
      </c>
      <c r="B635" s="1480"/>
      <c r="C635" s="1480"/>
      <c r="D635" s="1480"/>
      <c r="E635" s="1480"/>
      <c r="F635" s="1480"/>
      <c r="G635" s="1480"/>
      <c r="H635" s="1480"/>
    </row>
    <row r="636" spans="1:8" ht="13.5" customHeight="1">
      <c r="A636" s="1481" t="str">
        <f>'Part IV-A-Uses of Funds'!$C$14</f>
        <v>Engineering-Const Cost Analysis, PNA Report, radon testing, etc.</v>
      </c>
      <c r="B636" s="1481"/>
      <c r="C636" s="1481"/>
      <c r="D636" s="1481"/>
      <c r="E636" s="1824"/>
      <c r="F636" s="1825" t="str">
        <f>'Part IV-B-Other Items'!F9</f>
        <v>Physical Needs Assessment Report and inspections, construction cost analysis for construction &amp; equity lender, engineering related to rehab such as possible radon abatement, other engineering inspections and cost of mitigation of possible radon abatement.</v>
      </c>
      <c r="G636" s="1480"/>
      <c r="H636" s="1825" t="str">
        <f>'Part IV-B-Other Items'!H9</f>
        <v xml:space="preserve">The items included in this line item are related to the actual design of and for the rehab of the physical units and therefore includable in the basis of the rehab units for the tax credits. </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3705</v>
      </c>
      <c r="B639" s="1483">
        <f>'Part IV-A-Uses of Funds'!$G$14</f>
        <v>15000</v>
      </c>
      <c r="C639" s="1482" t="s">
        <v>1789</v>
      </c>
      <c r="D639" s="1483">
        <f>'Part IV-A-Uses of Funds'!$J$14+'Part IV-A-Uses of Funds'!$M$14+'Part IV-A-Uses of Funds'!$P$14</f>
        <v>15000</v>
      </c>
      <c r="E639" s="1824"/>
      <c r="F639" s="1825"/>
      <c r="G639" s="1480"/>
      <c r="H639" s="1825"/>
    </row>
    <row r="640" spans="1:8">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3705</v>
      </c>
      <c r="B644" s="1483">
        <f>'Part IV-A-Uses of Funds'!$G$15</f>
        <v>0</v>
      </c>
      <c r="C644" s="1482" t="s">
        <v>1789</v>
      </c>
      <c r="D644" s="1483">
        <f>'Part IV-A-Uses of Funds'!$J$15+'Part IV-A-Uses of Funds'!$M$15+'Part IV-A-Uses of Funds'!$P$15</f>
        <v>0</v>
      </c>
      <c r="E644" s="1824"/>
      <c r="F644" s="1825"/>
      <c r="G644" s="1480"/>
      <c r="H644" s="1825"/>
    </row>
    <row r="645" spans="1:8">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c r="A647" s="1481"/>
      <c r="B647" s="1481"/>
      <c r="C647" s="1481"/>
      <c r="D647" s="1481"/>
      <c r="E647" s="1824"/>
      <c r="F647" s="1825"/>
      <c r="G647" s="1480"/>
      <c r="H647" s="1825"/>
    </row>
    <row r="648" spans="1:8">
      <c r="A648" s="1824"/>
      <c r="B648" s="1824"/>
      <c r="C648" s="1824"/>
      <c r="D648" s="1824"/>
      <c r="E648" s="1824"/>
      <c r="F648" s="1825"/>
      <c r="G648" s="1480"/>
      <c r="H648" s="1825"/>
    </row>
    <row r="649" spans="1:8">
      <c r="A649" s="1482" t="s">
        <v>3705</v>
      </c>
      <c r="B649" s="1483">
        <f>'Part IV-A-Uses of Funds'!$G$16</f>
        <v>0</v>
      </c>
      <c r="C649" s="1482" t="s">
        <v>1789</v>
      </c>
      <c r="D649" s="1483">
        <f>'Part IV-A-Uses of Funds'!$J$16+'Part IV-A-Uses of Funds'!$M$16+'Part IV-A-Uses of Funds'!$P$16</f>
        <v>0</v>
      </c>
      <c r="E649" s="1824"/>
      <c r="F649" s="1825"/>
      <c r="G649" s="1480"/>
      <c r="H649" s="1825"/>
    </row>
    <row r="650" spans="1:8">
      <c r="A650" s="1480"/>
      <c r="B650" s="1484"/>
      <c r="C650" s="1480"/>
      <c r="D650" s="1480"/>
      <c r="E650" s="1824"/>
      <c r="F650" s="1825"/>
      <c r="G650" s="1485"/>
      <c r="H650" s="1825"/>
    </row>
    <row r="651" spans="1:8">
      <c r="A651" s="1477" t="s">
        <v>3704</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3705</v>
      </c>
      <c r="B655" s="1483">
        <f>'Part IV-A-Uses of Funds'!$G$41</f>
        <v>0</v>
      </c>
      <c r="C655" s="1482" t="s">
        <v>1789</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c r="A657" s="1477" t="s">
        <v>721</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3705</v>
      </c>
      <c r="B661" s="1483">
        <f>'Part IV-A-Uses of Funds'!$G$62</f>
        <v>0</v>
      </c>
      <c r="C661" s="1482" t="s">
        <v>1789</v>
      </c>
      <c r="D661" s="1483">
        <f>'Part IV-A-Uses of Funds'!$J$62+'Part IV-A-Uses of Funds'!$M$62+'Part IV-A-Uses of Funds'!$P$62</f>
        <v>0</v>
      </c>
      <c r="E661" s="1480"/>
      <c r="F661" s="1825"/>
      <c r="G661" s="1480"/>
      <c r="H661" s="1825"/>
    </row>
    <row r="662" spans="1:8">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3705</v>
      </c>
      <c r="B666" s="1483">
        <f>'Part IV-A-Uses of Funds'!$G$63</f>
        <v>0</v>
      </c>
      <c r="C666" s="1482" t="s">
        <v>1789</v>
      </c>
      <c r="D666" s="1483">
        <f>'Part IV-A-Uses of Funds'!$J$63+'Part IV-A-Uses of Funds'!$M$63+'Part IV-A-Uses of Funds'!$P$63</f>
        <v>0</v>
      </c>
      <c r="E666" s="1480"/>
      <c r="F666" s="1825"/>
      <c r="G666" s="1480"/>
      <c r="H666" s="1825"/>
    </row>
    <row r="667" spans="1:8">
      <c r="A667" s="1824"/>
      <c r="B667" s="1824"/>
      <c r="C667" s="1824"/>
      <c r="D667" s="1480"/>
      <c r="E667" s="1480"/>
      <c r="F667" s="1825"/>
      <c r="G667" s="1485"/>
      <c r="H667" s="1825"/>
    </row>
    <row r="668" spans="1:8">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3705</v>
      </c>
      <c r="B672" s="1483">
        <f>'Part IV-A-Uses of Funds'!$G$76</f>
        <v>0</v>
      </c>
      <c r="C672" s="1482" t="s">
        <v>1789</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c r="A674" s="1477" t="s">
        <v>723</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c r="A676" s="1481"/>
      <c r="B676" s="1481"/>
      <c r="C676" s="1481"/>
      <c r="D676" s="1481"/>
      <c r="E676" s="1480"/>
      <c r="F676" s="1825"/>
      <c r="G676" s="1480"/>
      <c r="H676" s="1824"/>
    </row>
    <row r="677" spans="1:8">
      <c r="A677" s="1480"/>
      <c r="B677" s="1480"/>
      <c r="C677" s="1480"/>
      <c r="D677" s="1480"/>
      <c r="E677" s="1480"/>
      <c r="F677" s="1825"/>
      <c r="G677" s="1480"/>
      <c r="H677" s="1824"/>
    </row>
    <row r="678" spans="1:8">
      <c r="A678" s="1482" t="s">
        <v>3705</v>
      </c>
      <c r="B678" s="1483">
        <f>'Part IV-A-Uses of Funds'!$G$90</f>
        <v>0</v>
      </c>
      <c r="C678" s="1487"/>
      <c r="D678" s="1487"/>
      <c r="E678" s="1480"/>
      <c r="F678" s="1825"/>
      <c r="G678" s="1480"/>
      <c r="H678" s="1824"/>
    </row>
    <row r="679" spans="1:8">
      <c r="A679" s="1480"/>
      <c r="B679" s="1480"/>
      <c r="C679" s="1480"/>
      <c r="D679" s="1480"/>
      <c r="E679" s="1480"/>
      <c r="F679" s="1825"/>
      <c r="G679" s="1485"/>
      <c r="H679" s="1824"/>
    </row>
    <row r="680" spans="1:8">
      <c r="A680" s="1477" t="s">
        <v>5103</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3705</v>
      </c>
      <c r="B684" s="1483">
        <f>'Part IV-A-Uses of Funds'!$G$103</f>
        <v>0</v>
      </c>
      <c r="C684" s="1487"/>
      <c r="D684" s="1487"/>
      <c r="E684" s="1480"/>
      <c r="F684" s="1825"/>
      <c r="G684" s="1480"/>
      <c r="H684" s="1824"/>
    </row>
    <row r="685" spans="1:8">
      <c r="A685" s="2346"/>
      <c r="B685" s="2346"/>
      <c r="C685" s="2346"/>
      <c r="D685" s="2346"/>
      <c r="E685" s="2346"/>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c r="A687" s="1481"/>
      <c r="B687" s="1481"/>
      <c r="C687" s="1481"/>
      <c r="D687" s="1481"/>
      <c r="E687" s="1480"/>
      <c r="F687" s="1825"/>
      <c r="G687" s="1480"/>
      <c r="H687" s="1824"/>
    </row>
    <row r="688" spans="1:8">
      <c r="A688" s="1480"/>
      <c r="B688" s="1480"/>
      <c r="C688" s="1480"/>
      <c r="D688" s="1480"/>
      <c r="E688" s="1480"/>
      <c r="F688" s="1825"/>
      <c r="G688" s="1480"/>
      <c r="H688" s="1824"/>
    </row>
    <row r="689" spans="1:8">
      <c r="A689" s="1482" t="s">
        <v>3705</v>
      </c>
      <c r="B689" s="1483">
        <f>'Part IV-A-Uses of Funds'!$G$104</f>
        <v>0</v>
      </c>
      <c r="C689" s="1487"/>
      <c r="D689" s="1487"/>
      <c r="E689" s="1480"/>
      <c r="F689" s="1825"/>
      <c r="G689" s="1480"/>
      <c r="H689" s="1824"/>
    </row>
    <row r="690" spans="1:8">
      <c r="A690" s="2346"/>
      <c r="B690" s="2346"/>
      <c r="C690" s="2346"/>
      <c r="D690" s="2346"/>
      <c r="E690" s="2346"/>
      <c r="F690" s="1825"/>
      <c r="G690" s="1485"/>
      <c r="H690" s="1824"/>
    </row>
    <row r="691" spans="1:8">
      <c r="A691" s="1477" t="s">
        <v>5104</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c r="A693" s="1481"/>
      <c r="B693" s="1481"/>
      <c r="C693" s="1481"/>
      <c r="D693" s="1481"/>
      <c r="E693" s="1480"/>
      <c r="F693" s="1825"/>
      <c r="G693" s="1480"/>
      <c r="H693" s="1824"/>
    </row>
    <row r="694" spans="1:8">
      <c r="A694" s="1480"/>
      <c r="B694" s="1480"/>
      <c r="C694" s="1480"/>
      <c r="D694" s="1480"/>
      <c r="E694" s="1480"/>
      <c r="F694" s="1825"/>
      <c r="G694" s="1480"/>
      <c r="H694" s="1824"/>
    </row>
    <row r="695" spans="1:8">
      <c r="A695" s="1482" t="s">
        <v>3705</v>
      </c>
      <c r="B695" s="1483">
        <f>'Part IV-A-Uses of Funds'!$G$110</f>
        <v>0</v>
      </c>
      <c r="C695" s="1487"/>
      <c r="D695" s="1487"/>
      <c r="E695" s="1480"/>
      <c r="F695" s="1825"/>
      <c r="G695" s="1480"/>
      <c r="H695" s="1824"/>
    </row>
    <row r="696" spans="1:8">
      <c r="A696" s="1480"/>
      <c r="B696" s="1484"/>
      <c r="C696" s="1480"/>
      <c r="D696" s="1480"/>
      <c r="E696" s="1480"/>
      <c r="F696" s="1825"/>
      <c r="G696" s="1485"/>
      <c r="H696" s="1824"/>
    </row>
    <row r="697" spans="1:8">
      <c r="A697" s="1477" t="s">
        <v>1308</v>
      </c>
      <c r="B697" s="1480"/>
      <c r="C697" s="1480"/>
      <c r="D697" s="1480"/>
      <c r="E697" s="1480"/>
      <c r="F697" s="1480"/>
      <c r="G697" s="1480"/>
      <c r="H697" s="1824"/>
    </row>
    <row r="698" spans="1:8" ht="13.5" customHeight="1">
      <c r="A698" s="1481" t="str">
        <f>'Part IV-A-Uses of Funds'!$C$125</f>
        <v>T &amp; I Escrow--$37,680; Asset Mgmt Fees --$45,000</v>
      </c>
      <c r="B698" s="1481"/>
      <c r="C698" s="1481"/>
      <c r="D698" s="1481"/>
      <c r="E698" s="1824"/>
      <c r="F698" s="1825" t="str">
        <f>'Part IV-B-Other Items'!F71</f>
        <v xml:space="preserve">Equity will be used to fund Tax &amp; Insurance escrows for the initial year of operations and the Equity Investors/Syndicatos make an investment into the property to guarantee payment of the Annual Asset Management Fees. </v>
      </c>
      <c r="G698" s="1480"/>
      <c r="H698" s="1825" t="str">
        <f>'Part IV-B-Other Items'!H71</f>
        <v>The T&amp;I Escrow and the Syndicator Reserves are not included in the tax credit basis.</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3705</v>
      </c>
      <c r="B701" s="1483">
        <f>'Part IV-A-Uses of Funds'!$G$125</f>
        <v>82680</v>
      </c>
      <c r="C701" s="1482" t="s">
        <v>1789</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c r="A703" s="1477" t="s">
        <v>5105</v>
      </c>
      <c r="B703" s="1484"/>
      <c r="C703" s="1480"/>
      <c r="D703" s="1480"/>
      <c r="E703" s="1480"/>
      <c r="F703" s="1480"/>
      <c r="G703" s="1485"/>
      <c r="H703" s="1824"/>
    </row>
    <row r="704" spans="1:8" ht="13.5" customHeight="1">
      <c r="A704" s="1481" t="str">
        <f>'Part IV-A-Uses of Funds'!$C$129</f>
        <v>Relocation cost explanation included on Tab IV-B-Other Items</v>
      </c>
      <c r="B704" s="1481"/>
      <c r="C704" s="1481"/>
      <c r="D704" s="1481"/>
      <c r="E704" s="1824"/>
      <c r="F704" s="1825" t="str">
        <f>'Part IV-B-Other Items'!F77</f>
        <v xml:space="preserve">Relocation costs related to moving tenants temporarily during the rehab of each unit and cost of relocation consultant specialist to review all paperwork, coordinate meetings, and document appropriate tenant files, etc. for the temporary relocation of units. The cost of the move back into the units as needed is also included here. </v>
      </c>
      <c r="G704" s="1480"/>
      <c r="H704" s="1825" t="str">
        <f>'Part IV-B-Other Items'!H77</f>
        <v>This cost of temporary relocation and consultant fees has been excluded from the tax credit basis.</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3705</v>
      </c>
      <c r="B707" s="1483">
        <f>'Part IV-A-Uses of Funds'!$G$129</f>
        <v>0</v>
      </c>
      <c r="C707" s="1482" t="s">
        <v>1789</v>
      </c>
      <c r="D707" s="1483">
        <f>'Part IV-A-Uses of Funds'!$J$129+'Part IV-A-Uses of Funds'!$M$129+'Part IV-A-Uses of Funds'!$P$129</f>
        <v>0</v>
      </c>
      <c r="E707" s="1480"/>
      <c r="F707" s="1825"/>
      <c r="G707" s="1480"/>
      <c r="H707" s="1825"/>
    </row>
    <row r="708" spans="1:13">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2019-049 Woodstone Apartments II,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4607</v>
      </c>
      <c r="I713" s="1630" t="str">
        <f>VLOOKUP('Part I-Project Information'!$J$39,'DCA Underwriting Assumptions'!$G$158:$H$317,2)</f>
        <v>South</v>
      </c>
    </row>
    <row r="715" spans="1:13">
      <c r="A715" s="1489" t="s">
        <v>3802</v>
      </c>
    </row>
    <row r="717" spans="1:13">
      <c r="A717" s="638" t="s">
        <v>615</v>
      </c>
      <c r="B717" s="638" t="s">
        <v>2226</v>
      </c>
      <c r="F717" s="638" t="s">
        <v>2518</v>
      </c>
      <c r="I717" s="1318" t="str">
        <f>'Part V-Utility Allowances'!I7</f>
        <v>DCA</v>
      </c>
      <c r="J717" s="1318"/>
      <c r="K717" s="1318"/>
      <c r="L717" s="1318"/>
      <c r="M717" s="1318"/>
    </row>
    <row r="718" spans="1:13">
      <c r="F718" s="638" t="s">
        <v>635</v>
      </c>
      <c r="I718" s="1826">
        <f>'Part V-Utility Allowances'!I8</f>
        <v>43466</v>
      </c>
      <c r="J718" s="1826"/>
      <c r="K718" s="1320" t="s">
        <v>539</v>
      </c>
      <c r="L718" s="1794" t="str">
        <f>'Part V-Utility Allowances'!L8</f>
        <v>2-Story Walkup</v>
      </c>
      <c r="M718" s="1794"/>
    </row>
    <row r="720" spans="1:13">
      <c r="F720" s="1794" t="s">
        <v>608</v>
      </c>
      <c r="G720" s="1794"/>
      <c r="I720" s="1794" t="s">
        <v>200</v>
      </c>
      <c r="J720" s="1794"/>
      <c r="K720" s="1794"/>
      <c r="L720" s="1794"/>
      <c r="M720" s="1794"/>
    </row>
    <row r="721" spans="1:13">
      <c r="B721" s="638" t="s">
        <v>797</v>
      </c>
      <c r="D721" s="638" t="s">
        <v>1598</v>
      </c>
      <c r="F721" s="1320" t="s">
        <v>641</v>
      </c>
      <c r="G721" s="1320" t="s">
        <v>1849</v>
      </c>
      <c r="I721" s="1320" t="s">
        <v>567</v>
      </c>
      <c r="J721" s="1320">
        <v>1</v>
      </c>
      <c r="K721" s="1320">
        <v>2</v>
      </c>
      <c r="L721" s="1320">
        <v>3</v>
      </c>
      <c r="M721" s="1320">
        <v>4</v>
      </c>
    </row>
    <row r="722" spans="1:13">
      <c r="B722" s="638" t="s">
        <v>1851</v>
      </c>
      <c r="D722" s="1794" t="str">
        <f>'Part V-Utility Allowances'!D12</f>
        <v>Electric Heat Pump</v>
      </c>
      <c r="E722" s="1794"/>
      <c r="F722" s="2347" t="str">
        <f>'Part V-Utility Allowances'!F12</f>
        <v>X</v>
      </c>
      <c r="G722" s="2347">
        <f>'Part V-Utility Allowances'!G12</f>
        <v>0</v>
      </c>
      <c r="I722" s="1320">
        <f>'Part V-Utility Allowances'!I12</f>
        <v>0</v>
      </c>
      <c r="J722" s="1320">
        <f>'Part V-Utility Allowances'!J12</f>
        <v>4</v>
      </c>
      <c r="K722" s="1320">
        <f>'Part V-Utility Allowances'!K12</f>
        <v>5</v>
      </c>
      <c r="L722" s="1320">
        <f>'Part V-Utility Allowances'!L12</f>
        <v>6</v>
      </c>
      <c r="M722" s="1320">
        <f>'Part V-Utility Allowances'!M12</f>
        <v>0</v>
      </c>
    </row>
    <row r="723" spans="1:13">
      <c r="B723" s="638" t="s">
        <v>1596</v>
      </c>
      <c r="D723" s="1794" t="str">
        <f>'Part V-Utility Allowances'!D13</f>
        <v>Electric</v>
      </c>
      <c r="E723" s="1794"/>
      <c r="F723" s="2347" t="str">
        <f>'Part V-Utility Allowances'!F13</f>
        <v>X</v>
      </c>
      <c r="G723" s="2347">
        <f>'Part V-Utility Allowances'!G13</f>
        <v>0</v>
      </c>
      <c r="I723" s="1320">
        <f>'Part V-Utility Allowances'!I13</f>
        <v>0</v>
      </c>
      <c r="J723" s="1320">
        <f>'Part V-Utility Allowances'!J13</f>
        <v>7</v>
      </c>
      <c r="K723" s="1320">
        <f>'Part V-Utility Allowances'!K13</f>
        <v>9</v>
      </c>
      <c r="L723" s="1320">
        <f>'Part V-Utility Allowances'!L13</f>
        <v>11</v>
      </c>
      <c r="M723" s="1320">
        <f>'Part V-Utility Allowances'!M13</f>
        <v>0</v>
      </c>
    </row>
    <row r="724" spans="1:13">
      <c r="B724" s="638" t="s">
        <v>1597</v>
      </c>
      <c r="D724" s="1794" t="str">
        <f>'Part V-Utility Allowances'!D14</f>
        <v>Electric</v>
      </c>
      <c r="E724" s="1794"/>
      <c r="F724" s="2347" t="str">
        <f>'Part V-Utility Allowances'!F14</f>
        <v>X</v>
      </c>
      <c r="G724" s="2347">
        <f>'Part V-Utility Allowances'!G14</f>
        <v>0</v>
      </c>
      <c r="I724" s="1320">
        <f>'Part V-Utility Allowances'!I14</f>
        <v>0</v>
      </c>
      <c r="J724" s="1320">
        <f>'Part V-Utility Allowances'!J14</f>
        <v>13</v>
      </c>
      <c r="K724" s="1320">
        <f>'Part V-Utility Allowances'!K14</f>
        <v>18</v>
      </c>
      <c r="L724" s="1320">
        <f>'Part V-Utility Allowances'!L14</f>
        <v>23</v>
      </c>
      <c r="M724" s="1320">
        <f>'Part V-Utility Allowances'!M14</f>
        <v>0</v>
      </c>
    </row>
    <row r="725" spans="1:13">
      <c r="B725" s="638" t="s">
        <v>467</v>
      </c>
      <c r="D725" s="638" t="s">
        <v>1595</v>
      </c>
      <c r="F725" s="2347" t="str">
        <f>'Part V-Utility Allowances'!F15</f>
        <v>X</v>
      </c>
      <c r="G725" s="2347">
        <f>'Part V-Utility Allowances'!G15</f>
        <v>0</v>
      </c>
      <c r="I725" s="1320">
        <f>'Part V-Utility Allowances'!I15</f>
        <v>0</v>
      </c>
      <c r="J725" s="1320">
        <f>'Part V-Utility Allowances'!J15</f>
        <v>10</v>
      </c>
      <c r="K725" s="1320">
        <f>'Part V-Utility Allowances'!K15</f>
        <v>13</v>
      </c>
      <c r="L725" s="1320">
        <f>'Part V-Utility Allowances'!L15</f>
        <v>16</v>
      </c>
      <c r="M725" s="1320">
        <f>'Part V-Utility Allowances'!M15</f>
        <v>0</v>
      </c>
    </row>
    <row r="726" spans="1:13">
      <c r="B726" s="638" t="s">
        <v>3799</v>
      </c>
      <c r="D726" s="638" t="s">
        <v>1595</v>
      </c>
      <c r="F726" s="2347">
        <f>'Part V-Utility Allowances'!F16</f>
        <v>0</v>
      </c>
      <c r="G726" s="2347">
        <f>'Part V-Utility Allowances'!G16</f>
        <v>0</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3800</v>
      </c>
      <c r="D727" s="638" t="s">
        <v>1595</v>
      </c>
      <c r="F727" s="2347">
        <f>'Part V-Utility Allowances'!F17</f>
        <v>0</v>
      </c>
      <c r="G727" s="2347">
        <f>'Part V-Utility Allowances'!G17</f>
        <v>0</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3801</v>
      </c>
      <c r="D728" s="638" t="s">
        <v>1595</v>
      </c>
      <c r="F728" s="2347" t="str">
        <f>'Part V-Utility Allowances'!F18</f>
        <v>X</v>
      </c>
      <c r="G728" s="2347">
        <f>'Part V-Utility Allowances'!G18</f>
        <v>0</v>
      </c>
      <c r="I728" s="1320">
        <f>'Part V-Utility Allowances'!I18</f>
        <v>0</v>
      </c>
      <c r="J728" s="1320">
        <f>'Part V-Utility Allowances'!J18</f>
        <v>21</v>
      </c>
      <c r="K728" s="1320">
        <f>'Part V-Utility Allowances'!K18</f>
        <v>27</v>
      </c>
      <c r="L728" s="1320">
        <f>'Part V-Utility Allowances'!L18</f>
        <v>33</v>
      </c>
      <c r="M728" s="1320">
        <f>'Part V-Utility Allowances'!M18</f>
        <v>0</v>
      </c>
    </row>
    <row r="729" spans="1:13">
      <c r="B729" s="638" t="s">
        <v>1369</v>
      </c>
      <c r="D729" s="638" t="s">
        <v>4520</v>
      </c>
      <c r="E729" s="1320" t="str">
        <f>'Part V-Utility Allowances'!E19</f>
        <v>Yes</v>
      </c>
      <c r="F729" s="2347">
        <f>'Part V-Utility Allowances'!F19</f>
        <v>0</v>
      </c>
      <c r="G729" s="2347" t="str">
        <f>'Part V-Utility Allowances'!G19</f>
        <v>X</v>
      </c>
      <c r="I729" s="1320">
        <f>'Part V-Utility Allowances'!I19</f>
        <v>0</v>
      </c>
      <c r="J729" s="1320">
        <f>'Part V-Utility Allowances'!J19</f>
        <v>0</v>
      </c>
      <c r="K729" s="1320">
        <f>'Part V-Utility Allowances'!K19</f>
        <v>0</v>
      </c>
      <c r="L729" s="1320">
        <f>'Part V-Utility Allowances'!L19</f>
        <v>0</v>
      </c>
      <c r="M729" s="1320">
        <f>'Part V-Utility Allowances'!M19</f>
        <v>0</v>
      </c>
    </row>
    <row r="730" spans="1:13">
      <c r="B730" s="638" t="s">
        <v>1850</v>
      </c>
      <c r="F730" s="2347">
        <f>'Part V-Utility Allowances'!F20</f>
        <v>0</v>
      </c>
      <c r="G730" s="2347"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740</v>
      </c>
      <c r="C731" s="457">
        <f>'Part V-Utility Allowances'!C21</f>
        <v>0</v>
      </c>
      <c r="D731" s="457"/>
      <c r="E731" s="457"/>
      <c r="F731" s="2347">
        <f>'Part V-Utility Allowances'!F21</f>
        <v>0</v>
      </c>
      <c r="G731" s="2347">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1019</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55</v>
      </c>
      <c r="K732" s="1320">
        <f>IF(SUM(K722:K731)=0,0,IF(OR($D722="&lt;&lt;Select Fuel &gt;&gt;",$D723="&lt;&lt;Select Fuel &gt;&gt;",$D724="&lt;&lt;Select Fuel &gt;&gt;"),"Select Fuel",IF($E729="&lt;Select&gt;","Submeter?",SUM(K722:K731))))</f>
        <v>72</v>
      </c>
      <c r="L732" s="1320">
        <f>IF(SUM(L722:L731)=0,0,IF(OR($D722="&lt;&lt;Select Fuel &gt;&gt;",$D723="&lt;&lt;Select Fuel &gt;&gt;",$D724="&lt;&lt;Select Fuel &gt;&gt;"),"Select Fuel",IF($E729="&lt;Select&gt;","Submeter?",SUM(L722:L731))))</f>
        <v>89</v>
      </c>
      <c r="M732" s="1320">
        <f>IF(SUM(M722:M731)=0,0,IF(OR($D722="&lt;&lt;Select Fuel &gt;&gt;",$D723="&lt;&lt;Select Fuel &gt;&gt;",$D724="&lt;&lt;Select Fuel &gt;&gt;"),"Select Fuel",IF($E729="&lt;Select&gt;","Submeter?",SUM(M722:M731))))</f>
        <v>0</v>
      </c>
    </row>
    <row r="734" spans="1:13">
      <c r="A734" s="638" t="s">
        <v>739</v>
      </c>
      <c r="B734" s="638" t="s">
        <v>2227</v>
      </c>
      <c r="F734" s="638" t="s">
        <v>2518</v>
      </c>
      <c r="I734" s="1318">
        <f>'Part V-Utility Allowances'!I24</f>
        <v>0</v>
      </c>
      <c r="J734" s="1318"/>
      <c r="K734" s="1318"/>
      <c r="L734" s="1318"/>
      <c r="M734" s="1318"/>
    </row>
    <row r="735" spans="1:13">
      <c r="F735" s="638" t="s">
        <v>635</v>
      </c>
      <c r="I735" s="1826">
        <f>'Part V-Utility Allowances'!I25</f>
        <v>0</v>
      </c>
      <c r="J735" s="1826"/>
      <c r="K735" s="1320" t="s">
        <v>539</v>
      </c>
      <c r="L735" s="1794">
        <f>'Part V-Utility Allowances'!L25</f>
        <v>0</v>
      </c>
      <c r="M735" s="1794"/>
    </row>
    <row r="737" spans="2:13">
      <c r="F737" s="1794" t="s">
        <v>608</v>
      </c>
      <c r="G737" s="1794"/>
      <c r="I737" s="1794" t="s">
        <v>200</v>
      </c>
      <c r="J737" s="1794"/>
      <c r="K737" s="1794"/>
      <c r="L737" s="1794"/>
      <c r="M737" s="1794"/>
    </row>
    <row r="738" spans="2:13">
      <c r="B738" s="638" t="s">
        <v>797</v>
      </c>
      <c r="D738" s="638" t="s">
        <v>1598</v>
      </c>
      <c r="F738" s="1320" t="s">
        <v>641</v>
      </c>
      <c r="G738" s="1320" t="s">
        <v>1849</v>
      </c>
      <c r="I738" s="1320" t="s">
        <v>567</v>
      </c>
      <c r="J738" s="1320">
        <v>1</v>
      </c>
      <c r="K738" s="1320">
        <v>2</v>
      </c>
      <c r="L738" s="1320">
        <v>3</v>
      </c>
      <c r="M738" s="1320">
        <v>4</v>
      </c>
    </row>
    <row r="739" spans="2:13">
      <c r="B739" s="638" t="s">
        <v>1851</v>
      </c>
      <c r="D739" s="1794" t="str">
        <f>'Part V-Utility Allowances'!D29</f>
        <v>&lt;&lt;Select Fuel &gt;&gt;</v>
      </c>
      <c r="E739" s="1794"/>
      <c r="F739" s="2347">
        <f>'Part V-Utility Allowances'!F29</f>
        <v>0</v>
      </c>
      <c r="G739" s="2347">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1596</v>
      </c>
      <c r="D740" s="1794" t="str">
        <f>'Part V-Utility Allowances'!D30</f>
        <v>&lt;&lt;Select Fuel &gt;&gt;</v>
      </c>
      <c r="E740" s="1794"/>
      <c r="F740" s="2347">
        <f>'Part V-Utility Allowances'!F30</f>
        <v>0</v>
      </c>
      <c r="G740" s="2347">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1597</v>
      </c>
      <c r="D741" s="1794" t="str">
        <f>'Part V-Utility Allowances'!D31</f>
        <v>&lt;&lt;Select Fuel &gt;&gt;</v>
      </c>
      <c r="E741" s="1794"/>
      <c r="F741" s="2347">
        <f>'Part V-Utility Allowances'!F31</f>
        <v>0</v>
      </c>
      <c r="G741" s="2347">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1595</v>
      </c>
      <c r="F742" s="2347">
        <f>'Part V-Utility Allowances'!F32</f>
        <v>0</v>
      </c>
      <c r="G742" s="2347">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3799</v>
      </c>
      <c r="D743" s="638" t="s">
        <v>1595</v>
      </c>
      <c r="F743" s="2347">
        <f>'Part V-Utility Allowances'!F33</f>
        <v>0</v>
      </c>
      <c r="G743" s="2347">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3800</v>
      </c>
      <c r="D744" s="638" t="s">
        <v>1595</v>
      </c>
      <c r="F744" s="2347">
        <f>'Part V-Utility Allowances'!F34</f>
        <v>0</v>
      </c>
      <c r="G744" s="2347">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3801</v>
      </c>
      <c r="D745" s="638" t="s">
        <v>1595</v>
      </c>
      <c r="F745" s="2347">
        <f>'Part V-Utility Allowances'!F35</f>
        <v>0</v>
      </c>
      <c r="G745" s="2347">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1369</v>
      </c>
      <c r="D746" s="638" t="s">
        <v>4520</v>
      </c>
      <c r="E746" s="1320" t="str">
        <f>'Part V-Utility Allowances'!E36</f>
        <v>&lt;Select&gt;</v>
      </c>
      <c r="F746" s="2347">
        <f>'Part V-Utility Allowances'!F36</f>
        <v>0</v>
      </c>
      <c r="G746" s="2347">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1850</v>
      </c>
      <c r="F747" s="2347">
        <f>'Part V-Utility Allowances'!F37</f>
        <v>0</v>
      </c>
      <c r="G747" s="2347">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740</v>
      </c>
      <c r="C748" s="457">
        <v>0</v>
      </c>
      <c r="D748" s="457"/>
      <c r="E748" s="457"/>
      <c r="F748" s="2347">
        <f>'Part V-Utility Allowances'!F38</f>
        <v>0</v>
      </c>
      <c r="G748" s="2347">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1019</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4521</v>
      </c>
      <c r="F751" s="1320"/>
      <c r="G751" s="1320"/>
      <c r="I751" s="1320"/>
      <c r="J751" s="1320"/>
      <c r="K751" s="1320"/>
      <c r="L751" s="1320"/>
      <c r="M751" s="1320"/>
    </row>
    <row r="752" spans="2:13">
      <c r="B752" s="638" t="s">
        <v>571</v>
      </c>
    </row>
    <row r="753" spans="1:357" ht="228">
      <c r="B753" s="1203" t="str">
        <f>'Part V-Utility Allowances'!B43</f>
        <v>Calculations do not include Water and Sewer cost. The owner will pay Water and Sewer for the project. Submeters will be installed to comply with the Georgia State Law-- 2010 The Georgia Water Stewardship Act.</v>
      </c>
      <c r="C753" s="1203"/>
      <c r="D753" s="1203"/>
      <c r="E753" s="1203"/>
      <c r="F753" s="1203"/>
      <c r="G753" s="1203"/>
      <c r="H753" s="1203"/>
      <c r="I753" s="1203"/>
      <c r="J753" s="1203"/>
      <c r="K753" s="1203"/>
      <c r="L753" s="1203"/>
      <c r="M753" s="1203"/>
    </row>
    <row r="755" spans="1:357">
      <c r="B755" s="638" t="s">
        <v>1844</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2019-049 Woodstone Apartments II,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2019-049 Woodstone Apartments II,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615</v>
      </c>
      <c r="B765" s="1314" t="s">
        <v>2365</v>
      </c>
      <c r="C765" s="1314"/>
      <c r="D765" s="1335" t="s">
        <v>3567</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484</v>
      </c>
      <c r="IE765" s="1315" t="s">
        <v>2439</v>
      </c>
      <c r="IF765" s="1315" t="s">
        <v>2440</v>
      </c>
      <c r="IG765" s="1315" t="s">
        <v>2441</v>
      </c>
      <c r="IH765" s="1315" t="s">
        <v>2442</v>
      </c>
      <c r="II765" s="1315" t="s">
        <v>484</v>
      </c>
      <c r="IJ765" s="1315" t="s">
        <v>2439</v>
      </c>
      <c r="IK765" s="1315" t="s">
        <v>2440</v>
      </c>
      <c r="IL765" s="1315" t="s">
        <v>2441</v>
      </c>
      <c r="IM765" s="1315" t="s">
        <v>2442</v>
      </c>
      <c r="IN765" s="1316"/>
      <c r="IO765" s="1316"/>
      <c r="IP765" s="1316"/>
      <c r="IQ765" s="1316"/>
      <c r="IR765" s="1316"/>
      <c r="IS765" s="1316"/>
      <c r="IT765" s="1316"/>
      <c r="IU765" s="1316"/>
      <c r="IV765" s="1316"/>
      <c r="IW765" s="1316"/>
      <c r="IX765" s="1315" t="s">
        <v>484</v>
      </c>
      <c r="IY765" s="1315" t="s">
        <v>2439</v>
      </c>
      <c r="IZ765" s="1315" t="s">
        <v>2440</v>
      </c>
      <c r="JA765" s="1315" t="s">
        <v>2441</v>
      </c>
      <c r="JB765" s="1315" t="s">
        <v>2442</v>
      </c>
      <c r="JC765" s="1315" t="s">
        <v>484</v>
      </c>
      <c r="JD765" s="1315" t="s">
        <v>2439</v>
      </c>
      <c r="JE765" s="1315" t="s">
        <v>2440</v>
      </c>
      <c r="JF765" s="1315" t="s">
        <v>2441</v>
      </c>
      <c r="JG765" s="1315" t="s">
        <v>2442</v>
      </c>
      <c r="JH765" s="1315" t="s">
        <v>484</v>
      </c>
      <c r="JI765" s="1315" t="s">
        <v>2439</v>
      </c>
      <c r="JJ765" s="1315" t="s">
        <v>2440</v>
      </c>
      <c r="JK765" s="1315" t="s">
        <v>2441</v>
      </c>
      <c r="JL765" s="1315" t="s">
        <v>2442</v>
      </c>
      <c r="JM765" s="1315" t="s">
        <v>484</v>
      </c>
      <c r="JN765" s="1315" t="s">
        <v>2439</v>
      </c>
      <c r="JO765" s="1315" t="s">
        <v>2440</v>
      </c>
      <c r="JP765" s="1315" t="s">
        <v>2441</v>
      </c>
      <c r="JQ765" s="1315" t="s">
        <v>2442</v>
      </c>
      <c r="JR765" s="1315" t="s">
        <v>484</v>
      </c>
      <c r="JS765" s="1315" t="s">
        <v>2439</v>
      </c>
      <c r="JT765" s="1315" t="s">
        <v>2440</v>
      </c>
      <c r="JU765" s="1315" t="s">
        <v>2441</v>
      </c>
      <c r="JV765" s="1315" t="s">
        <v>2442</v>
      </c>
      <c r="JW765" s="1315" t="s">
        <v>484</v>
      </c>
      <c r="JX765" s="1315" t="s">
        <v>2439</v>
      </c>
      <c r="JY765" s="1315" t="s">
        <v>2440</v>
      </c>
      <c r="JZ765" s="1315" t="s">
        <v>2441</v>
      </c>
      <c r="KA765" s="1315" t="s">
        <v>2442</v>
      </c>
      <c r="KB765" s="1315" t="s">
        <v>484</v>
      </c>
      <c r="KC765" s="1315" t="s">
        <v>2439</v>
      </c>
      <c r="KD765" s="1315" t="s">
        <v>2440</v>
      </c>
      <c r="KE765" s="1315" t="s">
        <v>2441</v>
      </c>
      <c r="KF765" s="1315" t="s">
        <v>2442</v>
      </c>
      <c r="KG765" s="1315" t="s">
        <v>484</v>
      </c>
      <c r="KH765" s="1315" t="s">
        <v>2439</v>
      </c>
      <c r="KI765" s="1315" t="s">
        <v>2440</v>
      </c>
      <c r="KJ765" s="1315" t="s">
        <v>2441</v>
      </c>
      <c r="KK765" s="1315" t="s">
        <v>2442</v>
      </c>
      <c r="KL765" s="1315" t="s">
        <v>484</v>
      </c>
      <c r="KM765" s="1315" t="s">
        <v>2439</v>
      </c>
      <c r="KN765" s="1315" t="s">
        <v>2440</v>
      </c>
      <c r="KO765" s="1315" t="s">
        <v>2441</v>
      </c>
      <c r="KP765" s="1315" t="s">
        <v>2442</v>
      </c>
      <c r="KQ765" s="1315" t="s">
        <v>484</v>
      </c>
      <c r="KR765" s="1315" t="s">
        <v>2439</v>
      </c>
      <c r="KS765" s="1315" t="s">
        <v>2440</v>
      </c>
      <c r="KT765" s="1315" t="s">
        <v>2441</v>
      </c>
      <c r="KU765" s="1315" t="s">
        <v>2442</v>
      </c>
      <c r="KV765" s="1315" t="s">
        <v>484</v>
      </c>
      <c r="KW765" s="1315" t="s">
        <v>2439</v>
      </c>
      <c r="KX765" s="1315" t="s">
        <v>2440</v>
      </c>
      <c r="KY765" s="1315" t="s">
        <v>2441</v>
      </c>
      <c r="KZ765" s="1315" t="s">
        <v>2442</v>
      </c>
      <c r="LA765" s="1315" t="s">
        <v>484</v>
      </c>
      <c r="LB765" s="1315" t="s">
        <v>2439</v>
      </c>
      <c r="LC765" s="1315" t="s">
        <v>2440</v>
      </c>
      <c r="LD765" s="1315" t="s">
        <v>2441</v>
      </c>
      <c r="LE765" s="1315" t="s">
        <v>2442</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3421</v>
      </c>
      <c r="MF765" s="1318" t="s">
        <v>3422</v>
      </c>
      <c r="MG765" s="1318" t="s">
        <v>3423</v>
      </c>
      <c r="MH765" s="1318" t="s">
        <v>3424</v>
      </c>
      <c r="MI765" s="1318" t="s">
        <v>3425</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4522</v>
      </c>
      <c r="Q766" s="2256"/>
      <c r="R766" s="1319"/>
      <c r="S766" s="1319"/>
      <c r="T766" s="1319"/>
      <c r="U766" s="1319"/>
      <c r="V766" s="1314"/>
      <c r="W766" s="1493" t="s">
        <v>4621</v>
      </c>
      <c r="X766" s="1493" t="s">
        <v>4622</v>
      </c>
      <c r="Y766" s="1493" t="s">
        <v>4623</v>
      </c>
      <c r="Z766" s="1493" t="s">
        <v>4624</v>
      </c>
      <c r="AA766" s="1493" t="s">
        <v>4625</v>
      </c>
      <c r="AB766" s="1493" t="s">
        <v>4626</v>
      </c>
      <c r="AC766" s="1493" t="s">
        <v>4627</v>
      </c>
      <c r="AD766" s="1493" t="s">
        <v>4628</v>
      </c>
      <c r="AE766" s="1493" t="s">
        <v>4629</v>
      </c>
      <c r="AF766" s="1493" t="s">
        <v>4630</v>
      </c>
      <c r="AG766" s="1493" t="s">
        <v>918</v>
      </c>
      <c r="AH766" s="1493" t="s">
        <v>755</v>
      </c>
      <c r="AI766" s="1493" t="s">
        <v>756</v>
      </c>
      <c r="AJ766" s="1493" t="s">
        <v>757</v>
      </c>
      <c r="AK766" s="1493" t="s">
        <v>758</v>
      </c>
      <c r="AL766" s="1493" t="s">
        <v>919</v>
      </c>
      <c r="AM766" s="1493" t="s">
        <v>2309</v>
      </c>
      <c r="AN766" s="1493" t="s">
        <v>2310</v>
      </c>
      <c r="AO766" s="1493" t="s">
        <v>2311</v>
      </c>
      <c r="AP766" s="1493" t="s">
        <v>2312</v>
      </c>
      <c r="AQ766" s="1493" t="s">
        <v>4632</v>
      </c>
      <c r="AR766" s="1493" t="s">
        <v>4633</v>
      </c>
      <c r="AS766" s="1493" t="s">
        <v>4634</v>
      </c>
      <c r="AT766" s="1493" t="s">
        <v>4635</v>
      </c>
      <c r="AU766" s="1493" t="s">
        <v>4631</v>
      </c>
      <c r="AV766" s="1493" t="s">
        <v>920</v>
      </c>
      <c r="AW766" s="1493" t="s">
        <v>2313</v>
      </c>
      <c r="AX766" s="1493" t="s">
        <v>2314</v>
      </c>
      <c r="AY766" s="1493" t="s">
        <v>2315</v>
      </c>
      <c r="AZ766" s="1493" t="s">
        <v>2316</v>
      </c>
      <c r="BA766" s="1493" t="s">
        <v>4636</v>
      </c>
      <c r="BB766" s="1493" t="s">
        <v>4637</v>
      </c>
      <c r="BC766" s="1493" t="s">
        <v>4638</v>
      </c>
      <c r="BD766" s="1493" t="s">
        <v>4639</v>
      </c>
      <c r="BE766" s="1493" t="s">
        <v>4640</v>
      </c>
      <c r="BF766" s="1493" t="s">
        <v>129</v>
      </c>
      <c r="BG766" s="1493" t="s">
        <v>2317</v>
      </c>
      <c r="BH766" s="1493" t="s">
        <v>2318</v>
      </c>
      <c r="BI766" s="1493" t="s">
        <v>2319</v>
      </c>
      <c r="BJ766" s="1493" t="s">
        <v>1147</v>
      </c>
      <c r="BK766" s="1493" t="s">
        <v>4641</v>
      </c>
      <c r="BL766" s="1493" t="s">
        <v>4642</v>
      </c>
      <c r="BM766" s="1493" t="s">
        <v>4643</v>
      </c>
      <c r="BN766" s="1493" t="s">
        <v>4644</v>
      </c>
      <c r="BO766" s="1493" t="s">
        <v>4645</v>
      </c>
      <c r="BP766" s="1493" t="s">
        <v>555</v>
      </c>
      <c r="BQ766" s="1493" t="s">
        <v>556</v>
      </c>
      <c r="BR766" s="1493" t="s">
        <v>576</v>
      </c>
      <c r="BS766" s="1493" t="s">
        <v>577</v>
      </c>
      <c r="BT766" s="1493" t="s">
        <v>578</v>
      </c>
      <c r="BU766" s="1493" t="s">
        <v>4646</v>
      </c>
      <c r="BV766" s="1493" t="s">
        <v>4647</v>
      </c>
      <c r="BW766" s="1493" t="s">
        <v>4648</v>
      </c>
      <c r="BX766" s="1493" t="s">
        <v>4649</v>
      </c>
      <c r="BY766" s="1493" t="s">
        <v>4650</v>
      </c>
      <c r="BZ766" s="1493" t="s">
        <v>579</v>
      </c>
      <c r="CA766" s="1493" t="s">
        <v>580</v>
      </c>
      <c r="CB766" s="1493" t="s">
        <v>581</v>
      </c>
      <c r="CC766" s="1493" t="s">
        <v>582</v>
      </c>
      <c r="CD766" s="1493" t="s">
        <v>583</v>
      </c>
      <c r="CE766" s="1493" t="s">
        <v>584</v>
      </c>
      <c r="CF766" s="1493" t="s">
        <v>585</v>
      </c>
      <c r="CG766" s="1493" t="s">
        <v>930</v>
      </c>
      <c r="CH766" s="1493" t="s">
        <v>931</v>
      </c>
      <c r="CI766" s="1493" t="s">
        <v>932</v>
      </c>
      <c r="CJ766" s="1493" t="s">
        <v>4656</v>
      </c>
      <c r="CK766" s="1493" t="s">
        <v>4657</v>
      </c>
      <c r="CL766" s="1493" t="s">
        <v>4658</v>
      </c>
      <c r="CM766" s="1493" t="s">
        <v>4659</v>
      </c>
      <c r="CN766" s="1493" t="s">
        <v>4660</v>
      </c>
      <c r="CO766" s="1493" t="s">
        <v>4651</v>
      </c>
      <c r="CP766" s="1493" t="s">
        <v>4652</v>
      </c>
      <c r="CQ766" s="1493" t="s">
        <v>4653</v>
      </c>
      <c r="CR766" s="1493" t="s">
        <v>4654</v>
      </c>
      <c r="CS766" s="1493" t="s">
        <v>4655</v>
      </c>
      <c r="CT766" s="1493" t="s">
        <v>4661</v>
      </c>
      <c r="CU766" s="1493" t="s">
        <v>4662</v>
      </c>
      <c r="CV766" s="1493" t="s">
        <v>4663</v>
      </c>
      <c r="CW766" s="1493" t="s">
        <v>4664</v>
      </c>
      <c r="CX766" s="1493" t="s">
        <v>4665</v>
      </c>
      <c r="CY766" s="1493" t="s">
        <v>495</v>
      </c>
      <c r="CZ766" s="1493" t="s">
        <v>496</v>
      </c>
      <c r="DA766" s="1493" t="s">
        <v>497</v>
      </c>
      <c r="DB766" s="1493" t="s">
        <v>498</v>
      </c>
      <c r="DC766" s="1493" t="s">
        <v>499</v>
      </c>
      <c r="DD766" s="1493" t="s">
        <v>4666</v>
      </c>
      <c r="DE766" s="1493" t="s">
        <v>4667</v>
      </c>
      <c r="DF766" s="1493" t="s">
        <v>4668</v>
      </c>
      <c r="DG766" s="1493" t="s">
        <v>4669</v>
      </c>
      <c r="DH766" s="1493" t="s">
        <v>4670</v>
      </c>
      <c r="DI766" s="1493" t="s">
        <v>879</v>
      </c>
      <c r="DJ766" s="1493" t="s">
        <v>880</v>
      </c>
      <c r="DK766" s="1493" t="s">
        <v>881</v>
      </c>
      <c r="DL766" s="1493" t="s">
        <v>882</v>
      </c>
      <c r="DM766" s="1493" t="s">
        <v>883</v>
      </c>
      <c r="DN766" s="1493" t="s">
        <v>884</v>
      </c>
      <c r="DO766" s="1493" t="s">
        <v>885</v>
      </c>
      <c r="DP766" s="1493" t="s">
        <v>886</v>
      </c>
      <c r="DQ766" s="1493" t="s">
        <v>887</v>
      </c>
      <c r="DR766" s="1493" t="s">
        <v>888</v>
      </c>
      <c r="DS766" s="1493" t="s">
        <v>4671</v>
      </c>
      <c r="DT766" s="1493" t="s">
        <v>4672</v>
      </c>
      <c r="DU766" s="1493" t="s">
        <v>4673</v>
      </c>
      <c r="DV766" s="1493" t="s">
        <v>4674</v>
      </c>
      <c r="DW766" s="1493" t="s">
        <v>4675</v>
      </c>
      <c r="DX766" s="1493" t="s">
        <v>4676</v>
      </c>
      <c r="DY766" s="1493" t="s">
        <v>4677</v>
      </c>
      <c r="DZ766" s="1493" t="s">
        <v>4678</v>
      </c>
      <c r="EA766" s="1493" t="s">
        <v>4679</v>
      </c>
      <c r="EB766" s="1493" t="s">
        <v>4680</v>
      </c>
      <c r="EC766" s="1493" t="s">
        <v>2429</v>
      </c>
      <c r="ED766" s="1493" t="s">
        <v>2430</v>
      </c>
      <c r="EE766" s="1493" t="s">
        <v>2431</v>
      </c>
      <c r="EF766" s="1493" t="s">
        <v>2432</v>
      </c>
      <c r="EG766" s="1493" t="s">
        <v>2433</v>
      </c>
      <c r="EH766" s="1493" t="s">
        <v>4681</v>
      </c>
      <c r="EI766" s="1493" t="s">
        <v>4682</v>
      </c>
      <c r="EJ766" s="1493" t="s">
        <v>4683</v>
      </c>
      <c r="EK766" s="1493" t="s">
        <v>4684</v>
      </c>
      <c r="EL766" s="1493" t="s">
        <v>4685</v>
      </c>
      <c r="EM766" s="1493" t="s">
        <v>4686</v>
      </c>
      <c r="EN766" s="1493" t="s">
        <v>4687</v>
      </c>
      <c r="EO766" s="1493" t="s">
        <v>4688</v>
      </c>
      <c r="EP766" s="1493" t="s">
        <v>4689</v>
      </c>
      <c r="EQ766" s="1493" t="s">
        <v>4690</v>
      </c>
      <c r="ER766" s="1318" t="s">
        <v>117</v>
      </c>
      <c r="ES766" s="1318" t="s">
        <v>1150</v>
      </c>
      <c r="ET766" s="1318" t="s">
        <v>1151</v>
      </c>
      <c r="EU766" s="1318" t="s">
        <v>1212</v>
      </c>
      <c r="EV766" s="1318" t="s">
        <v>1213</v>
      </c>
      <c r="EW766" s="1318" t="s">
        <v>132</v>
      </c>
      <c r="EX766" s="1318" t="s">
        <v>1214</v>
      </c>
      <c r="EY766" s="1318" t="s">
        <v>1215</v>
      </c>
      <c r="EZ766" s="1318" t="s">
        <v>1216</v>
      </c>
      <c r="FA766" s="1318" t="s">
        <v>1217</v>
      </c>
      <c r="FB766" s="1493" t="s">
        <v>4691</v>
      </c>
      <c r="FC766" s="1493" t="s">
        <v>4692</v>
      </c>
      <c r="FD766" s="1493" t="s">
        <v>4693</v>
      </c>
      <c r="FE766" s="1493" t="s">
        <v>4694</v>
      </c>
      <c r="FF766" s="1493" t="s">
        <v>4695</v>
      </c>
      <c r="FG766" s="1318" t="s">
        <v>131</v>
      </c>
      <c r="FH766" s="1318" t="s">
        <v>910</v>
      </c>
      <c r="FI766" s="1318" t="s">
        <v>911</v>
      </c>
      <c r="FJ766" s="1318" t="s">
        <v>912</v>
      </c>
      <c r="FK766" s="1318" t="s">
        <v>913</v>
      </c>
      <c r="FL766" s="1493" t="s">
        <v>4696</v>
      </c>
      <c r="FM766" s="1493" t="s">
        <v>4697</v>
      </c>
      <c r="FN766" s="1493" t="s">
        <v>4698</v>
      </c>
      <c r="FO766" s="1493" t="s">
        <v>4699</v>
      </c>
      <c r="FP766" s="1493" t="s">
        <v>4700</v>
      </c>
      <c r="FQ766" s="1318" t="s">
        <v>130</v>
      </c>
      <c r="FR766" s="1318" t="s">
        <v>914</v>
      </c>
      <c r="FS766" s="1318" t="s">
        <v>915</v>
      </c>
      <c r="FT766" s="1318" t="s">
        <v>916</v>
      </c>
      <c r="FU766" s="1318" t="s">
        <v>917</v>
      </c>
      <c r="FV766" s="1318" t="s">
        <v>808</v>
      </c>
      <c r="FW766" s="1318" t="s">
        <v>809</v>
      </c>
      <c r="FX766" s="1318" t="s">
        <v>810</v>
      </c>
      <c r="FY766" s="1318" t="s">
        <v>811</v>
      </c>
      <c r="FZ766" s="1318" t="s">
        <v>812</v>
      </c>
      <c r="GA766" s="1318" t="s">
        <v>956</v>
      </c>
      <c r="GB766" s="1318" t="s">
        <v>957</v>
      </c>
      <c r="GC766" s="1318" t="s">
        <v>958</v>
      </c>
      <c r="GD766" s="1318" t="s">
        <v>959</v>
      </c>
      <c r="GE766" s="1318" t="s">
        <v>2428</v>
      </c>
      <c r="GF766" s="1318" t="s">
        <v>1432</v>
      </c>
      <c r="GG766" s="1318" t="s">
        <v>1433</v>
      </c>
      <c r="GH766" s="1318" t="s">
        <v>1434</v>
      </c>
      <c r="GI766" s="1318" t="s">
        <v>1435</v>
      </c>
      <c r="GJ766" s="1318" t="s">
        <v>1436</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1810</v>
      </c>
      <c r="GY766" s="1318" t="s">
        <v>1811</v>
      </c>
      <c r="GZ766" s="1318" t="s">
        <v>1812</v>
      </c>
      <c r="HA766" s="1318" t="s">
        <v>591</v>
      </c>
      <c r="HB766" s="1318" t="s">
        <v>592</v>
      </c>
      <c r="HC766" s="1318" t="s">
        <v>593</v>
      </c>
      <c r="HD766" s="1318" t="s">
        <v>594</v>
      </c>
      <c r="HE766" s="1318" t="s">
        <v>22</v>
      </c>
      <c r="HF766" s="1318" t="s">
        <v>23</v>
      </c>
      <c r="HG766" s="1318" t="s">
        <v>24</v>
      </c>
      <c r="HH766" s="1318" t="s">
        <v>25</v>
      </c>
      <c r="HI766" s="1318" t="s">
        <v>26</v>
      </c>
      <c r="HJ766" s="1318" t="s">
        <v>494</v>
      </c>
      <c r="HK766" s="1318" t="s">
        <v>432</v>
      </c>
      <c r="HL766" s="1318" t="s">
        <v>433</v>
      </c>
      <c r="HM766" s="1318" t="s">
        <v>434</v>
      </c>
      <c r="HN766" s="1318" t="s">
        <v>435</v>
      </c>
      <c r="HO766" s="1318" t="s">
        <v>2207</v>
      </c>
      <c r="HP766" s="1318" t="s">
        <v>2208</v>
      </c>
      <c r="HQ766" s="1318" t="s">
        <v>2209</v>
      </c>
      <c r="HR766" s="1318" t="s">
        <v>1478</v>
      </c>
      <c r="HS766" s="1318" t="s">
        <v>1479</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1624</v>
      </c>
      <c r="LG766" s="1318" t="s">
        <v>2522</v>
      </c>
      <c r="LH766" s="1318" t="s">
        <v>2523</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2348" t="str">
        <f>IF(A810&gt;0,"Finish Row!","")</f>
        <v/>
      </c>
      <c r="B767" s="1314" t="s">
        <v>1845</v>
      </c>
      <c r="C767" s="1314"/>
      <c r="D767" s="1314"/>
      <c r="E767" s="1314"/>
      <c r="F767" s="1314"/>
      <c r="G767" s="1313" t="str">
        <f>'Part VI-Revenues &amp; Expenses'!G5</f>
        <v>&lt;Select&gt;</v>
      </c>
      <c r="H767" s="1314"/>
      <c r="I767" s="1314"/>
      <c r="J767" s="1316" t="s">
        <v>3562</v>
      </c>
      <c r="K767" s="2349" t="str">
        <f>'Part I-Project Information'!$B$6</f>
        <v>April 2019 Final</v>
      </c>
      <c r="L767" s="2350"/>
      <c r="M767" s="1630" t="s">
        <v>575</v>
      </c>
      <c r="N767" s="1314"/>
      <c r="O767" s="1313" t="s">
        <v>5322</v>
      </c>
      <c r="P767" s="1493"/>
      <c r="Q767" s="2256"/>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3416</v>
      </c>
      <c r="MK767" s="1319" t="s">
        <v>3417</v>
      </c>
      <c r="ML767" s="1319" t="s">
        <v>3418</v>
      </c>
      <c r="MM767" s="1319" t="s">
        <v>3419</v>
      </c>
      <c r="MN767" s="1319" t="s">
        <v>3420</v>
      </c>
      <c r="MO767" s="1318" t="s">
        <v>3430</v>
      </c>
      <c r="MP767" s="1318" t="s">
        <v>3432</v>
      </c>
      <c r="MQ767" s="1318" t="s">
        <v>3433</v>
      </c>
      <c r="MR767" s="1318" t="s">
        <v>3434</v>
      </c>
      <c r="MS767" s="1318" t="s">
        <v>3435</v>
      </c>
    </row>
    <row r="768" spans="1:357" ht="12.75" customHeight="1">
      <c r="A768" s="2348"/>
      <c r="B768" s="1526" t="s">
        <v>1804</v>
      </c>
      <c r="C768" s="1314"/>
      <c r="D768" s="1314"/>
      <c r="E768" s="1314"/>
      <c r="F768" s="1313" t="str">
        <f>'Part VI-Revenues &amp; Expenses'!F6</f>
        <v>&lt;Select&gt;</v>
      </c>
      <c r="G768" s="1316" t="s">
        <v>3662</v>
      </c>
      <c r="H768" s="1493" t="s">
        <v>3886</v>
      </c>
      <c r="I768" s="1316" t="s">
        <v>797</v>
      </c>
      <c r="J768" s="1316" t="s">
        <v>3665</v>
      </c>
      <c r="K768" s="2350"/>
      <c r="L768" s="2350"/>
      <c r="M768" s="2351" t="str">
        <f>'Part I-Project Information'!$O$40</f>
        <v>Albany</v>
      </c>
      <c r="N768" s="2351"/>
      <c r="O768" s="1607">
        <f>VLOOKUP('Part I-Project Information'!$O$40,'DCA Underwriting Assumptions'!$C$158:$D$268,2)</f>
        <v>53400</v>
      </c>
      <c r="P768" s="1493"/>
      <c r="Q768" s="2256"/>
      <c r="R768" s="1314"/>
      <c r="S768" s="1314" t="s">
        <v>2697</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2348"/>
      <c r="B769" s="2352" t="s">
        <v>4703</v>
      </c>
      <c r="C769" s="1314"/>
      <c r="D769" s="1314"/>
      <c r="E769" s="1314"/>
      <c r="F769" s="1314"/>
      <c r="G769" s="1316" t="s">
        <v>3663</v>
      </c>
      <c r="H769" s="1493"/>
      <c r="I769" s="1316" t="s">
        <v>798</v>
      </c>
      <c r="J769" s="1316" t="s">
        <v>3666</v>
      </c>
      <c r="K769" s="1319"/>
      <c r="L769" s="1319"/>
      <c r="M769" s="2351"/>
      <c r="N769" s="2351"/>
      <c r="O769" s="1314"/>
      <c r="P769" s="1493"/>
      <c r="Q769" s="2256"/>
      <c r="R769" s="1319"/>
      <c r="S769" s="1319"/>
      <c r="T769" s="1606" t="s">
        <v>2694</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2348"/>
      <c r="B770" s="1316" t="s">
        <v>4704</v>
      </c>
      <c r="C770" s="1316" t="s">
        <v>172</v>
      </c>
      <c r="D770" s="1316" t="s">
        <v>544</v>
      </c>
      <c r="E770" s="1316" t="s">
        <v>1475</v>
      </c>
      <c r="F770" s="1316" t="s">
        <v>1475</v>
      </c>
      <c r="G770" s="1316" t="s">
        <v>1477</v>
      </c>
      <c r="H770" s="1316" t="s">
        <v>3663</v>
      </c>
      <c r="I770" s="2353" t="s">
        <v>5067</v>
      </c>
      <c r="J770" s="1316" t="s">
        <v>5323</v>
      </c>
      <c r="K770" s="1317" t="s">
        <v>145</v>
      </c>
      <c r="L770" s="1317"/>
      <c r="M770" s="1316" t="s">
        <v>2366</v>
      </c>
      <c r="N770" s="1316" t="s">
        <v>531</v>
      </c>
      <c r="O770" s="1316" t="s">
        <v>383</v>
      </c>
      <c r="P770" s="1493"/>
      <c r="Q770" s="1317" t="s">
        <v>3571</v>
      </c>
      <c r="R770" s="1317"/>
      <c r="S770" s="1316" t="s">
        <v>2693</v>
      </c>
      <c r="T770" s="1316" t="s">
        <v>2695</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1461</v>
      </c>
      <c r="HZ770" s="1320" t="s">
        <v>2439</v>
      </c>
      <c r="IA770" s="1320" t="s">
        <v>2440</v>
      </c>
      <c r="IB770" s="1320" t="s">
        <v>2441</v>
      </c>
      <c r="IC770" s="1320" t="s">
        <v>2442</v>
      </c>
      <c r="ID770" s="1318" t="s">
        <v>2496</v>
      </c>
      <c r="IE770" s="1318" t="s">
        <v>2496</v>
      </c>
      <c r="IF770" s="1318" t="s">
        <v>2496</v>
      </c>
      <c r="IG770" s="1318" t="s">
        <v>2496</v>
      </c>
      <c r="IH770" s="1318" t="s">
        <v>2496</v>
      </c>
      <c r="II770" s="1318" t="s">
        <v>3364</v>
      </c>
      <c r="IJ770" s="1318" t="s">
        <v>3364</v>
      </c>
      <c r="IK770" s="1318" t="s">
        <v>3364</v>
      </c>
      <c r="IL770" s="1318" t="s">
        <v>3364</v>
      </c>
      <c r="IM770" s="1318" t="s">
        <v>3364</v>
      </c>
      <c r="IN770" s="1320" t="s">
        <v>567</v>
      </c>
      <c r="IO770" s="1320" t="s">
        <v>2439</v>
      </c>
      <c r="IP770" s="1320" t="s">
        <v>2440</v>
      </c>
      <c r="IQ770" s="1320" t="s">
        <v>2441</v>
      </c>
      <c r="IR770" s="1320" t="s">
        <v>2442</v>
      </c>
      <c r="IS770" s="1320" t="s">
        <v>567</v>
      </c>
      <c r="IT770" s="1320" t="s">
        <v>2439</v>
      </c>
      <c r="IU770" s="1320" t="s">
        <v>2440</v>
      </c>
      <c r="IV770" s="1320" t="s">
        <v>2441</v>
      </c>
      <c r="IW770" s="1320" t="s">
        <v>2442</v>
      </c>
      <c r="IX770" s="1318" t="s">
        <v>2498</v>
      </c>
      <c r="IY770" s="1318" t="s">
        <v>2498</v>
      </c>
      <c r="IZ770" s="1318" t="s">
        <v>2498</v>
      </c>
      <c r="JA770" s="1318" t="s">
        <v>2498</v>
      </c>
      <c r="JB770" s="1318" t="s">
        <v>2498</v>
      </c>
      <c r="JC770" s="1318" t="s">
        <v>3360</v>
      </c>
      <c r="JD770" s="1318" t="s">
        <v>3360</v>
      </c>
      <c r="JE770" s="1318" t="s">
        <v>3360</v>
      </c>
      <c r="JF770" s="1318" t="s">
        <v>3360</v>
      </c>
      <c r="JG770" s="1318" t="s">
        <v>3360</v>
      </c>
      <c r="JH770" s="1318" t="s">
        <v>358</v>
      </c>
      <c r="JI770" s="1318" t="s">
        <v>358</v>
      </c>
      <c r="JJ770" s="1318" t="s">
        <v>358</v>
      </c>
      <c r="JK770" s="1318" t="s">
        <v>358</v>
      </c>
      <c r="JL770" s="1318" t="s">
        <v>358</v>
      </c>
      <c r="JM770" s="1318" t="s">
        <v>3359</v>
      </c>
      <c r="JN770" s="1318" t="s">
        <v>3359</v>
      </c>
      <c r="JO770" s="1318" t="s">
        <v>3359</v>
      </c>
      <c r="JP770" s="1318" t="s">
        <v>3359</v>
      </c>
      <c r="JQ770" s="1318" t="s">
        <v>3359</v>
      </c>
      <c r="JR770" s="1318" t="s">
        <v>359</v>
      </c>
      <c r="JS770" s="1318" t="s">
        <v>359</v>
      </c>
      <c r="JT770" s="1318" t="s">
        <v>359</v>
      </c>
      <c r="JU770" s="1318" t="s">
        <v>359</v>
      </c>
      <c r="JV770" s="1318" t="s">
        <v>359</v>
      </c>
      <c r="JW770" s="1318" t="s">
        <v>3358</v>
      </c>
      <c r="JX770" s="1318" t="s">
        <v>3358</v>
      </c>
      <c r="JY770" s="1318" t="s">
        <v>3358</v>
      </c>
      <c r="JZ770" s="1318" t="s">
        <v>3358</v>
      </c>
      <c r="KA770" s="1318" t="s">
        <v>3358</v>
      </c>
      <c r="KB770" s="1318" t="s">
        <v>360</v>
      </c>
      <c r="KC770" s="1318" t="s">
        <v>360</v>
      </c>
      <c r="KD770" s="1318" t="s">
        <v>360</v>
      </c>
      <c r="KE770" s="1318" t="s">
        <v>360</v>
      </c>
      <c r="KF770" s="1318" t="s">
        <v>360</v>
      </c>
      <c r="KG770" s="1318" t="s">
        <v>3361</v>
      </c>
      <c r="KH770" s="1318" t="s">
        <v>3361</v>
      </c>
      <c r="KI770" s="1318" t="s">
        <v>3361</v>
      </c>
      <c r="KJ770" s="1318" t="s">
        <v>3361</v>
      </c>
      <c r="KK770" s="1318" t="s">
        <v>3361</v>
      </c>
      <c r="KL770" s="1318" t="s">
        <v>361</v>
      </c>
      <c r="KM770" s="1318" t="s">
        <v>361</v>
      </c>
      <c r="KN770" s="1318" t="s">
        <v>361</v>
      </c>
      <c r="KO770" s="1318" t="s">
        <v>361</v>
      </c>
      <c r="KP770" s="1318" t="s">
        <v>361</v>
      </c>
      <c r="KQ770" s="1318" t="s">
        <v>3362</v>
      </c>
      <c r="KR770" s="1318" t="s">
        <v>3362</v>
      </c>
      <c r="KS770" s="1318" t="s">
        <v>3362</v>
      </c>
      <c r="KT770" s="1318" t="s">
        <v>3362</v>
      </c>
      <c r="KU770" s="1318" t="s">
        <v>3362</v>
      </c>
      <c r="KV770" s="1318" t="s">
        <v>1460</v>
      </c>
      <c r="KW770" s="1318" t="s">
        <v>1460</v>
      </c>
      <c r="KX770" s="1318" t="s">
        <v>1460</v>
      </c>
      <c r="KY770" s="1318" t="s">
        <v>1460</v>
      </c>
      <c r="KZ770" s="1318" t="s">
        <v>1460</v>
      </c>
      <c r="LA770" s="1318" t="s">
        <v>3363</v>
      </c>
      <c r="LB770" s="1318" t="s">
        <v>3363</v>
      </c>
      <c r="LC770" s="1318" t="s">
        <v>3363</v>
      </c>
      <c r="LD770" s="1318" t="s">
        <v>3363</v>
      </c>
      <c r="LE770" s="1318" t="s">
        <v>3363</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2348"/>
      <c r="B771" s="2354" t="s">
        <v>5070</v>
      </c>
      <c r="C771" s="1316" t="s">
        <v>171</v>
      </c>
      <c r="D771" s="1316" t="s">
        <v>173</v>
      </c>
      <c r="E771" s="1316" t="s">
        <v>1476</v>
      </c>
      <c r="F771" s="1316" t="s">
        <v>1278</v>
      </c>
      <c r="G771" s="1316" t="s">
        <v>3664</v>
      </c>
      <c r="H771" s="1316" t="s">
        <v>1477</v>
      </c>
      <c r="I771" s="2353"/>
      <c r="J771" s="1504" t="s">
        <v>350</v>
      </c>
      <c r="K771" s="1316" t="s">
        <v>1529</v>
      </c>
      <c r="L771" s="1316" t="s">
        <v>538</v>
      </c>
      <c r="M771" s="1316" t="s">
        <v>1475</v>
      </c>
      <c r="N771" s="1316" t="s">
        <v>3313</v>
      </c>
      <c r="O771" s="1316" t="s">
        <v>384</v>
      </c>
      <c r="P771" s="1493"/>
      <c r="Q771" s="1316" t="s">
        <v>3572</v>
      </c>
      <c r="R771" s="1316" t="s">
        <v>1039</v>
      </c>
      <c r="S771" s="1316" t="s">
        <v>1477</v>
      </c>
      <c r="T771" s="1316" t="s">
        <v>2696</v>
      </c>
      <c r="U771" s="1794" t="s">
        <v>1844</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2495</v>
      </c>
      <c r="IA771" s="1320" t="s">
        <v>2495</v>
      </c>
      <c r="IB771" s="1320" t="s">
        <v>2495</v>
      </c>
      <c r="IC771" s="1320" t="s">
        <v>2495</v>
      </c>
      <c r="ID771" s="1318"/>
      <c r="IE771" s="1318"/>
      <c r="IF771" s="1318"/>
      <c r="IG771" s="1318"/>
      <c r="IH771" s="1318"/>
      <c r="II771" s="1318"/>
      <c r="IJ771" s="1318"/>
      <c r="IK771" s="1318"/>
      <c r="IL771" s="1318"/>
      <c r="IM771" s="1318"/>
      <c r="IN771" s="1320" t="s">
        <v>2497</v>
      </c>
      <c r="IO771" s="1320" t="s">
        <v>2497</v>
      </c>
      <c r="IP771" s="1320" t="s">
        <v>2497</v>
      </c>
      <c r="IQ771" s="1320" t="s">
        <v>2497</v>
      </c>
      <c r="IR771" s="1320" t="s">
        <v>2497</v>
      </c>
      <c r="IS771" s="1320" t="s">
        <v>3365</v>
      </c>
      <c r="IT771" s="1320" t="s">
        <v>3365</v>
      </c>
      <c r="IU771" s="1320" t="s">
        <v>3365</v>
      </c>
      <c r="IV771" s="1320" t="s">
        <v>3365</v>
      </c>
      <c r="IW771" s="1320" t="s">
        <v>3365</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c r="A772" s="1313" t="str">
        <f t="shared" ref="A772:A809" si="0">IF(AND(E772&gt;0,OR(B772="",C772="",D772="",F772="",G772="", H772="",M772="",N772="",O772="",P772="")),1,"")</f>
        <v/>
      </c>
      <c r="B772" s="2355" t="str">
        <f>'Part VI-Revenues &amp; Expenses'!B10</f>
        <v>N/A-CS</v>
      </c>
      <c r="C772" s="1829">
        <f>'Part VI-Revenues &amp; Expenses'!C10</f>
        <v>2</v>
      </c>
      <c r="D772" s="1830">
        <f>'Part VI-Revenues &amp; Expenses'!D10</f>
        <v>1</v>
      </c>
      <c r="E772" s="1831">
        <f>'Part VI-Revenues &amp; Expenses'!E10</f>
        <v>1</v>
      </c>
      <c r="F772" s="1831">
        <f>'Part VI-Revenues &amp; Expenses'!F10</f>
        <v>915</v>
      </c>
      <c r="G772" s="1831">
        <f>'Part VI-Revenues &amp; Expenses'!G10</f>
        <v>0</v>
      </c>
      <c r="H772" s="1831">
        <f>'Part VI-Revenues &amp; Expenses'!H10</f>
        <v>0</v>
      </c>
      <c r="I772" s="1831">
        <f>'Part VI-Revenues &amp; Expenses'!I10</f>
        <v>72</v>
      </c>
      <c r="J772" s="1832">
        <f>'Part VI-Revenues &amp; Expenses'!J10</f>
        <v>0</v>
      </c>
      <c r="K772" s="1505">
        <f t="shared" ref="K772:K809" si="1">MAX(0,H772-I772)</f>
        <v>0</v>
      </c>
      <c r="L772" s="1505">
        <f t="shared" ref="L772:L809" si="2">MAX(0,E772*K772)</f>
        <v>0</v>
      </c>
      <c r="M772" s="1816" t="str">
        <f>'Part VI-Revenues &amp; Expenses'!M10</f>
        <v>Common Space</v>
      </c>
      <c r="N772" s="1816" t="str">
        <f>'Part VI-Revenues &amp; Expenses'!N10</f>
        <v>2-Story Walkup</v>
      </c>
      <c r="O772" s="1816" t="str">
        <f>'Part VI-Revenues &amp; Expenses'!O10</f>
        <v>Acquisition/Rehab</v>
      </c>
      <c r="P772" s="1316" t="str">
        <f>'Part VI-Revenues &amp; Expenses'!P10</f>
        <v>No</v>
      </c>
      <c r="Q772" s="1506">
        <f>'Part VI-Revenues &amp; Expenses'!Q10</f>
        <v>0</v>
      </c>
      <c r="R772" s="1507">
        <f>'Part VI-Revenues &amp; Expenses'!R10</f>
        <v>0</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f t="shared" ref="EE772:EE809" si="115">IF(AND(C772=2,M772="Common Space"),E772,"")</f>
        <v>1</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f t="shared" ref="GC772:GC809" si="154">IF(AND(C772=2,M772="Common Space"),E772*F772,"")</f>
        <v>915</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f t="shared" ref="HG772:HG809" si="184">IF(AND($C772=2, $O772="Acquisition/Rehab",$B772="N/A-CS",$M772="Common Space"),$E772,"")</f>
        <v>1</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f t="shared" ref="IA772:IA809" si="204">IF(AND($C772=2, NOT(OR($N772="SF Detached",$N772="Mfd Home",$N772="Duplex",$N772="Townhome"))),$E772,"")</f>
        <v>1</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f t="shared" ref="KN772:KN809" si="269">IF(AND($C772=2, $N772="2-Story Walkup",NOT($P772="Yes")),$E772,"")</f>
        <v>1</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1</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c r="A773" s="1313" t="str">
        <f t="shared" si="0"/>
        <v/>
      </c>
      <c r="B773" s="2355"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c r="A774" s="1313" t="str">
        <f t="shared" si="0"/>
        <v/>
      </c>
      <c r="B774" s="2355" t="str">
        <f>'Part VI-Revenues &amp; Expenses'!B12</f>
        <v>Unrestricted</v>
      </c>
      <c r="C774" s="1829">
        <f>'Part VI-Revenues &amp; Expenses'!C12</f>
        <v>0</v>
      </c>
      <c r="D774" s="1830">
        <f>'Part VI-Revenues &amp; Expenses'!D12</f>
        <v>0</v>
      </c>
      <c r="E774" s="1831">
        <f>'Part VI-Revenues &amp; Expenses'!E12</f>
        <v>0</v>
      </c>
      <c r="F774" s="1831">
        <f>'Part VI-Revenues &amp; Expenses'!F12</f>
        <v>0</v>
      </c>
      <c r="G774" s="1831">
        <f>'Part VI-Revenues &amp; Expenses'!G12</f>
        <v>0</v>
      </c>
      <c r="H774" s="1831">
        <f>'Part VI-Revenues &amp; Expenses'!H12</f>
        <v>0</v>
      </c>
      <c r="I774" s="1831">
        <f>'Part VI-Revenues &amp; Expenses'!I12</f>
        <v>0</v>
      </c>
      <c r="J774" s="1832">
        <f>'Part VI-Revenues &amp; Expenses'!J12</f>
        <v>0</v>
      </c>
      <c r="K774" s="1505">
        <f t="shared" si="1"/>
        <v>0</v>
      </c>
      <c r="L774" s="1505">
        <f t="shared" si="2"/>
        <v>0</v>
      </c>
      <c r="M774" s="1816">
        <f>'Part VI-Revenues &amp; Expenses'!M12</f>
        <v>0</v>
      </c>
      <c r="N774" s="1816">
        <f>'Part VI-Revenues &amp; Expenses'!N12</f>
        <v>0</v>
      </c>
      <c r="O774" s="1816">
        <f>'Part VI-Revenues &amp; Expenses'!O12</f>
        <v>0</v>
      </c>
      <c r="P774" s="1316">
        <f>'Part VI-Revenues &amp; Expenses'!P12</f>
        <v>0</v>
      </c>
      <c r="Q774" s="1506" t="str">
        <f>'Part VI-Revenues &amp; Expenses'!Q12</f>
        <v/>
      </c>
      <c r="R774" s="1507" t="str">
        <f>'Part VI-Revenues &amp; Expenses'!R12</f>
        <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c r="A775" s="1313" t="str">
        <f t="shared" si="0"/>
        <v/>
      </c>
      <c r="B775" s="2355" t="str">
        <f>'Part VI-Revenues &amp; Expenses'!B13</f>
        <v>Unrestricted</v>
      </c>
      <c r="C775" s="1829">
        <f>'Part VI-Revenues &amp; Expenses'!C13</f>
        <v>0</v>
      </c>
      <c r="D775" s="1830">
        <f>'Part VI-Revenues &amp; Expenses'!D13</f>
        <v>0</v>
      </c>
      <c r="E775" s="1831">
        <f>'Part VI-Revenues &amp; Expenses'!E13</f>
        <v>0</v>
      </c>
      <c r="F775" s="1831">
        <f>'Part VI-Revenues &amp; Expenses'!F13</f>
        <v>0</v>
      </c>
      <c r="G775" s="1831">
        <f>'Part VI-Revenues &amp; Expenses'!G13</f>
        <v>0</v>
      </c>
      <c r="H775" s="1831">
        <f>'Part VI-Revenues &amp; Expenses'!H13</f>
        <v>0</v>
      </c>
      <c r="I775" s="1831">
        <f>'Part VI-Revenues &amp; Expenses'!I13</f>
        <v>0</v>
      </c>
      <c r="J775" s="1832">
        <f>'Part VI-Revenues &amp; Expenses'!J13</f>
        <v>0</v>
      </c>
      <c r="K775" s="1505">
        <f t="shared" si="1"/>
        <v>0</v>
      </c>
      <c r="L775" s="1505">
        <f t="shared" si="2"/>
        <v>0</v>
      </c>
      <c r="M775" s="1816">
        <f>'Part VI-Revenues &amp; Expenses'!M13</f>
        <v>0</v>
      </c>
      <c r="N775" s="1816">
        <f>'Part VI-Revenues &amp; Expenses'!N13</f>
        <v>0</v>
      </c>
      <c r="O775" s="1816">
        <f>'Part VI-Revenues &amp; Expenses'!O13</f>
        <v>0</v>
      </c>
      <c r="P775" s="1316">
        <f>'Part VI-Revenues &amp; Expenses'!P13</f>
        <v>0</v>
      </c>
      <c r="Q775" s="1506" t="str">
        <f>'Part VI-Revenues &amp; Expenses'!Q13</f>
        <v/>
      </c>
      <c r="R775" s="1507" t="str">
        <f>'Part VI-Revenues &amp; Expenses'!R13</f>
        <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t="str">
        <f t="shared" si="204"/>
        <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0</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c r="A776" s="1313" t="str">
        <f t="shared" si="0"/>
        <v/>
      </c>
      <c r="B776" s="2355" t="str">
        <f>'Part VI-Revenues &amp; Expenses'!B14</f>
        <v>Unrestricted</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c r="A777" s="1313" t="str">
        <f t="shared" si="0"/>
        <v/>
      </c>
      <c r="B777" s="2355"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c r="A778" s="1313" t="str">
        <f t="shared" si="0"/>
        <v/>
      </c>
      <c r="B778" s="2355"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c r="A779" s="1313" t="str">
        <f t="shared" si="0"/>
        <v/>
      </c>
      <c r="B779" s="2355">
        <f>'Part VI-Revenues &amp; Expenses'!B17</f>
        <v>50</v>
      </c>
      <c r="C779" s="1829">
        <f>'Part VI-Revenues &amp; Expenses'!C17</f>
        <v>1</v>
      </c>
      <c r="D779" s="1830">
        <f>'Part VI-Revenues &amp; Expenses'!D17</f>
        <v>1</v>
      </c>
      <c r="E779" s="1831">
        <f>'Part VI-Revenues &amp; Expenses'!E17</f>
        <v>6</v>
      </c>
      <c r="F779" s="1831">
        <f>'Part VI-Revenues &amp; Expenses'!F17</f>
        <v>756</v>
      </c>
      <c r="G779" s="1831">
        <f>'Part VI-Revenues &amp; Expenses'!G17</f>
        <v>513</v>
      </c>
      <c r="H779" s="1831">
        <f>'Part VI-Revenues &amp; Expenses'!H17</f>
        <v>455</v>
      </c>
      <c r="I779" s="1831">
        <f>'Part VI-Revenues &amp; Expenses'!I17</f>
        <v>55</v>
      </c>
      <c r="J779" s="1832">
        <f>'Part VI-Revenues &amp; Expenses'!J17</f>
        <v>0</v>
      </c>
      <c r="K779" s="1505">
        <f t="shared" si="1"/>
        <v>400</v>
      </c>
      <c r="L779" s="1505">
        <f t="shared" si="2"/>
        <v>2400</v>
      </c>
      <c r="M779" s="1816" t="str">
        <f>'Part VI-Revenues &amp; Expenses'!M17</f>
        <v>Residential</v>
      </c>
      <c r="N779" s="1816" t="str">
        <f>'Part VI-Revenues &amp; Expenses'!N17</f>
        <v>2-Story Walkup</v>
      </c>
      <c r="O779" s="1816" t="str">
        <f>'Part VI-Revenues &amp; Expenses'!O17</f>
        <v>Acquisition/Rehab</v>
      </c>
      <c r="P779" s="1316" t="str">
        <f>'Part VI-Revenues &amp; Expenses'!P17</f>
        <v>No</v>
      </c>
      <c r="Q779" s="1506">
        <f>'Part VI-Revenues &amp; Expenses'!Q17</f>
        <v>18200</v>
      </c>
      <c r="R779" s="1507">
        <f>'Part VI-Revenues &amp; Expenses'!R17</f>
        <v>0.45443196004993758</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6</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4536</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t="str">
        <f t="shared" si="158"/>
        <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f t="shared" si="173"/>
        <v>6</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f t="shared" si="203"/>
        <v>6</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t="str">
        <f t="shared" si="238"/>
        <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f t="shared" si="268"/>
        <v>6</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t="str">
        <f t="shared" si="278"/>
        <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6</v>
      </c>
      <c r="MG779" s="1320">
        <f t="shared" si="325"/>
        <v>0</v>
      </c>
      <c r="MH779" s="1320">
        <f t="shared" si="326"/>
        <v>0</v>
      </c>
      <c r="MI779" s="1320">
        <f t="shared" si="327"/>
        <v>0</v>
      </c>
      <c r="MJ779" s="1320">
        <f t="shared" si="328"/>
        <v>0</v>
      </c>
      <c r="MK779" s="1320">
        <f t="shared" si="329"/>
        <v>0</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c r="A780" s="1313" t="str">
        <f t="shared" si="0"/>
        <v/>
      </c>
      <c r="B780" s="2355">
        <f>'Part VI-Revenues &amp; Expenses'!B18</f>
        <v>60</v>
      </c>
      <c r="C780" s="1829">
        <f>'Part VI-Revenues &amp; Expenses'!C18</f>
        <v>1</v>
      </c>
      <c r="D780" s="1830">
        <f>'Part VI-Revenues &amp; Expenses'!D18</f>
        <v>1</v>
      </c>
      <c r="E780" s="1831">
        <f>'Part VI-Revenues &amp; Expenses'!E18</f>
        <v>6</v>
      </c>
      <c r="F780" s="1831">
        <f>'Part VI-Revenues &amp; Expenses'!F18</f>
        <v>756</v>
      </c>
      <c r="G780" s="1831">
        <f>'Part VI-Revenues &amp; Expenses'!G18</f>
        <v>626</v>
      </c>
      <c r="H780" s="1831">
        <f>'Part VI-Revenues &amp; Expenses'!H18</f>
        <v>505</v>
      </c>
      <c r="I780" s="1831">
        <f>'Part VI-Revenues &amp; Expenses'!I18</f>
        <v>55</v>
      </c>
      <c r="J780" s="1832">
        <f>'Part VI-Revenues &amp; Expenses'!J18</f>
        <v>0</v>
      </c>
      <c r="K780" s="1505">
        <f t="shared" si="1"/>
        <v>450</v>
      </c>
      <c r="L780" s="1505">
        <f t="shared" si="2"/>
        <v>2700</v>
      </c>
      <c r="M780" s="1816" t="str">
        <f>'Part VI-Revenues &amp; Expenses'!M18</f>
        <v>Residential</v>
      </c>
      <c r="N780" s="1816" t="str">
        <f>'Part VI-Revenues &amp; Expenses'!N18</f>
        <v>2-Story Walkup</v>
      </c>
      <c r="O780" s="1816" t="str">
        <f>'Part VI-Revenues &amp; Expenses'!O18</f>
        <v>Acquisition/Rehab</v>
      </c>
      <c r="P780" s="1316" t="str">
        <f>'Part VI-Revenues &amp; Expenses'!P18</f>
        <v>No</v>
      </c>
      <c r="Q780" s="1506">
        <f>'Part VI-Revenues &amp; Expenses'!Q18</f>
        <v>20200</v>
      </c>
      <c r="R780" s="1507">
        <f>'Part VI-Revenues &amp; Expenses'!R18</f>
        <v>0.50436953807740326</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f t="shared" si="14"/>
        <v>6</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f t="shared" si="128"/>
        <v>4536</v>
      </c>
      <c r="ET780" s="638" t="str">
        <f t="shared" si="129"/>
        <v/>
      </c>
      <c r="EU780" s="638" t="str">
        <f t="shared" si="130"/>
        <v/>
      </c>
      <c r="EV780" s="638" t="str">
        <f t="shared" si="131"/>
        <v/>
      </c>
      <c r="EW780" s="638" t="str">
        <f t="shared" si="313"/>
        <v/>
      </c>
      <c r="EX780" s="638" t="str">
        <f t="shared" si="314"/>
        <v/>
      </c>
      <c r="EY780" s="638" t="str">
        <f t="shared" si="315"/>
        <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t="str">
        <f t="shared" si="159"/>
        <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f t="shared" si="173"/>
        <v>6</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f t="shared" si="203"/>
        <v>6</v>
      </c>
      <c r="IA780" s="1321" t="str">
        <f t="shared" si="204"/>
        <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f t="shared" si="268"/>
        <v>6</v>
      </c>
      <c r="KN780" s="1321" t="str">
        <f t="shared" si="269"/>
        <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t="str">
        <f t="shared" si="279"/>
        <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6</v>
      </c>
      <c r="MG780" s="1320">
        <f t="shared" si="325"/>
        <v>0</v>
      </c>
      <c r="MH780" s="1320">
        <f t="shared" si="326"/>
        <v>0</v>
      </c>
      <c r="MI780" s="1320">
        <f t="shared" si="327"/>
        <v>0</v>
      </c>
      <c r="MJ780" s="1320">
        <f t="shared" si="328"/>
        <v>0</v>
      </c>
      <c r="MK780" s="1320">
        <f t="shared" si="329"/>
        <v>0</v>
      </c>
      <c r="ML780" s="1320">
        <f t="shared" si="330"/>
        <v>0</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c r="A781" s="1313" t="str">
        <f t="shared" si="0"/>
        <v/>
      </c>
      <c r="B781" s="2355">
        <f>'Part VI-Revenues &amp; Expenses'!B19</f>
        <v>50</v>
      </c>
      <c r="C781" s="1829">
        <f>'Part VI-Revenues &amp; Expenses'!C19</f>
        <v>2</v>
      </c>
      <c r="D781" s="1830">
        <f>'Part VI-Revenues &amp; Expenses'!D19</f>
        <v>1</v>
      </c>
      <c r="E781" s="1831">
        <f>'Part VI-Revenues &amp; Expenses'!E19</f>
        <v>12</v>
      </c>
      <c r="F781" s="1831">
        <f>'Part VI-Revenues &amp; Expenses'!F19</f>
        <v>915</v>
      </c>
      <c r="G781" s="1831">
        <f>'Part VI-Revenues &amp; Expenses'!G19</f>
        <v>609</v>
      </c>
      <c r="H781" s="1831">
        <f>'Part VI-Revenues &amp; Expenses'!H19</f>
        <v>537</v>
      </c>
      <c r="I781" s="1831">
        <f>'Part VI-Revenues &amp; Expenses'!I19</f>
        <v>72</v>
      </c>
      <c r="J781" s="1832">
        <f>'Part VI-Revenues &amp; Expenses'!J19</f>
        <v>0</v>
      </c>
      <c r="K781" s="1505">
        <f t="shared" si="1"/>
        <v>465</v>
      </c>
      <c r="L781" s="1505">
        <f t="shared" si="2"/>
        <v>5580</v>
      </c>
      <c r="M781" s="1816" t="str">
        <f>'Part VI-Revenues &amp; Expenses'!M19</f>
        <v>Residential</v>
      </c>
      <c r="N781" s="1816" t="str">
        <f>'Part VI-Revenues &amp; Expenses'!N19</f>
        <v>2-Story Walkup</v>
      </c>
      <c r="O781" s="1816" t="str">
        <f>'Part VI-Revenues &amp; Expenses'!O19</f>
        <v>Acquisition/Rehab</v>
      </c>
      <c r="P781" s="1316" t="str">
        <f>'Part VI-Revenues &amp; Expenses'!P19</f>
        <v>No</v>
      </c>
      <c r="Q781" s="1506">
        <f>'Part VI-Revenues &amp; Expenses'!Q19</f>
        <v>21480</v>
      </c>
      <c r="R781" s="1507">
        <f>'Part VI-Revenues &amp; Expenses'!R19</f>
        <v>0.44694132334581771</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f t="shared" si="20"/>
        <v>12</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f t="shared" si="315"/>
        <v>10980</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f t="shared" si="174"/>
        <v>12</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f t="shared" si="204"/>
        <v>12</v>
      </c>
      <c r="IB781" s="1321" t="str">
        <f t="shared" si="205"/>
        <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f t="shared" si="269"/>
        <v>12</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t="str">
        <f t="shared" si="279"/>
        <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12</v>
      </c>
      <c r="MH781" s="1320">
        <f t="shared" si="326"/>
        <v>0</v>
      </c>
      <c r="MI781" s="1320">
        <f t="shared" si="327"/>
        <v>0</v>
      </c>
      <c r="MJ781" s="1320">
        <f t="shared" si="328"/>
        <v>0</v>
      </c>
      <c r="MK781" s="1320">
        <f t="shared" si="329"/>
        <v>0</v>
      </c>
      <c r="ML781" s="1320">
        <f t="shared" si="330"/>
        <v>0</v>
      </c>
      <c r="MM781" s="1320">
        <f t="shared" si="331"/>
        <v>0</v>
      </c>
      <c r="MN781" s="1320">
        <f t="shared" si="332"/>
        <v>0</v>
      </c>
      <c r="MO781" s="1320">
        <f t="shared" si="333"/>
        <v>0</v>
      </c>
      <c r="MP781" s="1320">
        <f t="shared" si="334"/>
        <v>0</v>
      </c>
      <c r="MQ781" s="1320">
        <f t="shared" si="335"/>
        <v>0</v>
      </c>
      <c r="MR781" s="1320">
        <f t="shared" si="336"/>
        <v>0</v>
      </c>
      <c r="MS781" s="1320">
        <f t="shared" si="337"/>
        <v>0</v>
      </c>
    </row>
    <row r="782" spans="1:357">
      <c r="A782" s="1313" t="str">
        <f t="shared" si="0"/>
        <v/>
      </c>
      <c r="B782" s="2355">
        <f>'Part VI-Revenues &amp; Expenses'!B20</f>
        <v>60</v>
      </c>
      <c r="C782" s="1829">
        <f>'Part VI-Revenues &amp; Expenses'!C20</f>
        <v>2</v>
      </c>
      <c r="D782" s="1830">
        <f>'Part VI-Revenues &amp; Expenses'!D20</f>
        <v>1</v>
      </c>
      <c r="E782" s="1831">
        <f>'Part VI-Revenues &amp; Expenses'!E20</f>
        <v>11</v>
      </c>
      <c r="F782" s="1831">
        <f>'Part VI-Revenues &amp; Expenses'!F20</f>
        <v>915</v>
      </c>
      <c r="G782" s="1831">
        <f>'Part VI-Revenues &amp; Expenses'!G20</f>
        <v>745</v>
      </c>
      <c r="H782" s="1831">
        <f>'Part VI-Revenues &amp; Expenses'!H20</f>
        <v>562</v>
      </c>
      <c r="I782" s="1831">
        <f>'Part VI-Revenues &amp; Expenses'!I20</f>
        <v>72</v>
      </c>
      <c r="J782" s="1832">
        <f>'Part VI-Revenues &amp; Expenses'!J20</f>
        <v>0</v>
      </c>
      <c r="K782" s="1505">
        <f t="shared" si="1"/>
        <v>490</v>
      </c>
      <c r="L782" s="1505">
        <f t="shared" si="2"/>
        <v>5390</v>
      </c>
      <c r="M782" s="1816" t="str">
        <f>'Part VI-Revenues &amp; Expenses'!M20</f>
        <v>Residential</v>
      </c>
      <c r="N782" s="1816" t="str">
        <f>'Part VI-Revenues &amp; Expenses'!N20</f>
        <v>2-Story Walkup</v>
      </c>
      <c r="O782" s="1816" t="str">
        <f>'Part VI-Revenues &amp; Expenses'!O20</f>
        <v>Acquisition/Rehab</v>
      </c>
      <c r="P782" s="1316" t="str">
        <f>'Part VI-Revenues &amp; Expenses'!P20</f>
        <v>No</v>
      </c>
      <c r="Q782" s="1506">
        <f>'Part VI-Revenues &amp; Expenses'!Q20</f>
        <v>22480</v>
      </c>
      <c r="R782" s="1507">
        <f>'Part VI-Revenues &amp; Expenses'!R20</f>
        <v>0.46774864752392842</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f t="shared" si="15"/>
        <v>11</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f t="shared" si="129"/>
        <v>10065</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f t="shared" si="174"/>
        <v>11</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t="str">
        <f t="shared" si="203"/>
        <v/>
      </c>
      <c r="IA782" s="1321">
        <f t="shared" si="204"/>
        <v>11</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f t="shared" si="269"/>
        <v>11</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t="str">
        <f t="shared" si="278"/>
        <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11</v>
      </c>
      <c r="MH782" s="1320">
        <f t="shared" si="326"/>
        <v>0</v>
      </c>
      <c r="MI782" s="1320">
        <f t="shared" si="327"/>
        <v>0</v>
      </c>
      <c r="MJ782" s="1320">
        <f t="shared" si="328"/>
        <v>0</v>
      </c>
      <c r="MK782" s="1320">
        <f t="shared" si="329"/>
        <v>0</v>
      </c>
      <c r="ML782" s="1320">
        <f t="shared" si="330"/>
        <v>0</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c r="A783" s="1313" t="str">
        <f t="shared" si="0"/>
        <v/>
      </c>
      <c r="B783" s="2355">
        <f>'Part VI-Revenues &amp; Expenses'!B21</f>
        <v>50</v>
      </c>
      <c r="C783" s="1829">
        <f>'Part VI-Revenues &amp; Expenses'!C21</f>
        <v>3</v>
      </c>
      <c r="D783" s="1830">
        <f>'Part VI-Revenues &amp; Expenses'!D21</f>
        <v>2</v>
      </c>
      <c r="E783" s="1831">
        <f>'Part VI-Revenues &amp; Expenses'!E21</f>
        <v>2</v>
      </c>
      <c r="F783" s="1831">
        <f>'Part VI-Revenues &amp; Expenses'!F21</f>
        <v>1136</v>
      </c>
      <c r="G783" s="1831">
        <f>'Part VI-Revenues &amp; Expenses'!G21</f>
        <v>698</v>
      </c>
      <c r="H783" s="1831">
        <f>'Part VI-Revenues &amp; Expenses'!H21</f>
        <v>609</v>
      </c>
      <c r="I783" s="1831">
        <f>'Part VI-Revenues &amp; Expenses'!I21</f>
        <v>89</v>
      </c>
      <c r="J783" s="1832">
        <f>'Part VI-Revenues &amp; Expenses'!J21</f>
        <v>0</v>
      </c>
      <c r="K783" s="1505">
        <f t="shared" si="1"/>
        <v>520</v>
      </c>
      <c r="L783" s="1505">
        <f t="shared" si="2"/>
        <v>1040</v>
      </c>
      <c r="M783" s="1816" t="str">
        <f>'Part VI-Revenues &amp; Expenses'!M21</f>
        <v>Residential</v>
      </c>
      <c r="N783" s="1816" t="str">
        <f>'Part VI-Revenues &amp; Expenses'!N21</f>
        <v>2-Story Walkup</v>
      </c>
      <c r="O783" s="1816" t="str">
        <f>'Part VI-Revenues &amp; Expenses'!O21</f>
        <v>Acquisition/Rehab</v>
      </c>
      <c r="P783" s="1316" t="str">
        <f>'Part VI-Revenues &amp; Expenses'!P21</f>
        <v>No</v>
      </c>
      <c r="Q783" s="1506">
        <f>'Part VI-Revenues &amp; Expenses'!Q21</f>
        <v>24360</v>
      </c>
      <c r="R783" s="1507">
        <f>'Part VI-Revenues &amp; Expenses'!R21</f>
        <v>0.43863439930855663</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f t="shared" si="21"/>
        <v>2</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t="str">
        <f t="shared" si="315"/>
        <v/>
      </c>
      <c r="EZ783" s="638">
        <f t="shared" si="316"/>
        <v>2272</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t="str">
        <f t="shared" si="159"/>
        <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f t="shared" si="175"/>
        <v>2</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t="str">
        <f t="shared" si="204"/>
        <v/>
      </c>
      <c r="IB783" s="1321">
        <f t="shared" si="205"/>
        <v>2</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t="str">
        <f t="shared" si="269"/>
        <v/>
      </c>
      <c r="KO783" s="1321">
        <f t="shared" si="270"/>
        <v>2</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t="str">
        <f t="shared" si="279"/>
        <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2</v>
      </c>
      <c r="MI783" s="1320">
        <f t="shared" si="327"/>
        <v>0</v>
      </c>
      <c r="MJ783" s="1320">
        <f t="shared" si="328"/>
        <v>0</v>
      </c>
      <c r="MK783" s="1320">
        <f t="shared" si="329"/>
        <v>0</v>
      </c>
      <c r="ML783" s="1320">
        <f t="shared" si="330"/>
        <v>0</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c r="A784" s="1313" t="str">
        <f t="shared" si="0"/>
        <v/>
      </c>
      <c r="B784" s="2355">
        <f>'Part VI-Revenues &amp; Expenses'!B22</f>
        <v>60</v>
      </c>
      <c r="C784" s="1829">
        <f>'Part VI-Revenues &amp; Expenses'!C22</f>
        <v>3</v>
      </c>
      <c r="D784" s="1830">
        <f>'Part VI-Revenues &amp; Expenses'!D22</f>
        <v>2</v>
      </c>
      <c r="E784" s="1831">
        <f>'Part VI-Revenues &amp; Expenses'!E22</f>
        <v>2</v>
      </c>
      <c r="F784" s="1831">
        <f>'Part VI-Revenues &amp; Expenses'!F22</f>
        <v>1136</v>
      </c>
      <c r="G784" s="1831">
        <f>'Part VI-Revenues &amp; Expenses'!G22</f>
        <v>856</v>
      </c>
      <c r="H784" s="1831">
        <f>'Part VI-Revenues &amp; Expenses'!H22</f>
        <v>639</v>
      </c>
      <c r="I784" s="1831">
        <f>'Part VI-Revenues &amp; Expenses'!I22</f>
        <v>89</v>
      </c>
      <c r="J784" s="1832">
        <f>'Part VI-Revenues &amp; Expenses'!J22</f>
        <v>0</v>
      </c>
      <c r="K784" s="1505">
        <f t="shared" si="1"/>
        <v>550</v>
      </c>
      <c r="L784" s="1505">
        <f t="shared" si="2"/>
        <v>1100</v>
      </c>
      <c r="M784" s="1816" t="str">
        <f>'Part VI-Revenues &amp; Expenses'!M22</f>
        <v>Residential</v>
      </c>
      <c r="N784" s="1816" t="str">
        <f>'Part VI-Revenues &amp; Expenses'!N22</f>
        <v>2-Story Walkup</v>
      </c>
      <c r="O784" s="1816" t="str">
        <f>'Part VI-Revenues &amp; Expenses'!O22</f>
        <v>Acquisition/Rehab</v>
      </c>
      <c r="P784" s="1316" t="str">
        <f>'Part VI-Revenues &amp; Expenses'!P22</f>
        <v>No</v>
      </c>
      <c r="Q784" s="1506">
        <f>'Part VI-Revenues &amp; Expenses'!Q22</f>
        <v>25560</v>
      </c>
      <c r="R784" s="1507">
        <f>'Part VI-Revenues &amp; Expenses'!R22</f>
        <v>0.46024200518582542</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f t="shared" si="16"/>
        <v>2</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f t="shared" si="130"/>
        <v>2272</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f t="shared" si="175"/>
        <v>2</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t="str">
        <f t="shared" si="203"/>
        <v/>
      </c>
      <c r="IA784" s="1321" t="str">
        <f t="shared" si="204"/>
        <v/>
      </c>
      <c r="IB784" s="1321">
        <f t="shared" si="205"/>
        <v>2</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t="str">
        <f t="shared" si="240"/>
        <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f t="shared" si="270"/>
        <v>2</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2</v>
      </c>
      <c r="MI784" s="1320">
        <f t="shared" si="327"/>
        <v>0</v>
      </c>
      <c r="MJ784" s="1320">
        <f t="shared" si="328"/>
        <v>0</v>
      </c>
      <c r="MK784" s="1320">
        <f t="shared" si="329"/>
        <v>0</v>
      </c>
      <c r="ML784" s="1320">
        <f t="shared" si="330"/>
        <v>0</v>
      </c>
      <c r="MM784" s="1320">
        <f t="shared" si="331"/>
        <v>0</v>
      </c>
      <c r="MN784" s="1320">
        <f t="shared" si="332"/>
        <v>0</v>
      </c>
      <c r="MO784" s="1320">
        <f t="shared" si="333"/>
        <v>0</v>
      </c>
      <c r="MP784" s="1320">
        <f t="shared" si="334"/>
        <v>0</v>
      </c>
      <c r="MQ784" s="1320">
        <f t="shared" si="335"/>
        <v>0</v>
      </c>
      <c r="MR784" s="1320">
        <f t="shared" si="336"/>
        <v>0</v>
      </c>
      <c r="MS784" s="1320">
        <f t="shared" si="337"/>
        <v>0</v>
      </c>
    </row>
    <row r="785" spans="1:357">
      <c r="A785" s="1313" t="str">
        <f t="shared" si="0"/>
        <v/>
      </c>
      <c r="B785" s="2355">
        <f>'Part VI-Revenues &amp; Expenses'!B23</f>
        <v>80</v>
      </c>
      <c r="C785" s="1829">
        <f>'Part VI-Revenues &amp; Expenses'!C23</f>
        <v>0</v>
      </c>
      <c r="D785" s="1830">
        <f>'Part VI-Revenues &amp; Expenses'!D23</f>
        <v>0</v>
      </c>
      <c r="E785" s="1831">
        <f>'Part VI-Revenues &amp; Expenses'!E23</f>
        <v>0</v>
      </c>
      <c r="F785" s="1831">
        <f>'Part VI-Revenues &amp; Expenses'!F23</f>
        <v>0</v>
      </c>
      <c r="G785" s="1831">
        <f>'Part VI-Revenues &amp; Expenses'!G23</f>
        <v>0</v>
      </c>
      <c r="H785" s="1831">
        <f>'Part VI-Revenues &amp; Expenses'!H23</f>
        <v>0</v>
      </c>
      <c r="I785" s="1831">
        <f>'Part VI-Revenues &amp; Expenses'!I23</f>
        <v>0</v>
      </c>
      <c r="J785" s="1832">
        <f>'Part VI-Revenues &amp; Expenses'!J23</f>
        <v>0</v>
      </c>
      <c r="K785" s="1505">
        <f t="shared" si="1"/>
        <v>0</v>
      </c>
      <c r="L785" s="1505">
        <f t="shared" si="2"/>
        <v>0</v>
      </c>
      <c r="M785" s="1816">
        <f>'Part VI-Revenues &amp; Expenses'!M23</f>
        <v>0</v>
      </c>
      <c r="N785" s="1816">
        <f>'Part VI-Revenues &amp; Expenses'!N23</f>
        <v>0</v>
      </c>
      <c r="O785" s="1816">
        <f>'Part VI-Revenues &amp; Expenses'!O23</f>
        <v>0</v>
      </c>
      <c r="P785" s="1316">
        <f>'Part VI-Revenues &amp; Expenses'!P23</f>
        <v>0</v>
      </c>
      <c r="Q785" s="1506" t="str">
        <f>'Part VI-Revenues &amp; Expenses'!Q23</f>
        <v/>
      </c>
      <c r="R785" s="1507" t="str">
        <f>'Part VI-Revenues &amp; Expenses'!R23</f>
        <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t="str">
        <f t="shared" si="203"/>
        <v/>
      </c>
      <c r="IA785" s="1321" t="str">
        <f t="shared" si="204"/>
        <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0</v>
      </c>
      <c r="ML785" s="1320">
        <f t="shared" si="330"/>
        <v>0</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c r="A786" s="1313" t="str">
        <f t="shared" si="0"/>
        <v/>
      </c>
      <c r="B786" s="2355">
        <f>'Part VI-Revenues &amp; Expenses'!B24</f>
        <v>80</v>
      </c>
      <c r="C786" s="1829">
        <f>'Part VI-Revenues &amp; Expenses'!C24</f>
        <v>0</v>
      </c>
      <c r="D786" s="1830">
        <f>'Part VI-Revenues &amp; Expenses'!D24</f>
        <v>0</v>
      </c>
      <c r="E786" s="1831">
        <f>'Part VI-Revenues &amp; Expenses'!E24</f>
        <v>0</v>
      </c>
      <c r="F786" s="1831">
        <f>'Part VI-Revenues &amp; Expenses'!F24</f>
        <v>0</v>
      </c>
      <c r="G786" s="1831">
        <f>'Part VI-Revenues &amp; Expenses'!G24</f>
        <v>0</v>
      </c>
      <c r="H786" s="1831">
        <f>'Part VI-Revenues &amp; Expenses'!H24</f>
        <v>0</v>
      </c>
      <c r="I786" s="1831">
        <f>'Part VI-Revenues &amp; Expenses'!I24</f>
        <v>0</v>
      </c>
      <c r="J786" s="1832">
        <f>'Part VI-Revenues &amp; Expenses'!J24</f>
        <v>0</v>
      </c>
      <c r="K786" s="1505">
        <f t="shared" si="1"/>
        <v>0</v>
      </c>
      <c r="L786" s="1505">
        <f t="shared" si="2"/>
        <v>0</v>
      </c>
      <c r="M786" s="1816">
        <f>'Part VI-Revenues &amp; Expenses'!M24</f>
        <v>0</v>
      </c>
      <c r="N786" s="1816">
        <f>'Part VI-Revenues &amp; Expenses'!N24</f>
        <v>0</v>
      </c>
      <c r="O786" s="1816">
        <f>'Part VI-Revenues &amp; Expenses'!O24</f>
        <v>0</v>
      </c>
      <c r="P786" s="1316">
        <f>'Part VI-Revenues &amp; Expenses'!P24</f>
        <v>0</v>
      </c>
      <c r="Q786" s="1506" t="str">
        <f>'Part VI-Revenues &amp; Expenses'!Q24</f>
        <v/>
      </c>
      <c r="R786" s="1507" t="str">
        <f>'Part VI-Revenues &amp; Expenses'!R24</f>
        <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t="str">
        <f t="shared" si="204"/>
        <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0</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c r="A787" s="1313" t="str">
        <f t="shared" si="0"/>
        <v/>
      </c>
      <c r="B787" s="2355">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c r="A788" s="1313" t="str">
        <f t="shared" si="0"/>
        <v/>
      </c>
      <c r="B788" s="2355">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c r="A789" s="1313" t="str">
        <f t="shared" si="0"/>
        <v/>
      </c>
      <c r="B789" s="2355">
        <f>'Part VI-Revenues &amp; Expenses'!B27</f>
        <v>0</v>
      </c>
      <c r="C789" s="1829">
        <f>'Part VI-Revenues &amp; Expenses'!C27</f>
        <v>0</v>
      </c>
      <c r="D789" s="1830">
        <f>'Part VI-Revenues &amp; Expenses'!D27</f>
        <v>0</v>
      </c>
      <c r="E789" s="1831">
        <f>'Part VI-Revenues &amp; Expenses'!E27</f>
        <v>0</v>
      </c>
      <c r="F789" s="1831">
        <f>'Part VI-Revenues &amp; Expenses'!F27</f>
        <v>0</v>
      </c>
      <c r="G789" s="1831">
        <f>'Part VI-Revenues &amp; Expenses'!G27</f>
        <v>0</v>
      </c>
      <c r="H789" s="1831">
        <f>'Part VI-Revenues &amp; Expenses'!H27</f>
        <v>0</v>
      </c>
      <c r="I789" s="1831">
        <f>'Part VI-Revenues &amp; Expenses'!I27</f>
        <v>0</v>
      </c>
      <c r="J789" s="1832">
        <f>'Part VI-Revenues &amp; Expenses'!J27</f>
        <v>0</v>
      </c>
      <c r="K789" s="1505">
        <f t="shared" si="1"/>
        <v>0</v>
      </c>
      <c r="L789" s="1505">
        <f t="shared" si="2"/>
        <v>0</v>
      </c>
      <c r="M789" s="1816">
        <f>'Part VI-Revenues &amp; Expenses'!M27</f>
        <v>0</v>
      </c>
      <c r="N789" s="1816">
        <f>'Part VI-Revenues &amp; Expenses'!N27</f>
        <v>0</v>
      </c>
      <c r="O789" s="1816">
        <f>'Part VI-Revenues &amp; Expenses'!O27</f>
        <v>0</v>
      </c>
      <c r="P789" s="1316">
        <f>'Part VI-Revenues &amp; Expenses'!P27</f>
        <v>0</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c r="A790" s="1313" t="str">
        <f t="shared" si="0"/>
        <v/>
      </c>
      <c r="B790" s="2355">
        <f>'Part VI-Revenues &amp; Expenses'!B28</f>
        <v>0</v>
      </c>
      <c r="C790" s="1829">
        <f>'Part VI-Revenues &amp; Expenses'!C28</f>
        <v>0</v>
      </c>
      <c r="D790" s="1830">
        <f>'Part VI-Revenues &amp; Expenses'!D28</f>
        <v>0</v>
      </c>
      <c r="E790" s="1831">
        <f>'Part VI-Revenues &amp; Expenses'!E28</f>
        <v>0</v>
      </c>
      <c r="F790" s="1831">
        <f>'Part VI-Revenues &amp; Expenses'!F28</f>
        <v>0</v>
      </c>
      <c r="G790" s="1831">
        <f>'Part VI-Revenues &amp; Expenses'!G28</f>
        <v>0</v>
      </c>
      <c r="H790" s="1831">
        <f>'Part VI-Revenues &amp; Expenses'!H28</f>
        <v>0</v>
      </c>
      <c r="I790" s="1831">
        <f>'Part VI-Revenues &amp; Expenses'!I28</f>
        <v>0</v>
      </c>
      <c r="J790" s="1832">
        <f>'Part VI-Revenues &amp; Expenses'!J28</f>
        <v>0</v>
      </c>
      <c r="K790" s="1505">
        <f t="shared" si="1"/>
        <v>0</v>
      </c>
      <c r="L790" s="1505">
        <f t="shared" si="2"/>
        <v>0</v>
      </c>
      <c r="M790" s="1816">
        <f>'Part VI-Revenues &amp; Expenses'!M28</f>
        <v>0</v>
      </c>
      <c r="N790" s="1816">
        <f>'Part VI-Revenues &amp; Expenses'!N28</f>
        <v>0</v>
      </c>
      <c r="O790" s="1816">
        <f>'Part VI-Revenues &amp; Expenses'!O28</f>
        <v>0</v>
      </c>
      <c r="P790" s="1316">
        <f>'Part VI-Revenues &amp; Expenses'!P28</f>
        <v>0</v>
      </c>
      <c r="Q790" s="1506" t="str">
        <f>'Part VI-Revenues &amp; Expenses'!Q28</f>
        <v/>
      </c>
      <c r="R790" s="1507" t="str">
        <f>'Part VI-Revenues &amp; Expenses'!R28</f>
        <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c r="A791" s="1313" t="str">
        <f t="shared" si="0"/>
        <v/>
      </c>
      <c r="B791" s="2355">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c r="A792" s="1313" t="str">
        <f t="shared" si="0"/>
        <v/>
      </c>
      <c r="B792" s="2355">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c r="A793" s="1313" t="str">
        <f t="shared" si="0"/>
        <v/>
      </c>
      <c r="B793" s="2355">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c r="A794" s="1313" t="str">
        <f t="shared" si="0"/>
        <v/>
      </c>
      <c r="B794" s="2355">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c r="A795" s="1313" t="str">
        <f t="shared" si="0"/>
        <v/>
      </c>
      <c r="B795" s="2355">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c r="A796" s="1313" t="str">
        <f t="shared" si="0"/>
        <v/>
      </c>
      <c r="B796" s="2355">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c r="A797" s="1313" t="str">
        <f t="shared" si="0"/>
        <v/>
      </c>
      <c r="B797" s="2355">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c r="A798" s="1313" t="str">
        <f t="shared" si="0"/>
        <v/>
      </c>
      <c r="B798" s="2355">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c r="A799" s="1313" t="str">
        <f t="shared" si="0"/>
        <v/>
      </c>
      <c r="B799" s="2355">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c r="A800" s="1313" t="str">
        <f t="shared" si="0"/>
        <v/>
      </c>
      <c r="B800" s="2355">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c r="A801" s="1313" t="str">
        <f t="shared" si="0"/>
        <v/>
      </c>
      <c r="B801" s="2355">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c r="A802" s="1313" t="str">
        <f t="shared" si="0"/>
        <v/>
      </c>
      <c r="B802" s="2355">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c r="A803" s="1313" t="str">
        <f t="shared" si="0"/>
        <v/>
      </c>
      <c r="B803" s="2355">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c r="A804" s="1313" t="str">
        <f t="shared" si="0"/>
        <v/>
      </c>
      <c r="B804" s="2355">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c r="A805" s="1313" t="str">
        <f t="shared" si="0"/>
        <v/>
      </c>
      <c r="B805" s="2355">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c r="A806" s="1313" t="str">
        <f t="shared" si="0"/>
        <v/>
      </c>
      <c r="B806" s="2355">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c r="A807" s="1313" t="str">
        <f t="shared" si="0"/>
        <v/>
      </c>
      <c r="B807" s="2355">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c r="A808" s="1313" t="str">
        <f t="shared" si="0"/>
        <v/>
      </c>
      <c r="B808" s="2355">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c r="A809" s="1313" t="str">
        <f t="shared" si="0"/>
        <v/>
      </c>
      <c r="B809" s="2355">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4708</v>
      </c>
      <c r="C810" s="457"/>
      <c r="D810" s="1511" t="s">
        <v>1017</v>
      </c>
      <c r="E810" s="1510">
        <f>SUM(E772:E809)</f>
        <v>40</v>
      </c>
      <c r="F810" s="2356">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35576</v>
      </c>
      <c r="G810" s="2357" t="s">
        <v>4705</v>
      </c>
      <c r="H810" s="1578" t="s">
        <v>4706</v>
      </c>
      <c r="I810" s="2358" t="str">
        <f>IF(O829=0,"",IF(SUM(O820:O824)/O829&gt;=0.4,"Pass","Fail"))</f>
        <v>Pass</v>
      </c>
      <c r="J810" s="458"/>
      <c r="K810" s="1511" t="s">
        <v>1301</v>
      </c>
      <c r="L810" s="1509">
        <f>SUM(L772:L809)</f>
        <v>18210</v>
      </c>
      <c r="M810" s="1314"/>
      <c r="N810" s="1314"/>
      <c r="O810" s="1314"/>
      <c r="P810" s="1314"/>
      <c r="Q810" s="1314"/>
      <c r="R810" s="1314"/>
      <c r="S810" s="1314"/>
      <c r="T810" s="1314"/>
      <c r="U810" s="1316"/>
      <c r="V810" s="1321"/>
      <c r="W810" s="1321">
        <f t="shared" ref="W810:EZ810" si="338">SUM(W772:W809)</f>
        <v>0</v>
      </c>
      <c r="X810" s="1321">
        <f t="shared" si="338"/>
        <v>0</v>
      </c>
      <c r="Y810" s="1321">
        <f t="shared" si="338"/>
        <v>0</v>
      </c>
      <c r="Z810" s="1321">
        <f t="shared" si="338"/>
        <v>0</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6</v>
      </c>
      <c r="AI810" s="1321">
        <f t="shared" si="338"/>
        <v>11</v>
      </c>
      <c r="AJ810" s="1321">
        <f t="shared" si="338"/>
        <v>2</v>
      </c>
      <c r="AK810" s="1321">
        <f t="shared" si="338"/>
        <v>0</v>
      </c>
      <c r="AL810" s="1321">
        <f>SUM(AL772:AL809)</f>
        <v>0</v>
      </c>
      <c r="AM810" s="1321">
        <f>SUM(AM772:AM809)</f>
        <v>6</v>
      </c>
      <c r="AN810" s="1321">
        <f>SUM(AN772:AN809)</f>
        <v>12</v>
      </c>
      <c r="AO810" s="1321">
        <f>SUM(AO772:AO809)</f>
        <v>2</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0</v>
      </c>
      <c r="AX810" s="1321">
        <f t="shared" si="338"/>
        <v>0</v>
      </c>
      <c r="AY810" s="1321">
        <f t="shared" si="338"/>
        <v>0</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0</v>
      </c>
      <c r="BH810" s="1321">
        <f t="shared" si="338"/>
        <v>0</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0</v>
      </c>
      <c r="BR810" s="1321">
        <f t="shared" si="338"/>
        <v>0</v>
      </c>
      <c r="BS810" s="1321">
        <f t="shared" si="338"/>
        <v>0</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0</v>
      </c>
      <c r="CQ810" s="1321">
        <f t="shared" si="339"/>
        <v>0</v>
      </c>
      <c r="CR810" s="1321">
        <f t="shared" si="339"/>
        <v>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1</v>
      </c>
      <c r="EF810" s="1321">
        <f t="shared" si="338"/>
        <v>0</v>
      </c>
      <c r="EG810" s="1321">
        <f t="shared" si="338"/>
        <v>0</v>
      </c>
      <c r="EH810" s="1321">
        <f t="shared" si="338"/>
        <v>0</v>
      </c>
      <c r="EI810" s="1321">
        <f t="shared" si="338"/>
        <v>0</v>
      </c>
      <c r="EJ810" s="1321">
        <f t="shared" si="338"/>
        <v>0</v>
      </c>
      <c r="EK810" s="1321">
        <f t="shared" si="338"/>
        <v>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4536</v>
      </c>
      <c r="ET810" s="1321">
        <f t="shared" si="338"/>
        <v>10065</v>
      </c>
      <c r="EU810" s="1321">
        <f t="shared" si="338"/>
        <v>2272</v>
      </c>
      <c r="EV810" s="1321">
        <f t="shared" si="338"/>
        <v>0</v>
      </c>
      <c r="EW810" s="1321">
        <f t="shared" si="338"/>
        <v>0</v>
      </c>
      <c r="EX810" s="1321">
        <f t="shared" si="338"/>
        <v>4536</v>
      </c>
      <c r="EY810" s="1321">
        <f t="shared" si="338"/>
        <v>10980</v>
      </c>
      <c r="EZ810" s="1321">
        <f t="shared" si="338"/>
        <v>2272</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0</v>
      </c>
      <c r="FI810" s="1321">
        <f t="shared" si="340"/>
        <v>0</v>
      </c>
      <c r="FJ810" s="1321">
        <f t="shared" si="340"/>
        <v>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0</v>
      </c>
      <c r="FS810" s="1321">
        <f t="shared" si="340"/>
        <v>0</v>
      </c>
      <c r="FT810" s="1321">
        <f t="shared" si="340"/>
        <v>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915</v>
      </c>
      <c r="GD810" s="1321">
        <f t="shared" si="340"/>
        <v>0</v>
      </c>
      <c r="GE810" s="1321">
        <f t="shared" si="340"/>
        <v>0</v>
      </c>
      <c r="GF810" s="1321">
        <f t="shared" si="340"/>
        <v>0</v>
      </c>
      <c r="GG810" s="1321">
        <f t="shared" si="340"/>
        <v>0</v>
      </c>
      <c r="GH810" s="1321">
        <f t="shared" si="340"/>
        <v>0</v>
      </c>
      <c r="GI810" s="1321">
        <f t="shared" si="340"/>
        <v>0</v>
      </c>
      <c r="GJ810" s="1321">
        <f t="shared" si="340"/>
        <v>0</v>
      </c>
      <c r="GK810" s="1321">
        <f t="shared" si="340"/>
        <v>0</v>
      </c>
      <c r="GL810" s="1321">
        <f t="shared" si="340"/>
        <v>0</v>
      </c>
      <c r="GM810" s="1321">
        <f t="shared" si="340"/>
        <v>0</v>
      </c>
      <c r="GN810" s="1321">
        <f t="shared" si="340"/>
        <v>0</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12</v>
      </c>
      <c r="GW810" s="1321">
        <f t="shared" si="340"/>
        <v>23</v>
      </c>
      <c r="GX810" s="1321">
        <f t="shared" si="340"/>
        <v>4</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1</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12</v>
      </c>
      <c r="IA810" s="1321">
        <f t="shared" si="341"/>
        <v>24</v>
      </c>
      <c r="IB810" s="1321">
        <f t="shared" si="341"/>
        <v>4</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0</v>
      </c>
      <c r="JJ810" s="1321">
        <f t="shared" si="341"/>
        <v>0</v>
      </c>
      <c r="JK810" s="1321">
        <f t="shared" si="341"/>
        <v>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12</v>
      </c>
      <c r="KN810" s="1321">
        <f t="shared" si="342"/>
        <v>24</v>
      </c>
      <c r="KO810" s="1321">
        <f t="shared" si="342"/>
        <v>4</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0</v>
      </c>
      <c r="KX810" s="1321">
        <f t="shared" si="342"/>
        <v>0</v>
      </c>
      <c r="KY810" s="1321">
        <f t="shared" si="342"/>
        <v>0</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12</v>
      </c>
      <c r="MG810" s="1321">
        <f t="shared" si="342"/>
        <v>24</v>
      </c>
      <c r="MH810" s="1321">
        <f t="shared" si="342"/>
        <v>4</v>
      </c>
      <c r="MI810" s="1321">
        <f t="shared" si="342"/>
        <v>0</v>
      </c>
      <c r="MJ810" s="1321">
        <f t="shared" si="342"/>
        <v>0</v>
      </c>
      <c r="MK810" s="1321">
        <f t="shared" si="342"/>
        <v>0</v>
      </c>
      <c r="ML810" s="1321">
        <f t="shared" si="342"/>
        <v>0</v>
      </c>
      <c r="MM810" s="1321">
        <f t="shared" si="342"/>
        <v>0</v>
      </c>
      <c r="MN810" s="1321">
        <f t="shared" si="342"/>
        <v>0</v>
      </c>
      <c r="MO810" s="1321">
        <f t="shared" si="342"/>
        <v>0</v>
      </c>
      <c r="MP810" s="1321">
        <f t="shared" si="342"/>
        <v>0</v>
      </c>
      <c r="MQ810" s="1321">
        <f t="shared" si="342"/>
        <v>0</v>
      </c>
      <c r="MR810" s="1321">
        <f t="shared" si="342"/>
        <v>0</v>
      </c>
      <c r="MS810" s="1321">
        <f t="shared" si="342"/>
        <v>0</v>
      </c>
    </row>
    <row r="811" spans="1:357">
      <c r="B811" s="2359">
        <f>'Part VI-Revenues &amp; Expenses'!B49</f>
        <v>54.871794871794869</v>
      </c>
      <c r="C811" s="2359"/>
      <c r="D811" s="1313" t="s">
        <v>4615</v>
      </c>
      <c r="E811" s="1510">
        <f>SUM(E779:E809)</f>
        <v>39</v>
      </c>
      <c r="F811" s="2356">
        <f>(E779*F779+E780*F780+E781*F781+E782*F782+E783*F783+E784*F784+E785*F785+E786*F786+E787*F787+E788*F788+E789*F789+E790*F790+E791*F791+E792*F792+E793*F793+E794*F794+E795*F795+E796*F796+E797*F797+E798*F798+E799*F799+E800*F800+E801*F801+E802*F802+E803*F803+E804*F804+E805*F805+E806*F806+E807*F807+E808*F808+E809*F809)</f>
        <v>34661</v>
      </c>
      <c r="G811" s="2357"/>
      <c r="H811" s="1578" t="s">
        <v>4707</v>
      </c>
      <c r="I811" s="2358" t="str">
        <f>IF(O829=0,"",IF(SUM(O821:O824)/O829&gt;=0.2,"Pass","Fail"))</f>
        <v>Pass</v>
      </c>
      <c r="J811" s="458"/>
      <c r="K811" s="1511" t="s">
        <v>813</v>
      </c>
      <c r="L811" s="1509">
        <f>L810*12</f>
        <v>218520</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5324</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739</v>
      </c>
      <c r="B815" s="638" t="s">
        <v>533</v>
      </c>
      <c r="K815" s="1529" t="str">
        <f>'Part I-Project Information'!$K$94</f>
        <v>40% of Units at 60% of AMI</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2360"/>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3.8">
      <c r="B817" s="638" t="s">
        <v>1135</v>
      </c>
      <c r="H817" s="638" t="s">
        <v>1039</v>
      </c>
      <c r="J817" s="2361" t="s">
        <v>567</v>
      </c>
      <c r="K817" s="2361" t="s">
        <v>534</v>
      </c>
      <c r="L817" s="2361" t="s">
        <v>535</v>
      </c>
      <c r="M817" s="2361" t="s">
        <v>536</v>
      </c>
      <c r="N817" s="2361" t="s">
        <v>537</v>
      </c>
      <c r="O817" s="2361" t="s">
        <v>538</v>
      </c>
      <c r="R817" s="1794" t="s">
        <v>1844</v>
      </c>
      <c r="S817" s="1794"/>
      <c r="T817" s="2360"/>
      <c r="AQ817" s="2361"/>
      <c r="AR817" s="2361"/>
      <c r="AS817" s="2361"/>
      <c r="AT817" s="2361"/>
      <c r="AU817" s="2361"/>
      <c r="AV817" s="2361"/>
      <c r="AX817" s="1314"/>
      <c r="BA817" s="2361"/>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1136</v>
      </c>
      <c r="D818" s="1314"/>
      <c r="E818" s="1314"/>
      <c r="F818" s="1314"/>
      <c r="H818" s="457" t="s">
        <v>4616</v>
      </c>
      <c r="J818" s="1516">
        <f>W810</f>
        <v>0</v>
      </c>
      <c r="K818" s="1516">
        <f>X810</f>
        <v>0</v>
      </c>
      <c r="L818" s="1516">
        <f>Y810</f>
        <v>0</v>
      </c>
      <c r="M818" s="1516">
        <f>Z810</f>
        <v>0</v>
      </c>
      <c r="N818" s="1516">
        <f>AA810</f>
        <v>0</v>
      </c>
      <c r="O818" s="1516">
        <f t="shared" ref="O818:O829" si="343">SUM(J818:N818)</f>
        <v>0</v>
      </c>
      <c r="P818" s="1468" t="s">
        <v>3667</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4617</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1148</v>
      </c>
      <c r="J820" s="1516">
        <f>AG810</f>
        <v>0</v>
      </c>
      <c r="K820" s="1516">
        <f>AH810</f>
        <v>6</v>
      </c>
      <c r="L820" s="1516">
        <f>AI810</f>
        <v>11</v>
      </c>
      <c r="M820" s="1516">
        <f>AJ810</f>
        <v>2</v>
      </c>
      <c r="N820" s="1516">
        <f>AK810</f>
        <v>0</v>
      </c>
      <c r="O820" s="1516">
        <f t="shared" si="343"/>
        <v>19</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6</v>
      </c>
      <c r="L821" s="1516">
        <f>AN810</f>
        <v>12</v>
      </c>
      <c r="M821" s="1516">
        <f>AO810</f>
        <v>2</v>
      </c>
      <c r="N821" s="1516">
        <f>AP810</f>
        <v>0</v>
      </c>
      <c r="O821" s="1516">
        <f t="shared" si="343"/>
        <v>20</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4618</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4619</v>
      </c>
      <c r="J823" s="1516">
        <f>AV810</f>
        <v>0</v>
      </c>
      <c r="K823" s="1516">
        <f>AW810</f>
        <v>0</v>
      </c>
      <c r="L823" s="1516">
        <f>AX810</f>
        <v>0</v>
      </c>
      <c r="M823" s="1516">
        <f>AY810</f>
        <v>0</v>
      </c>
      <c r="N823" s="1516">
        <f>AZ810</f>
        <v>0</v>
      </c>
      <c r="O823" s="1516">
        <f t="shared" si="343"/>
        <v>0</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4620</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4702</v>
      </c>
      <c r="D825" s="1314"/>
      <c r="E825" s="1314"/>
      <c r="F825" s="1314"/>
      <c r="H825" s="1051"/>
      <c r="J825" s="1516">
        <f>SUM(J818:J824)</f>
        <v>0</v>
      </c>
      <c r="K825" s="1516">
        <f>SUM(K818:K824)</f>
        <v>12</v>
      </c>
      <c r="L825" s="1516">
        <f>SUM(L818:L824)</f>
        <v>23</v>
      </c>
      <c r="M825" s="1516">
        <f>SUM(M818:M824)</f>
        <v>4</v>
      </c>
      <c r="N825" s="1516">
        <f>SUM(N818:N824)</f>
        <v>0</v>
      </c>
      <c r="O825" s="1516">
        <f t="shared" si="343"/>
        <v>39</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0</v>
      </c>
      <c r="L826" s="1516">
        <f>BH810</f>
        <v>0</v>
      </c>
      <c r="M826" s="1516">
        <f>BI810</f>
        <v>0</v>
      </c>
      <c r="N826" s="1516">
        <f>BJ810</f>
        <v>0</v>
      </c>
      <c r="O826" s="1516">
        <f t="shared" si="343"/>
        <v>0</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2362" t="s">
        <v>1137</v>
      </c>
      <c r="D827" s="2362"/>
      <c r="E827" s="2362"/>
      <c r="F827" s="2362"/>
      <c r="G827" s="2363"/>
      <c r="H827" s="1549"/>
      <c r="I827" s="2363"/>
      <c r="J827" s="2364">
        <f>SUM(J825:J826)</f>
        <v>0</v>
      </c>
      <c r="K827" s="2364">
        <f>SUM(K825:K826)</f>
        <v>12</v>
      </c>
      <c r="L827" s="2364">
        <f>SUM(L825:L826)</f>
        <v>23</v>
      </c>
      <c r="M827" s="2364">
        <f>SUM(M825:M826)</f>
        <v>4</v>
      </c>
      <c r="N827" s="2364">
        <f>SUM(N825:N826)</f>
        <v>0</v>
      </c>
      <c r="O827" s="2364">
        <f t="shared" si="343"/>
        <v>39</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2510</v>
      </c>
      <c r="J828" s="1516">
        <f>EC810</f>
        <v>0</v>
      </c>
      <c r="K828" s="1516">
        <f>ED810</f>
        <v>0</v>
      </c>
      <c r="L828" s="1516">
        <f>EE810</f>
        <v>1</v>
      </c>
      <c r="M828" s="1516">
        <f>EF810</f>
        <v>0</v>
      </c>
      <c r="N828" s="1516">
        <f>EG810</f>
        <v>0</v>
      </c>
      <c r="O828" s="1516">
        <f t="shared" si="343"/>
        <v>1</v>
      </c>
      <c r="P828" s="1335" t="s">
        <v>3668</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1792</v>
      </c>
      <c r="D829" s="1314"/>
      <c r="E829" s="1314"/>
      <c r="F829" s="1314"/>
      <c r="H829" s="457"/>
      <c r="J829" s="1516">
        <f>SUM(J827:J828)</f>
        <v>0</v>
      </c>
      <c r="K829" s="1516">
        <f>SUM(K827:K828)</f>
        <v>12</v>
      </c>
      <c r="L829" s="1516">
        <f>SUM(L827:L828)</f>
        <v>24</v>
      </c>
      <c r="M829" s="1516">
        <f>SUM(M827:M828)</f>
        <v>4</v>
      </c>
      <c r="N829" s="1516">
        <f>SUM(N827:N828)</f>
        <v>0</v>
      </c>
      <c r="O829" s="1516">
        <f t="shared" si="343"/>
        <v>40</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4723</v>
      </c>
      <c r="D832" s="1521"/>
      <c r="E832" s="1521"/>
      <c r="F832" s="1521"/>
      <c r="G832" s="1317"/>
      <c r="H832" s="457"/>
      <c r="I832" s="2365" t="s">
        <v>4722</v>
      </c>
      <c r="J832" s="1519"/>
      <c r="O832" s="1519"/>
      <c r="P832" s="1051" t="s">
        <v>4721</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4616</v>
      </c>
      <c r="I833" s="2366" t="str">
        <f>'Part VI-Revenues &amp; Expenses'!I71</f>
        <v/>
      </c>
      <c r="J833" s="2367">
        <f>'Part VI-Revenues &amp; Expenses'!J71</f>
        <v>0</v>
      </c>
      <c r="K833" s="2367">
        <f>'Part VI-Revenues &amp; Expenses'!K71</f>
        <v>0</v>
      </c>
      <c r="L833" s="2367">
        <f>'Part VI-Revenues &amp; Expenses'!L71</f>
        <v>0</v>
      </c>
      <c r="M833" s="2367">
        <f>'Part VI-Revenues &amp; Expenses'!M71</f>
        <v>0</v>
      </c>
      <c r="N833" s="2367">
        <f>'Part VI-Revenues &amp; Expenses'!N71</f>
        <v>0</v>
      </c>
      <c r="O833" s="2367">
        <f>'Part VI-Revenues &amp; Expenses'!O71</f>
        <v>0</v>
      </c>
      <c r="P833" s="2368" t="str">
        <f>IF(O833=0,"",AVERAGEIF(J833:N833,"&gt;0"))</f>
        <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4617</v>
      </c>
      <c r="I834" s="2366" t="str">
        <f>'Part VI-Revenues &amp; Expenses'!I72</f>
        <v/>
      </c>
      <c r="J834" s="2367">
        <f>'Part VI-Revenues &amp; Expenses'!J72</f>
        <v>0</v>
      </c>
      <c r="K834" s="2367">
        <f>'Part VI-Revenues &amp; Expenses'!K72</f>
        <v>0</v>
      </c>
      <c r="L834" s="2367">
        <f>'Part VI-Revenues &amp; Expenses'!L72</f>
        <v>0</v>
      </c>
      <c r="M834" s="2367">
        <f>'Part VI-Revenues &amp; Expenses'!M72</f>
        <v>0</v>
      </c>
      <c r="N834" s="2367">
        <f>'Part VI-Revenues &amp; Expenses'!N72</f>
        <v>0</v>
      </c>
      <c r="O834" s="2367">
        <f>'Part VI-Revenues &amp; Expenses'!O72</f>
        <v>0</v>
      </c>
      <c r="P834" s="2368"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5325</v>
      </c>
      <c r="E835" s="1521"/>
      <c r="F835" s="1521"/>
      <c r="G835" s="1521"/>
      <c r="H835" s="457" t="s">
        <v>1148</v>
      </c>
      <c r="I835" s="2366" t="str">
        <f>'Part VI-Revenues &amp; Expenses'!I73</f>
        <v/>
      </c>
      <c r="J835" s="2367">
        <f>'Part VI-Revenues &amp; Expenses'!J73</f>
        <v>0</v>
      </c>
      <c r="K835" s="2367">
        <f>'Part VI-Revenues &amp; Expenses'!K73</f>
        <v>0.5</v>
      </c>
      <c r="L835" s="2367">
        <f>'Part VI-Revenues &amp; Expenses'!L73</f>
        <v>0.47826086956521741</v>
      </c>
      <c r="M835" s="2367">
        <f>'Part VI-Revenues &amp; Expenses'!M73</f>
        <v>0.5</v>
      </c>
      <c r="N835" s="2367">
        <f>'Part VI-Revenues &amp; Expenses'!N73</f>
        <v>0</v>
      </c>
      <c r="O835" s="2367">
        <f>'Part VI-Revenues &amp; Expenses'!O73</f>
        <v>0.48717948717948717</v>
      </c>
      <c r="P835" s="2368">
        <f t="shared" si="344"/>
        <v>0.49275362318840576</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2366" t="str">
        <f>'Part VI-Revenues &amp; Expenses'!I74</f>
        <v/>
      </c>
      <c r="J836" s="2367">
        <f>'Part VI-Revenues &amp; Expenses'!J74</f>
        <v>0</v>
      </c>
      <c r="K836" s="2367">
        <f>'Part VI-Revenues &amp; Expenses'!K74</f>
        <v>0.5</v>
      </c>
      <c r="L836" s="2367">
        <f>'Part VI-Revenues &amp; Expenses'!L74</f>
        <v>0.52173913043478259</v>
      </c>
      <c r="M836" s="2367">
        <f>'Part VI-Revenues &amp; Expenses'!M74</f>
        <v>0.5</v>
      </c>
      <c r="N836" s="2367">
        <f>'Part VI-Revenues &amp; Expenses'!N74</f>
        <v>0</v>
      </c>
      <c r="O836" s="2367">
        <f>'Part VI-Revenues &amp; Expenses'!O74</f>
        <v>0.51282051282051277</v>
      </c>
      <c r="P836" s="2368">
        <f t="shared" si="344"/>
        <v>0.50724637681159424</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4618</v>
      </c>
      <c r="I837" s="2366" t="str">
        <f>'Part VI-Revenues &amp; Expenses'!I75</f>
        <v/>
      </c>
      <c r="J837" s="2367">
        <f>'Part VI-Revenues &amp; Expenses'!J75</f>
        <v>0</v>
      </c>
      <c r="K837" s="2367">
        <f>'Part VI-Revenues &amp; Expenses'!K75</f>
        <v>0</v>
      </c>
      <c r="L837" s="2367">
        <f>'Part VI-Revenues &amp; Expenses'!L75</f>
        <v>0</v>
      </c>
      <c r="M837" s="2367">
        <f>'Part VI-Revenues &amp; Expenses'!M75</f>
        <v>0</v>
      </c>
      <c r="N837" s="2367">
        <f>'Part VI-Revenues &amp; Expenses'!N75</f>
        <v>0</v>
      </c>
      <c r="O837" s="2367">
        <f>'Part VI-Revenues &amp; Expenses'!O75</f>
        <v>0</v>
      </c>
      <c r="P837" s="2368"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4619</v>
      </c>
      <c r="I838" s="2366" t="str">
        <f>'Part VI-Revenues &amp; Expenses'!I76</f>
        <v/>
      </c>
      <c r="J838" s="2367">
        <f>'Part VI-Revenues &amp; Expenses'!J76</f>
        <v>0</v>
      </c>
      <c r="K838" s="2367">
        <f>'Part VI-Revenues &amp; Expenses'!K76</f>
        <v>0</v>
      </c>
      <c r="L838" s="2367">
        <f>'Part VI-Revenues &amp; Expenses'!L76</f>
        <v>0</v>
      </c>
      <c r="M838" s="2367">
        <f>'Part VI-Revenues &amp; Expenses'!M76</f>
        <v>0</v>
      </c>
      <c r="N838" s="2367">
        <f>'Part VI-Revenues &amp; Expenses'!N76</f>
        <v>0</v>
      </c>
      <c r="O838" s="2367">
        <f>'Part VI-Revenues &amp; Expenses'!O76</f>
        <v>0</v>
      </c>
      <c r="P838" s="2368" t="str">
        <f t="shared" si="344"/>
        <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4620</v>
      </c>
      <c r="I839" s="2366" t="str">
        <f>'Part VI-Revenues &amp; Expenses'!I77</f>
        <v/>
      </c>
      <c r="J839" s="2367">
        <f>'Part VI-Revenues &amp; Expenses'!J77</f>
        <v>0</v>
      </c>
      <c r="K839" s="2367">
        <f>'Part VI-Revenues &amp; Expenses'!K77</f>
        <v>0</v>
      </c>
      <c r="L839" s="2367">
        <f>'Part VI-Revenues &amp; Expenses'!L77</f>
        <v>0</v>
      </c>
      <c r="M839" s="2367">
        <f>'Part VI-Revenues &amp; Expenses'!M77</f>
        <v>0</v>
      </c>
      <c r="N839" s="2367">
        <f>'Part VI-Revenues &amp; Expenses'!N77</f>
        <v>0</v>
      </c>
      <c r="O839" s="2367">
        <f>'Part VI-Revenues &amp; Expenses'!O77</f>
        <v>0</v>
      </c>
      <c r="P839" s="2368"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ht="13.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933</v>
      </c>
      <c r="D843" s="1314"/>
      <c r="E843" s="1317"/>
      <c r="F843" s="1314"/>
      <c r="H843" s="457" t="s">
        <v>4616</v>
      </c>
      <c r="J843" s="1527">
        <f>CO810</f>
        <v>0</v>
      </c>
      <c r="K843" s="1527">
        <f>CP810</f>
        <v>0</v>
      </c>
      <c r="L843" s="1527">
        <f>CQ810</f>
        <v>0</v>
      </c>
      <c r="M843" s="1527">
        <f>CR810</f>
        <v>0</v>
      </c>
      <c r="N843" s="1527">
        <f>CS810</f>
        <v>0</v>
      </c>
      <c r="O843" s="1516">
        <f t="shared" ref="O843:O850" si="345">SUM(J843:N843)</f>
        <v>0</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2511</v>
      </c>
      <c r="D844" s="1314"/>
      <c r="E844" s="1317"/>
      <c r="F844" s="1314"/>
      <c r="H844" s="457" t="s">
        <v>4617</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1148</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4618</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4619</v>
      </c>
      <c r="J848" s="1516">
        <f>BP810</f>
        <v>0</v>
      </c>
      <c r="K848" s="1516">
        <f>BQ810</f>
        <v>0</v>
      </c>
      <c r="L848" s="1516">
        <f>BR810</f>
        <v>0</v>
      </c>
      <c r="M848" s="1516">
        <f>BS810</f>
        <v>0</v>
      </c>
      <c r="N848" s="1516">
        <f>BT810</f>
        <v>0</v>
      </c>
      <c r="O848" s="1516">
        <f t="shared" si="345"/>
        <v>0</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4620</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538</v>
      </c>
      <c r="J850" s="1516">
        <f>SUM(J843:J849)</f>
        <v>0</v>
      </c>
      <c r="K850" s="1516">
        <f>SUM(K843:K849)</f>
        <v>0</v>
      </c>
      <c r="L850" s="1516">
        <f>SUM(L843:L849)</f>
        <v>0</v>
      </c>
      <c r="M850" s="1516">
        <f>SUM(M843:M849)</f>
        <v>0</v>
      </c>
      <c r="N850" s="1516">
        <f>SUM(N843:N849)</f>
        <v>0</v>
      </c>
      <c r="O850" s="1516">
        <f t="shared" si="345"/>
        <v>0</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739</v>
      </c>
      <c r="B852" s="638" t="s">
        <v>5326</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ht="13.8">
      <c r="R853" s="1336" t="str">
        <f>C854</f>
        <v>PHA Operating Subsidy-Assisted</v>
      </c>
      <c r="T853" s="2360"/>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889</v>
      </c>
      <c r="D854" s="1596"/>
      <c r="E854" s="1596"/>
      <c r="F854" s="1314"/>
      <c r="H854" s="457" t="s">
        <v>4616</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2511</v>
      </c>
      <c r="D855" s="1596"/>
      <c r="E855" s="1596"/>
      <c r="F855" s="1314"/>
      <c r="H855" s="457" t="s">
        <v>4617</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1148</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4618</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4619</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4620</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538</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ht="13.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2294</v>
      </c>
      <c r="F863" s="1314"/>
      <c r="H863" s="457" t="s">
        <v>1431</v>
      </c>
      <c r="J863" s="1516">
        <f>GF810</f>
        <v>0</v>
      </c>
      <c r="K863" s="1516">
        <f>GG810</f>
        <v>0</v>
      </c>
      <c r="L863" s="1516">
        <f>GH810</f>
        <v>0</v>
      </c>
      <c r="M863" s="1516">
        <f>GI810</f>
        <v>0</v>
      </c>
      <c r="N863" s="1516">
        <f>GJ810</f>
        <v>0</v>
      </c>
      <c r="O863" s="1516">
        <f t="shared" ref="O863:O873" si="347">SUM(J863:N863)</f>
        <v>0</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0</v>
      </c>
      <c r="L864" s="1516">
        <f>GM810</f>
        <v>0</v>
      </c>
      <c r="M864" s="1516">
        <f>GN810</f>
        <v>0</v>
      </c>
      <c r="N864" s="1516">
        <f>GO810</f>
        <v>0</v>
      </c>
      <c r="O864" s="1516">
        <f t="shared" si="347"/>
        <v>0</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0</v>
      </c>
      <c r="L865" s="1516">
        <f>SUM(L863:L864)+GR810</f>
        <v>0</v>
      </c>
      <c r="M865" s="1516">
        <f>SUM(M863:M864)+GS810</f>
        <v>0</v>
      </c>
      <c r="N865" s="1516">
        <f>SUM(N863:N864)+GT810</f>
        <v>0</v>
      </c>
      <c r="O865" s="1516">
        <f t="shared" si="347"/>
        <v>0</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2136</v>
      </c>
      <c r="F866" s="1314"/>
      <c r="H866" s="457" t="s">
        <v>1431</v>
      </c>
      <c r="J866" s="1516">
        <f>GU810</f>
        <v>0</v>
      </c>
      <c r="K866" s="1516">
        <f>GV810</f>
        <v>12</v>
      </c>
      <c r="L866" s="1516">
        <f>GW810</f>
        <v>23</v>
      </c>
      <c r="M866" s="1516">
        <f>GX810</f>
        <v>4</v>
      </c>
      <c r="N866" s="1516">
        <f>GY810</f>
        <v>0</v>
      </c>
      <c r="O866" s="1516">
        <f t="shared" si="347"/>
        <v>39</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12</v>
      </c>
      <c r="L868" s="1516">
        <f>SUM(L866:L867)+HG810</f>
        <v>24</v>
      </c>
      <c r="M868" s="1516">
        <f>SUM(M866:M867)+HH810</f>
        <v>4</v>
      </c>
      <c r="N868" s="1516">
        <f>SUM(N866:N867)+HI810</f>
        <v>0</v>
      </c>
      <c r="O868" s="1516">
        <f t="shared" si="347"/>
        <v>40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1418</v>
      </c>
      <c r="F869" s="1203"/>
      <c r="H869" s="457" t="s">
        <v>1431</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4525</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3355</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ht="13.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5327</v>
      </c>
      <c r="D877" s="1521"/>
      <c r="E877" s="1317" t="s">
        <v>39</v>
      </c>
      <c r="F877" s="1314"/>
      <c r="G877" s="1335"/>
      <c r="J877" s="1516">
        <f t="shared" ref="J877:O877" si="348">SUM(J878:J885)</f>
        <v>0</v>
      </c>
      <c r="K877" s="1516">
        <f t="shared" si="348"/>
        <v>12</v>
      </c>
      <c r="L877" s="1516">
        <f t="shared" si="348"/>
        <v>24</v>
      </c>
      <c r="M877" s="1516">
        <f t="shared" si="348"/>
        <v>4</v>
      </c>
      <c r="N877" s="1516">
        <f t="shared" si="348"/>
        <v>0</v>
      </c>
      <c r="O877" s="1516">
        <f t="shared" si="348"/>
        <v>40</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2603</v>
      </c>
      <c r="J878" s="1516">
        <f>JR810</f>
        <v>0</v>
      </c>
      <c r="K878" s="1516">
        <f>JS810</f>
        <v>0</v>
      </c>
      <c r="L878" s="1516">
        <f>JT810</f>
        <v>0</v>
      </c>
      <c r="M878" s="1516">
        <f>JU810</f>
        <v>0</v>
      </c>
      <c r="N878" s="1516">
        <f>JV810</f>
        <v>0</v>
      </c>
      <c r="O878" s="1516">
        <f t="shared" ref="O878:O893" si="349">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3355</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2604</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3355</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2606</v>
      </c>
      <c r="J882" s="1516">
        <f>KL810</f>
        <v>0</v>
      </c>
      <c r="K882" s="1516">
        <f>KM810</f>
        <v>12</v>
      </c>
      <c r="L882" s="1516">
        <f>KN810</f>
        <v>24</v>
      </c>
      <c r="M882" s="1516">
        <f>KO810</f>
        <v>4</v>
      </c>
      <c r="N882" s="1516">
        <f>KP810</f>
        <v>0</v>
      </c>
      <c r="O882" s="1516">
        <f t="shared" si="349"/>
        <v>40</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3355</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2605</v>
      </c>
      <c r="J884" s="1516">
        <f>KV810</f>
        <v>0</v>
      </c>
      <c r="K884" s="1516">
        <f>KW810</f>
        <v>0</v>
      </c>
      <c r="L884" s="1516">
        <f>KX810</f>
        <v>0</v>
      </c>
      <c r="M884" s="1516">
        <f>KY810</f>
        <v>0</v>
      </c>
      <c r="N884" s="1516">
        <f>KZ810</f>
        <v>0</v>
      </c>
      <c r="O884" s="1516">
        <f t="shared" si="349"/>
        <v>0</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3355</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3355</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0</v>
      </c>
      <c r="L888" s="1516">
        <f>JJ810</f>
        <v>0</v>
      </c>
      <c r="M888" s="1516">
        <f>JK810</f>
        <v>0</v>
      </c>
      <c r="N888" s="1516">
        <f>JL810</f>
        <v>0</v>
      </c>
      <c r="O888" s="1516">
        <f t="shared" si="349"/>
        <v>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3355</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564</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3355</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565</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3355</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739</v>
      </c>
      <c r="B895" s="638" t="s">
        <v>5326</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ht="13.8">
      <c r="P896" s="1319"/>
      <c r="R896" s="1330" t="str">
        <f>C897</f>
        <v>Building Type:
(for Cost Limit purposes only - see Application Instructions for further detail)</v>
      </c>
      <c r="T896" s="2360"/>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5328</v>
      </c>
      <c r="D897" s="1521"/>
      <c r="E897" s="1317" t="s">
        <v>3350</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3355</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3351</v>
      </c>
      <c r="F899" s="1335"/>
      <c r="H899" s="1335"/>
      <c r="J899" s="1516">
        <f t="shared" ref="J899:N900" si="352">J878+J888</f>
        <v>0</v>
      </c>
      <c r="K899" s="1516">
        <f t="shared" si="352"/>
        <v>0</v>
      </c>
      <c r="L899" s="1516">
        <f t="shared" si="352"/>
        <v>0</v>
      </c>
      <c r="M899" s="1516">
        <f t="shared" si="352"/>
        <v>0</v>
      </c>
      <c r="N899" s="1516">
        <f t="shared" si="352"/>
        <v>0</v>
      </c>
      <c r="O899" s="1516">
        <f t="shared" si="351"/>
        <v>0</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3355</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3352</v>
      </c>
      <c r="F901" s="1335"/>
      <c r="H901" s="1524"/>
      <c r="J901" s="1516">
        <f t="shared" ref="J901:N902" si="353">J882</f>
        <v>0</v>
      </c>
      <c r="K901" s="1516">
        <f t="shared" si="353"/>
        <v>12</v>
      </c>
      <c r="L901" s="1516">
        <f t="shared" si="353"/>
        <v>24</v>
      </c>
      <c r="M901" s="1516">
        <f t="shared" si="353"/>
        <v>4</v>
      </c>
      <c r="N901" s="1516">
        <f t="shared" si="353"/>
        <v>0</v>
      </c>
      <c r="O901" s="1516">
        <f t="shared" si="351"/>
        <v>40</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3355</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3353</v>
      </c>
      <c r="F903" s="1335"/>
      <c r="H903" s="1524"/>
      <c r="J903" s="1516">
        <f t="shared" ref="J903:N904" si="354">J880+J884</f>
        <v>0</v>
      </c>
      <c r="K903" s="1516">
        <f t="shared" si="354"/>
        <v>0</v>
      </c>
      <c r="L903" s="1516">
        <f t="shared" si="354"/>
        <v>0</v>
      </c>
      <c r="M903" s="1516">
        <f t="shared" si="354"/>
        <v>0</v>
      </c>
      <c r="N903" s="1516">
        <f t="shared" si="354"/>
        <v>0</v>
      </c>
      <c r="O903" s="1516">
        <f t="shared" si="351"/>
        <v>0</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3355</v>
      </c>
      <c r="J904" s="1516">
        <f t="shared" si="354"/>
        <v>0</v>
      </c>
      <c r="K904" s="1516">
        <f t="shared" si="354"/>
        <v>0</v>
      </c>
      <c r="L904" s="1516">
        <f t="shared" si="354"/>
        <v>0</v>
      </c>
      <c r="M904" s="1516">
        <f t="shared" si="354"/>
        <v>0</v>
      </c>
      <c r="N904" s="1516">
        <f t="shared" si="354"/>
        <v>0</v>
      </c>
      <c r="O904" s="1516">
        <f t="shared" si="351"/>
        <v>0</v>
      </c>
      <c r="P904" s="1319" t="s">
        <v>5106</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ht="13.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ht="13.8">
      <c r="B906" s="638" t="s">
        <v>2164</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2135</v>
      </c>
      <c r="D907" s="1314"/>
      <c r="E907" s="1314"/>
      <c r="F907" s="1314"/>
      <c r="H907" s="1051" t="s">
        <v>4616</v>
      </c>
      <c r="J907" s="1527">
        <f>EH810</f>
        <v>0</v>
      </c>
      <c r="K907" s="1527">
        <f>EI810</f>
        <v>0</v>
      </c>
      <c r="L907" s="1527">
        <f>EJ810</f>
        <v>0</v>
      </c>
      <c r="M907" s="1527">
        <f>EK810</f>
        <v>0</v>
      </c>
      <c r="N907" s="1527">
        <f>EL810</f>
        <v>0</v>
      </c>
      <c r="O907" s="1530">
        <f t="shared" ref="O907:O913" si="355">SUM(J907:N907)</f>
        <v>0</v>
      </c>
      <c r="P907" s="1607" t="str">
        <f t="shared" ref="P907:P913" si="356">IF(OR(O818=0,O818=""),"",O907/O818)</f>
        <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4617</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1148</v>
      </c>
      <c r="J909" s="1530">
        <f>ER810</f>
        <v>0</v>
      </c>
      <c r="K909" s="1530">
        <f>ES810</f>
        <v>4536</v>
      </c>
      <c r="L909" s="1530">
        <f>ET810</f>
        <v>10065</v>
      </c>
      <c r="M909" s="1530">
        <f>EU810</f>
        <v>2272</v>
      </c>
      <c r="N909" s="1530">
        <f>EV810</f>
        <v>0</v>
      </c>
      <c r="O909" s="1530">
        <f t="shared" si="355"/>
        <v>16873</v>
      </c>
      <c r="P909" s="1607">
        <f t="shared" si="356"/>
        <v>888.0526315789474</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4536</v>
      </c>
      <c r="L910" s="1530">
        <f>EY810</f>
        <v>10980</v>
      </c>
      <c r="M910" s="1530">
        <f>EZ810</f>
        <v>2272</v>
      </c>
      <c r="N910" s="1530">
        <f>FA810</f>
        <v>0</v>
      </c>
      <c r="O910" s="1530">
        <f t="shared" si="355"/>
        <v>17788</v>
      </c>
      <c r="P910" s="1607">
        <f t="shared" si="356"/>
        <v>889.4</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4618</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4619</v>
      </c>
      <c r="J912" s="1530">
        <f>FG810</f>
        <v>0</v>
      </c>
      <c r="K912" s="1530">
        <f>FH810</f>
        <v>0</v>
      </c>
      <c r="L912" s="1530">
        <f>FI810</f>
        <v>0</v>
      </c>
      <c r="M912" s="1530">
        <f>FJ810</f>
        <v>0</v>
      </c>
      <c r="N912" s="1530">
        <f>FK810</f>
        <v>0</v>
      </c>
      <c r="O912" s="1530">
        <f t="shared" si="355"/>
        <v>0</v>
      </c>
      <c r="P912" s="1607" t="str">
        <f t="shared" si="356"/>
        <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4620</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4701</v>
      </c>
      <c r="J914" s="1530">
        <f>SUM(J907:J913)</f>
        <v>0</v>
      </c>
      <c r="K914" s="1530">
        <f>SUM(K907:K913)</f>
        <v>9072</v>
      </c>
      <c r="L914" s="1530">
        <f>SUM(L907:L913)</f>
        <v>21045</v>
      </c>
      <c r="M914" s="1530">
        <f>SUM(M907:M913)</f>
        <v>4544</v>
      </c>
      <c r="N914" s="1530">
        <f>SUM(N907:N913)</f>
        <v>0</v>
      </c>
      <c r="O914" s="1530">
        <f>SUM(J914:N914)</f>
        <v>34661</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0</v>
      </c>
      <c r="L915" s="1530">
        <f>FS810</f>
        <v>0</v>
      </c>
      <c r="M915" s="1530">
        <f>FT810</f>
        <v>0</v>
      </c>
      <c r="N915" s="1530">
        <f>FU810</f>
        <v>0</v>
      </c>
      <c r="O915" s="1530">
        <f>SUM(J915:N915)</f>
        <v>0</v>
      </c>
      <c r="P915" s="1607" t="str">
        <f>IF(OR(O826=0,O826=""),"",O915/O826)</f>
        <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1137</v>
      </c>
      <c r="D916" s="1314"/>
      <c r="E916" s="1314"/>
      <c r="F916" s="1314"/>
      <c r="G916" s="1314"/>
      <c r="J916" s="1530">
        <f>SUM(J914:J915)</f>
        <v>0</v>
      </c>
      <c r="K916" s="1530">
        <f>SUM(K914:K915)</f>
        <v>9072</v>
      </c>
      <c r="L916" s="1530">
        <f>SUM(L914:L915)</f>
        <v>21045</v>
      </c>
      <c r="M916" s="1530">
        <f>SUM(M914:M915)</f>
        <v>4544</v>
      </c>
      <c r="N916" s="1530">
        <f>SUM(N914:N915)</f>
        <v>0</v>
      </c>
      <c r="O916" s="1530">
        <f>SUM(J916:N916)</f>
        <v>34661</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2510</v>
      </c>
      <c r="D917" s="1314"/>
      <c r="E917" s="1314"/>
      <c r="F917" s="1314"/>
      <c r="G917" s="1314"/>
      <c r="J917" s="1530">
        <f>GA810</f>
        <v>0</v>
      </c>
      <c r="K917" s="1530">
        <f>GB810</f>
        <v>0</v>
      </c>
      <c r="L917" s="1530">
        <f>GC810</f>
        <v>915</v>
      </c>
      <c r="M917" s="1530">
        <f>GD810</f>
        <v>0</v>
      </c>
      <c r="N917" s="1530">
        <f>GE810</f>
        <v>0</v>
      </c>
      <c r="O917" s="1530">
        <f>SUM(J917:N917)</f>
        <v>915</v>
      </c>
      <c r="P917" s="1607">
        <f>IF(OR(O828=0,O828=""),"",O917/O828)</f>
        <v>915</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538</v>
      </c>
      <c r="D918" s="1314"/>
      <c r="E918" s="1314"/>
      <c r="F918" s="1314"/>
      <c r="G918" s="1314"/>
      <c r="J918" s="1530">
        <f>SUM(J916:J917)</f>
        <v>0</v>
      </c>
      <c r="K918" s="1530">
        <f>SUM(K916:K917)</f>
        <v>9072</v>
      </c>
      <c r="L918" s="1530">
        <f>SUM(L916:L917)</f>
        <v>21960</v>
      </c>
      <c r="M918" s="1530">
        <f>SUM(M916:M917)</f>
        <v>4544</v>
      </c>
      <c r="N918" s="1530">
        <f>SUM(N916:N917)</f>
        <v>0</v>
      </c>
      <c r="O918" s="1530">
        <f>SUM(J918:N918)</f>
        <v>35576</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5329</v>
      </c>
      <c r="D921" s="1314"/>
      <c r="E921" s="1314"/>
      <c r="F921" s="1314"/>
      <c r="G921" s="1314"/>
      <c r="H921" s="1314"/>
      <c r="I921" s="1314"/>
      <c r="J921" s="1545" t="str">
        <f>'Part VI-Revenues &amp; Expenses'!J159</f>
        <v/>
      </c>
      <c r="K921" s="1545">
        <f>'Part VI-Revenues &amp; Expenses'!K159</f>
        <v>756</v>
      </c>
      <c r="L921" s="1545">
        <f>'Part VI-Revenues &amp; Expenses'!L159</f>
        <v>915</v>
      </c>
      <c r="M921" s="1545">
        <f>'Part VI-Revenues &amp; Expenses'!M159</f>
        <v>1136</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2369"/>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2369"/>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2369"/>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2369"/>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741</v>
      </c>
      <c r="B933" s="638" t="s">
        <v>4528</v>
      </c>
      <c r="R933" s="638" t="s">
        <v>1844</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1015</v>
      </c>
      <c r="C935" s="1204"/>
      <c r="D935" s="1317"/>
      <c r="E935" s="1204"/>
      <c r="F935" s="1204"/>
      <c r="G935" s="1204"/>
      <c r="H935" s="1834">
        <f>'Part VI-Revenues &amp; Expenses'!H173</f>
        <v>4370.3999999999996</v>
      </c>
      <c r="I935" s="1834"/>
      <c r="J935" s="1204"/>
      <c r="K935" s="1532" t="s">
        <v>5107</v>
      </c>
      <c r="L935" s="1204"/>
      <c r="M935" s="1204"/>
      <c r="N935" s="1204"/>
      <c r="O935" s="1533">
        <f>H935/L811</f>
        <v>1.9999999999999997E-2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1444</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3.8">
      <c r="B938" s="1489" t="s">
        <v>2285</v>
      </c>
      <c r="C938" s="1204"/>
      <c r="D938" s="1204"/>
      <c r="E938" s="1204"/>
      <c r="F938" s="1204"/>
      <c r="G938" s="2370">
        <v>1</v>
      </c>
      <c r="H938" s="2370">
        <v>2</v>
      </c>
      <c r="I938" s="2370">
        <v>3</v>
      </c>
      <c r="J938" s="2370">
        <v>4</v>
      </c>
      <c r="K938" s="2370">
        <v>5</v>
      </c>
      <c r="L938" s="2370">
        <v>6</v>
      </c>
      <c r="M938" s="2370">
        <v>7</v>
      </c>
      <c r="N938" s="2370">
        <v>8</v>
      </c>
      <c r="O938" s="2370">
        <v>9</v>
      </c>
      <c r="P938" s="2370">
        <v>10</v>
      </c>
      <c r="Q938" s="2371"/>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1016</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740</v>
      </c>
      <c r="C940" s="1317" t="str">
        <f>'Part VI-Revenues &amp; Expenses'!C178</f>
        <v>Asset Management Fees</v>
      </c>
      <c r="D940" s="1317"/>
      <c r="E940" s="1317"/>
      <c r="F940" s="1317"/>
      <c r="G940" s="1835">
        <f>'Part VI-Revenues &amp; Expenses'!G178</f>
        <v>4500</v>
      </c>
      <c r="H940" s="1835">
        <f>'Part VI-Revenues &amp; Expenses'!H178</f>
        <v>4500</v>
      </c>
      <c r="I940" s="1835">
        <f>'Part VI-Revenues &amp; Expenses'!I178</f>
        <v>4500</v>
      </c>
      <c r="J940" s="1835">
        <f>'Part VI-Revenues &amp; Expenses'!J178</f>
        <v>4500</v>
      </c>
      <c r="K940" s="1835">
        <f>'Part VI-Revenues &amp; Expenses'!K178</f>
        <v>4500</v>
      </c>
      <c r="L940" s="1835">
        <f>'Part VI-Revenues &amp; Expenses'!L178</f>
        <v>4500</v>
      </c>
      <c r="M940" s="1835">
        <f>'Part VI-Revenues &amp; Expenses'!M178</f>
        <v>4500</v>
      </c>
      <c r="N940" s="1835">
        <f>'Part VI-Revenues &amp; Expenses'!N178</f>
        <v>4500</v>
      </c>
      <c r="O940" s="1835">
        <f>'Part VI-Revenues &amp; Expenses'!O178</f>
        <v>4500</v>
      </c>
      <c r="P940" s="1835">
        <f>'Part VI-Revenues &amp; Expenses'!P178</f>
        <v>4500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927</v>
      </c>
      <c r="D941" s="1317"/>
      <c r="E941" s="1317"/>
      <c r="F941" s="1317"/>
      <c r="G941" s="1540">
        <f t="shared" ref="G941:P941" si="357">SUM(G939:G940)</f>
        <v>4500</v>
      </c>
      <c r="H941" s="1540">
        <f t="shared" si="357"/>
        <v>4500</v>
      </c>
      <c r="I941" s="1540">
        <f t="shared" si="357"/>
        <v>4500</v>
      </c>
      <c r="J941" s="1540">
        <f t="shared" si="357"/>
        <v>4500</v>
      </c>
      <c r="K941" s="1540">
        <f t="shared" si="357"/>
        <v>4500</v>
      </c>
      <c r="L941" s="1540">
        <f t="shared" si="357"/>
        <v>4500</v>
      </c>
      <c r="M941" s="1540">
        <f t="shared" si="357"/>
        <v>4500</v>
      </c>
      <c r="N941" s="1540">
        <f t="shared" si="357"/>
        <v>4500</v>
      </c>
      <c r="O941" s="1540">
        <f t="shared" si="357"/>
        <v>4500</v>
      </c>
      <c r="P941" s="1540">
        <f t="shared" si="357"/>
        <v>4500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5108</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532</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740</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5109</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2285</v>
      </c>
      <c r="C947" s="1204"/>
      <c r="D947" s="1204"/>
      <c r="E947" s="1204"/>
      <c r="F947" s="1204"/>
      <c r="G947" s="2370">
        <v>11</v>
      </c>
      <c r="H947" s="2370">
        <v>12</v>
      </c>
      <c r="I947" s="2370">
        <v>13</v>
      </c>
      <c r="J947" s="2370">
        <v>14</v>
      </c>
      <c r="K947" s="2370">
        <v>15</v>
      </c>
      <c r="L947" s="2370">
        <v>16</v>
      </c>
      <c r="M947" s="2370">
        <v>17</v>
      </c>
      <c r="N947" s="2370">
        <v>18</v>
      </c>
      <c r="O947" s="2370">
        <v>19</v>
      </c>
      <c r="P947" s="2370">
        <v>20</v>
      </c>
      <c r="R947" s="1511" t="s">
        <v>2621</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1016</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740</v>
      </c>
      <c r="C949" s="1317" t="str">
        <f>'Part VI-Revenues &amp; Expenses'!C187</f>
        <v>Asset Management Fees</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927</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5108</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532</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740</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5109</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3.8">
      <c r="B956" s="1489" t="s">
        <v>2285</v>
      </c>
      <c r="C956" s="1204"/>
      <c r="D956" s="1204"/>
      <c r="E956" s="1204"/>
      <c r="F956" s="1204"/>
      <c r="G956" s="2370">
        <v>21</v>
      </c>
      <c r="H956" s="2370">
        <v>22</v>
      </c>
      <c r="I956" s="2370">
        <v>23</v>
      </c>
      <c r="J956" s="2370">
        <v>24</v>
      </c>
      <c r="K956" s="2370">
        <v>25</v>
      </c>
      <c r="L956" s="2370">
        <v>26</v>
      </c>
      <c r="M956" s="2370">
        <v>27</v>
      </c>
      <c r="N956" s="2370">
        <v>28</v>
      </c>
      <c r="O956" s="2370">
        <v>29</v>
      </c>
      <c r="P956" s="2370">
        <v>30</v>
      </c>
      <c r="Q956" s="2371"/>
      <c r="R956" s="1511" t="s">
        <v>2622</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1016</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740</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927</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5108</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532</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740</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5109</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2285</v>
      </c>
      <c r="C965" s="1204"/>
      <c r="D965" s="1204"/>
      <c r="E965" s="1204"/>
      <c r="F965" s="1204"/>
      <c r="G965" s="2370">
        <v>31</v>
      </c>
      <c r="H965" s="2370">
        <v>32</v>
      </c>
      <c r="I965" s="2370">
        <v>33</v>
      </c>
      <c r="J965" s="2370">
        <v>34</v>
      </c>
      <c r="K965" s="2370">
        <v>35</v>
      </c>
      <c r="L965" s="1204"/>
      <c r="M965" s="1204"/>
      <c r="N965" s="1204"/>
      <c r="O965" s="1204"/>
      <c r="P965" s="1204"/>
      <c r="R965" s="1511" t="s">
        <v>2622</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1016</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740</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927</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5108</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532</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740</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5109</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1791</v>
      </c>
      <c r="B974" s="1630" t="s">
        <v>1018</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1844</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1289</v>
      </c>
      <c r="C976" s="1314"/>
      <c r="D976" s="1314"/>
      <c r="E976" s="1314"/>
      <c r="H976" s="1314"/>
      <c r="I976" s="1314" t="s">
        <v>1376</v>
      </c>
      <c r="J976" s="1314"/>
      <c r="K976" s="1314"/>
      <c r="L976" s="1314"/>
      <c r="M976" s="1314"/>
      <c r="N976" s="1314" t="s">
        <v>1375</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2195</v>
      </c>
      <c r="C977" s="1314"/>
      <c r="D977" s="1314"/>
      <c r="E977" s="1314"/>
      <c r="F977" s="1530">
        <f>'Part VI-Revenues &amp; Expenses'!F215</f>
        <v>15600</v>
      </c>
      <c r="G977" s="1530"/>
      <c r="H977" s="1314"/>
      <c r="I977" s="1314" t="s">
        <v>1377</v>
      </c>
      <c r="J977" s="1314"/>
      <c r="K977" s="1530">
        <f>'Part VI-Revenues &amp; Expenses'!K215</f>
        <v>0</v>
      </c>
      <c r="L977" s="1530"/>
      <c r="M977" s="1314"/>
      <c r="N977" s="1314" t="s">
        <v>928</v>
      </c>
      <c r="O977" s="1314"/>
      <c r="P977" s="1545">
        <f>'Part VI-Revenues &amp; Expenses'!P215</f>
        <v>22000</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1366</v>
      </c>
      <c r="C978" s="1314"/>
      <c r="D978" s="1314"/>
      <c r="E978" s="1314"/>
      <c r="F978" s="1530">
        <f>'Part VI-Revenues &amp; Expenses'!F216</f>
        <v>13728</v>
      </c>
      <c r="G978" s="1530"/>
      <c r="H978" s="1314"/>
      <c r="I978" s="1314" t="s">
        <v>1378</v>
      </c>
      <c r="J978" s="1314"/>
      <c r="K978" s="1530">
        <f>'Part VI-Revenues &amp; Expenses'!K216</f>
        <v>0</v>
      </c>
      <c r="L978" s="1530"/>
      <c r="M978" s="1314"/>
      <c r="N978" s="1314" t="s">
        <v>147</v>
      </c>
      <c r="O978" s="1314"/>
      <c r="P978" s="1545">
        <f>'Part VI-Revenues &amp; Expenses'!P216</f>
        <v>15000</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1238</v>
      </c>
      <c r="C979" s="1314"/>
      <c r="D979" s="1314"/>
      <c r="E979" s="1314"/>
      <c r="F979" s="1530">
        <f>'Part VI-Revenues &amp; Expenses'!F217</f>
        <v>0</v>
      </c>
      <c r="G979" s="1530"/>
      <c r="H979" s="1314"/>
      <c r="I979" s="1314"/>
      <c r="J979" s="2372" t="s">
        <v>191</v>
      </c>
      <c r="K979" s="1530">
        <f>SUM(K977:L978)</f>
        <v>0</v>
      </c>
      <c r="L979" s="1530"/>
      <c r="M979" s="1314"/>
      <c r="N979" s="1837" t="str">
        <f>'Part VI-Revenues &amp; Expenses'!N217</f>
        <v>Payroll Taxes, WorkmnsComp, Bond Ins.</v>
      </c>
      <c r="O979" s="1837"/>
      <c r="P979" s="1545">
        <f>'Part VI-Revenues &amp; Expenses'!P217</f>
        <v>4220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Other (describe here)</v>
      </c>
      <c r="C980" s="457"/>
      <c r="D980" s="457"/>
      <c r="E980" s="457"/>
      <c r="F980" s="1530">
        <f>'Part VI-Revenues &amp; Expenses'!F218</f>
        <v>0</v>
      </c>
      <c r="G980" s="1530"/>
      <c r="H980" s="1314"/>
      <c r="I980" s="1314"/>
      <c r="J980" s="1314"/>
      <c r="K980" s="1314"/>
      <c r="L980" s="1314"/>
      <c r="M980" s="1314"/>
      <c r="N980" s="2372" t="s">
        <v>191</v>
      </c>
      <c r="O980" s="1314"/>
      <c r="P980" s="1545">
        <f>SUM(P977:P979)</f>
        <v>41220</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2372" t="s">
        <v>191</v>
      </c>
      <c r="D981" s="1314"/>
      <c r="E981" s="1314"/>
      <c r="F981" s="1530">
        <f>SUM(F977:G980)</f>
        <v>29328</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2372"/>
      <c r="E982" s="1314"/>
      <c r="F982" s="1516"/>
      <c r="G982" s="1516"/>
      <c r="H982" s="1314"/>
      <c r="I982" s="1314"/>
      <c r="J982" s="1516"/>
      <c r="K982" s="1314"/>
      <c r="L982" s="1314"/>
      <c r="M982" s="1314"/>
      <c r="N982" s="1314"/>
      <c r="O982" s="2372"/>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1290</v>
      </c>
      <c r="C983" s="1314"/>
      <c r="D983" s="1546"/>
      <c r="E983" s="1314"/>
      <c r="F983" s="1314"/>
      <c r="G983" s="1314"/>
      <c r="H983" s="1314"/>
      <c r="I983" s="1314" t="s">
        <v>1291</v>
      </c>
      <c r="J983" s="1314"/>
      <c r="K983" s="1314"/>
      <c r="L983" s="1314"/>
      <c r="M983" s="1314"/>
      <c r="N983" s="1314" t="s">
        <v>1379</v>
      </c>
      <c r="O983" s="1314"/>
      <c r="P983" s="1547">
        <f>'Part VI-Revenues &amp; Expenses'!P221</f>
        <v>14510</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1371</v>
      </c>
      <c r="C984" s="1314"/>
      <c r="D984" s="1546"/>
      <c r="E984" s="1314"/>
      <c r="F984" s="1530">
        <f>'Part VI-Revenues &amp; Expenses'!F222</f>
        <v>3000</v>
      </c>
      <c r="G984" s="1530"/>
      <c r="H984" s="1314"/>
      <c r="I984" s="1314" t="s">
        <v>1601</v>
      </c>
      <c r="J984" s="1314"/>
      <c r="K984" s="1530">
        <f>'Part VI-Revenues &amp; Expenses'!K222</f>
        <v>1250</v>
      </c>
      <c r="L984" s="1530"/>
      <c r="M984" s="1314"/>
      <c r="N984" s="1548">
        <f>+P983/(O829*0.93)</f>
        <v>390.05376344086017</v>
      </c>
      <c r="O984" s="1549" t="s">
        <v>2754</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1372</v>
      </c>
      <c r="C985" s="1314"/>
      <c r="D985" s="1546"/>
      <c r="E985" s="1314"/>
      <c r="F985" s="1530">
        <f>'Part VI-Revenues &amp; Expenses'!F223</f>
        <v>1200</v>
      </c>
      <c r="G985" s="1530"/>
      <c r="H985" s="1314"/>
      <c r="I985" s="1314" t="s">
        <v>2048</v>
      </c>
      <c r="J985" s="1314"/>
      <c r="K985" s="1530">
        <f>'Part VI-Revenues &amp; Expenses'!K223</f>
        <v>5200</v>
      </c>
      <c r="L985" s="1530"/>
      <c r="M985" s="1314"/>
      <c r="N985" s="1548">
        <f>+P983/(O829*0.93)/12</f>
        <v>32.50448028673835</v>
      </c>
      <c r="O985" s="1549" t="s">
        <v>2755</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1373</v>
      </c>
      <c r="C986" s="1314"/>
      <c r="D986" s="1546"/>
      <c r="E986" s="1314"/>
      <c r="F986" s="1530">
        <f>'Part VI-Revenues &amp; Expenses'!F224</f>
        <v>500</v>
      </c>
      <c r="G986" s="1530"/>
      <c r="H986" s="1314"/>
      <c r="I986" s="1314" t="s">
        <v>1602</v>
      </c>
      <c r="J986" s="1314"/>
      <c r="K986" s="1530">
        <f>'Part VI-Revenues &amp; Expenses'!K224</f>
        <v>300</v>
      </c>
      <c r="L986" s="1530"/>
      <c r="M986" s="1314"/>
      <c r="N986" s="457" t="s">
        <v>3726</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2340</v>
      </c>
      <c r="C987" s="1314"/>
      <c r="D987" s="1546"/>
      <c r="E987" s="1314"/>
      <c r="F987" s="1530">
        <f>'Part VI-Revenues &amp; Expenses'!F225</f>
        <v>0</v>
      </c>
      <c r="G987" s="1530"/>
      <c r="H987" s="1314"/>
      <c r="I987" s="1837" t="str">
        <f>'Part VI-Revenues &amp; Expenses'!I225</f>
        <v>Internet, computer, software, education</v>
      </c>
      <c r="J987" s="1837"/>
      <c r="K987" s="1530">
        <f>'Part VI-Revenues &amp; Expenses'!K225</f>
        <v>2800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1599</v>
      </c>
      <c r="C988" s="1314"/>
      <c r="D988" s="1546"/>
      <c r="E988" s="1314"/>
      <c r="F988" s="1530">
        <f>'Part VI-Revenues &amp; Expenses'!F226</f>
        <v>800</v>
      </c>
      <c r="G988" s="1530"/>
      <c r="H988" s="1314"/>
      <c r="I988" s="1314"/>
      <c r="J988" s="2372" t="s">
        <v>191</v>
      </c>
      <c r="K988" s="1545">
        <f>SUM(K984:K987)</f>
        <v>9550</v>
      </c>
      <c r="L988" s="1545"/>
      <c r="M988" s="1721" t="str">
        <f>IF(P990="","",IF(P988&lt;P990, "WARNING! OE below required minimum.",""))</f>
        <v/>
      </c>
      <c r="N988" s="1314" t="s">
        <v>2185</v>
      </c>
      <c r="O988" s="1314"/>
      <c r="P988" s="1545">
        <f>F981+F990+F1001+K979+K988+K998+P980+P983</f>
        <v>159133</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Other (describe here)</v>
      </c>
      <c r="C989" s="457"/>
      <c r="D989" s="457"/>
      <c r="E989" s="457"/>
      <c r="F989" s="1530">
        <f>'Part VI-Revenues &amp; Expenses'!F227</f>
        <v>0</v>
      </c>
      <c r="G989" s="1530"/>
      <c r="H989" s="1314"/>
      <c r="I989" s="1314"/>
      <c r="J989" s="1516"/>
      <c r="K989" s="1314"/>
      <c r="L989" s="1314"/>
      <c r="M989" s="1721"/>
      <c r="N989" s="1549" t="s">
        <v>2756</v>
      </c>
      <c r="O989" s="1548">
        <f>+P988/O829</f>
        <v>3978.3249999999998</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2372" t="s">
        <v>191</v>
      </c>
      <c r="D990" s="1314"/>
      <c r="E990" s="1314"/>
      <c r="F990" s="1530">
        <f>SUM(F984:G989)</f>
        <v>5500</v>
      </c>
      <c r="G990" s="1530"/>
      <c r="H990" s="1314"/>
      <c r="I990" s="1314"/>
      <c r="J990" s="1516"/>
      <c r="K990" s="1314"/>
      <c r="L990" s="1314"/>
      <c r="M990" s="1721"/>
      <c r="N990" s="1314"/>
      <c r="O990" s="1549" t="s">
        <v>3727</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2372"/>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ht="13.8">
      <c r="A992" s="1314"/>
      <c r="B992" s="1314" t="s">
        <v>1292</v>
      </c>
      <c r="C992" s="1314"/>
      <c r="D992" s="1546"/>
      <c r="E992" s="1314"/>
      <c r="F992" s="1314"/>
      <c r="G992" s="1314"/>
      <c r="H992" s="1314"/>
      <c r="I992" s="1314" t="s">
        <v>1374</v>
      </c>
      <c r="J992" s="1334" t="s">
        <v>5012</v>
      </c>
      <c r="K992" s="1314"/>
      <c r="L992" s="1314"/>
      <c r="M992" s="1314"/>
      <c r="N992" s="1314" t="s">
        <v>3479</v>
      </c>
      <c r="O992" s="1314"/>
      <c r="P992" s="1838">
        <f>'Part VI-Revenues &amp; Expenses'!P230</f>
        <v>14000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ht="13.8">
      <c r="A993" s="1314"/>
      <c r="B993" s="1314" t="s">
        <v>1603</v>
      </c>
      <c r="C993" s="1314"/>
      <c r="D993" s="1546"/>
      <c r="E993" s="1314"/>
      <c r="F993" s="1530">
        <f>'Part VI-Revenues &amp; Expenses'!F231</f>
        <v>3625</v>
      </c>
      <c r="G993" s="1530"/>
      <c r="H993" s="1314"/>
      <c r="I993" s="1314" t="s">
        <v>1367</v>
      </c>
      <c r="J993" s="1419">
        <f>K993/12/O829</f>
        <v>15</v>
      </c>
      <c r="K993" s="1530">
        <f>'Part VI-Revenues &amp; Expenses'!K231</f>
        <v>7200</v>
      </c>
      <c r="L993" s="1530"/>
      <c r="M993" s="1721" t="str">
        <f>IF(P992&lt;P1001, "WARNING! RR proposed is below the DCA required minimum.","")</f>
        <v/>
      </c>
      <c r="N993" s="457" t="s">
        <v>5011</v>
      </c>
      <c r="O993" s="1314"/>
      <c r="P993" s="1552">
        <f>P992/O1001</f>
        <v>350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ht="13.8">
      <c r="A994" s="1314"/>
      <c r="B994" s="1314" t="s">
        <v>1604</v>
      </c>
      <c r="C994" s="1314"/>
      <c r="D994" s="1546"/>
      <c r="E994" s="1314"/>
      <c r="F994" s="1530">
        <f>'Part VI-Revenues &amp; Expenses'!F232</f>
        <v>9000</v>
      </c>
      <c r="G994" s="1530"/>
      <c r="H994" s="1314"/>
      <c r="I994" s="1314" t="s">
        <v>1368</v>
      </c>
      <c r="J994" s="1419">
        <f>K994/12/O829</f>
        <v>0</v>
      </c>
      <c r="K994" s="1530">
        <f>'Part VI-Revenues &amp; Expenses'!K232</f>
        <v>0</v>
      </c>
      <c r="L994" s="1530"/>
      <c r="M994" s="1721"/>
      <c r="N994" s="1553" t="s">
        <v>3734</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ht="13.8">
      <c r="A995" s="1314"/>
      <c r="B995" s="1314" t="s">
        <v>1605</v>
      </c>
      <c r="C995" s="1314"/>
      <c r="D995" s="1546"/>
      <c r="E995" s="1314"/>
      <c r="F995" s="1530">
        <f>'Part VI-Revenues &amp; Expenses'!F233</f>
        <v>7000</v>
      </c>
      <c r="G995" s="1530"/>
      <c r="H995" s="1314"/>
      <c r="I995" s="1314" t="s">
        <v>2351</v>
      </c>
      <c r="J995" s="1419">
        <f>K995/12/O829</f>
        <v>33.333333333333329</v>
      </c>
      <c r="K995" s="1530">
        <f>'Part VI-Revenues &amp; Expenses'!K233</f>
        <v>16000</v>
      </c>
      <c r="L995" s="1530"/>
      <c r="M995" s="1721"/>
      <c r="N995" s="1554" t="s">
        <v>2713</v>
      </c>
      <c r="O995" s="1555" t="s">
        <v>3846</v>
      </c>
      <c r="P995" s="1555" t="s">
        <v>3436</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c r="A996" s="1314"/>
      <c r="B996" s="1314" t="s">
        <v>1002</v>
      </c>
      <c r="C996" s="1314"/>
      <c r="D996" s="1546"/>
      <c r="E996" s="1314"/>
      <c r="F996" s="1530">
        <f>'Part VI-Revenues &amp; Expenses'!F234</f>
        <v>3800</v>
      </c>
      <c r="G996" s="1530"/>
      <c r="H996" s="1314"/>
      <c r="I996" s="1314" t="s">
        <v>1370</v>
      </c>
      <c r="J996" s="1314"/>
      <c r="K996" s="1530">
        <f>'Part VI-Revenues &amp; Expenses'!K234</f>
        <v>3000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1003</v>
      </c>
      <c r="C997" s="1314"/>
      <c r="D997" s="1546"/>
      <c r="E997" s="1314"/>
      <c r="F997" s="1530">
        <f>'Part VI-Revenues &amp; Expenses'!F235</f>
        <v>5200</v>
      </c>
      <c r="G997" s="1530"/>
      <c r="H997" s="1314"/>
      <c r="I997" s="1837" t="str">
        <f>'Part VI-Revenues &amp; Expenses'!I235</f>
        <v>Other (describe here)</v>
      </c>
      <c r="J997" s="1837"/>
      <c r="K997" s="1530">
        <f>'Part VI-Revenues &amp; Expenses'!K235</f>
        <v>0</v>
      </c>
      <c r="L997" s="1530"/>
      <c r="M997" s="1721"/>
      <c r="N997" s="1335" t="s">
        <v>3428</v>
      </c>
      <c r="O997" s="1557" t="str">
        <f>CONCATENATE(SUM(ME810:MI810)," units x $",'DCA Underwriting Assumptions'!$Q$64," =")</f>
        <v>40 units x $350 =</v>
      </c>
      <c r="P997" s="1557">
        <f>SUM(ME810:MI810)*'DCA Underwriting Assumptions'!$Q$64</f>
        <v>14000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1004</v>
      </c>
      <c r="C998" s="1314"/>
      <c r="D998" s="1546"/>
      <c r="E998" s="1314"/>
      <c r="F998" s="1530">
        <f>'Part VI-Revenues &amp; Expenses'!F236</f>
        <v>0</v>
      </c>
      <c r="G998" s="1530"/>
      <c r="H998" s="1314"/>
      <c r="I998" s="1314"/>
      <c r="J998" s="2372" t="s">
        <v>191</v>
      </c>
      <c r="K998" s="1545">
        <f>SUM(K993:K997)</f>
        <v>26200</v>
      </c>
      <c r="L998" s="1545"/>
      <c r="M998" s="1721"/>
      <c r="N998" s="1335" t="s">
        <v>3427</v>
      </c>
      <c r="O998" s="1557" t="str">
        <f>CONCATENATE(SUM(MJ810:MN810)," units x $",'DCA Underwriting Assumptions'!$Q$65," =")</f>
        <v>0 units x $250 =</v>
      </c>
      <c r="P998" s="1557">
        <f>SUM(MJ810:MN810)*'DCA Underwriting Assumptions'!$Q$65</f>
        <v>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867</v>
      </c>
      <c r="C999" s="1314"/>
      <c r="D999" s="1546"/>
      <c r="E999" s="1314"/>
      <c r="F999" s="1530">
        <f>'Part VI-Revenues &amp; Expenses'!F237</f>
        <v>1000</v>
      </c>
      <c r="G999" s="1530"/>
      <c r="H999" s="1314"/>
      <c r="I999" s="1314"/>
      <c r="J999" s="1516"/>
      <c r="K999" s="1314"/>
      <c r="L999" s="1314"/>
      <c r="M999" s="1721"/>
      <c r="N999" s="1335" t="s">
        <v>3431</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Fire Sprinkler Monitoring</v>
      </c>
      <c r="C1000" s="457"/>
      <c r="D1000" s="457"/>
      <c r="E1000" s="457"/>
      <c r="F1000" s="1530">
        <f>'Part VI-Revenues &amp; Expenses'!F238</f>
        <v>3200</v>
      </c>
      <c r="G1000" s="1530"/>
      <c r="H1000" s="1314"/>
      <c r="I1000" s="1314"/>
      <c r="J1000" s="1516"/>
      <c r="K1000" s="1314"/>
      <c r="L1000" s="1314"/>
      <c r="M1000" s="1314"/>
      <c r="N1000" s="1335" t="s">
        <v>3426</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2372" t="s">
        <v>191</v>
      </c>
      <c r="D1001" s="1314"/>
      <c r="E1001" s="1314"/>
      <c r="F1001" s="1530">
        <f>SUM(F993:G1000)</f>
        <v>32825</v>
      </c>
      <c r="G1001" s="1530"/>
      <c r="H1001" s="1314"/>
      <c r="I1001" s="1314"/>
      <c r="J1001" s="1516"/>
      <c r="K1001" s="1314"/>
      <c r="L1001" s="1314"/>
      <c r="M1001" s="1314"/>
      <c r="N1001" s="1511" t="s">
        <v>2716</v>
      </c>
      <c r="O1001" s="1506">
        <f>SUM(ME810:MI810)+SUM(MJ810:MN810)+SUM(MO810:MS810)+O875</f>
        <v>40</v>
      </c>
      <c r="P1001" s="1506">
        <f>SUM(P997:P1000)</f>
        <v>14000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2372"/>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2372"/>
      <c r="D1003" s="1314"/>
      <c r="E1003" s="1314"/>
      <c r="F1003" s="1516"/>
      <c r="G1003" s="1516"/>
      <c r="H1003" s="1314"/>
      <c r="I1003" s="1314"/>
      <c r="J1003" s="1516"/>
      <c r="K1003" s="1314"/>
      <c r="L1003" s="1314"/>
      <c r="M1003" s="1314"/>
      <c r="N1003" s="1314" t="s">
        <v>2186</v>
      </c>
      <c r="O1003" s="1314"/>
      <c r="P1003" s="1545">
        <f>P988+P992</f>
        <v>173133</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2372"/>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1793</v>
      </c>
      <c r="B1005" s="1314" t="s">
        <v>4997</v>
      </c>
      <c r="C1005" s="2372"/>
      <c r="D1005" s="1314"/>
      <c r="E1005" s="1314"/>
      <c r="F1005" s="2373" t="s">
        <v>4998</v>
      </c>
      <c r="G1005" s="1516"/>
      <c r="H1005" s="1545">
        <f>'Part VI-Revenues &amp; Expenses'!H243</f>
        <v>0</v>
      </c>
      <c r="I1005" s="1545"/>
      <c r="J1005" s="1516"/>
      <c r="K1005" s="1624" t="s">
        <v>4999</v>
      </c>
      <c r="L1005" s="1607">
        <f>'Part VI-Revenues &amp; Expenses'!K243</f>
        <v>0</v>
      </c>
      <c r="M1005" s="1314"/>
      <c r="N1005" s="1314" t="s">
        <v>5001</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2372"/>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5074</v>
      </c>
      <c r="C1007" s="2372"/>
      <c r="F1007" s="1516"/>
      <c r="G1007" s="1516"/>
      <c r="I1007" s="1313" t="str">
        <f>'Part VI-Revenues &amp; Expenses'!I245</f>
        <v>No</v>
      </c>
      <c r="J1007" s="2373" t="s">
        <v>5076</v>
      </c>
      <c r="K1007" s="1313" t="str">
        <f>'Part VI-Revenues &amp; Expenses'!K245</f>
        <v>&lt;&lt;Select&gt;&gt;</v>
      </c>
      <c r="L1007" s="1313" t="s">
        <v>5077</v>
      </c>
      <c r="M1007" s="1607" t="str">
        <f>'Part VI-Revenues &amp; Expenses'!L245</f>
        <v>Yrs in period</v>
      </c>
      <c r="N1007" s="1314" t="s">
        <v>5075</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2372"/>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4103</v>
      </c>
      <c r="B1009" s="638" t="s">
        <v>571</v>
      </c>
      <c r="M1009" s="638" t="s">
        <v>4996</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Units currently at 50% AMI will be changed to target 60% AMI once the HOME restrictions have expired July 5, 2020.
       The equity commitment letters provide for an Asset Management Reporting Fee to be payable to the Federal Equity Limited Partner Investor in the amount of $3,000 annually and with the State Investment Limited Partner receiving and annual fee equal to 1/2 of the Federal Equity Asset Management Reporting Fee.  The Uses Tab Part IV under Start Up Reserves provides for a special reserve to be established and held by the property for the purpose of paying the annual Asset Management/Investor Service Reporting Fee.  The reserve is provided  to guarantee the payment to the Asset Manager in the event cashflow is insufficient to pay the estimated fee in any given year.  The Proforma VII Tab and the Part VI-Revenues &amp; Expenses Tab have each been modified to reflect the cash coming into the Operating Budget and coming out of the annual budget on the Operating Proforma at the annual fee rate.   The Annual Reporting Fee will only be required during the actual tax credit compliance years.</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2325" t="s">
        <v>4102</v>
      </c>
      <c r="R1010" s="2325"/>
      <c r="S1010" s="2325"/>
      <c r="T1010" s="2325"/>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2019-049 Woodstone Apartments II, ,  County</v>
      </c>
      <c r="B1016" s="1794"/>
      <c r="C1016" s="1794"/>
      <c r="D1016" s="1794"/>
      <c r="E1016" s="1794"/>
      <c r="F1016" s="1794"/>
      <c r="G1016" s="1794"/>
      <c r="H1016" s="1794"/>
      <c r="I1016" s="1794"/>
      <c r="J1016" s="1794"/>
      <c r="K1016" s="1794"/>
      <c r="L1016" s="1314"/>
      <c r="M1016" s="1314"/>
      <c r="N1016" s="1314" t="str">
        <f>A1016</f>
        <v>PART SEVEN - OPERATING PRO FORMA  -  2019-049 Woodstone Apartments II, ,  County</v>
      </c>
      <c r="O1016" s="1314"/>
    </row>
    <row r="1017" spans="1:318">
      <c r="A1017" s="1794"/>
      <c r="B1017" s="1794"/>
      <c r="C1017" s="1794"/>
      <c r="D1017" s="1794"/>
      <c r="E1017" s="1794"/>
      <c r="F1017" s="1794"/>
      <c r="G1017" s="1794"/>
      <c r="H1017" s="1794"/>
      <c r="I1017" s="1794"/>
      <c r="J1017" s="1794"/>
      <c r="K1017" s="1794"/>
      <c r="N1017" s="1794" t="s">
        <v>1844</v>
      </c>
      <c r="O1017" s="1794"/>
    </row>
    <row r="1018" spans="1:318" ht="13.5" customHeight="1">
      <c r="A1018" s="638" t="s">
        <v>90</v>
      </c>
      <c r="C1018" s="2374" t="str">
        <f>'Part I-Project Information'!$B$6</f>
        <v>April 2019 Final</v>
      </c>
      <c r="D1018" s="638" t="s">
        <v>80</v>
      </c>
      <c r="E1018" s="1313"/>
      <c r="F1018" s="1332" t="s">
        <v>5110</v>
      </c>
      <c r="N1018" s="638" t="str">
        <f>A1018</f>
        <v>I.  OPERATING ASSUMPTIONS</v>
      </c>
      <c r="O1018" s="1794"/>
    </row>
    <row r="1019" spans="1:318">
      <c r="C1019" s="2374"/>
    </row>
    <row r="1020" spans="1:318" ht="12.75" customHeight="1">
      <c r="A1020" s="638" t="s">
        <v>2187</v>
      </c>
      <c r="B1020" s="1559">
        <v>0.02</v>
      </c>
      <c r="C1020" s="2374"/>
      <c r="D1020" s="1521" t="s">
        <v>4533</v>
      </c>
      <c r="E1020" s="1521"/>
      <c r="F1020" s="1521"/>
      <c r="G1020" s="1839">
        <f>'Part VII-Pro Forma'!G5</f>
        <v>0</v>
      </c>
      <c r="H1020" s="1526" t="s">
        <v>1906</v>
      </c>
      <c r="K1020" s="1560" t="str">
        <f>IF(($B$14+$B$15+$B$16+$B$17)=0,"",B1045/($B$14+$B$15+$B$16+$B$17))</f>
        <v/>
      </c>
      <c r="N1020" s="1521">
        <f>'Part VII-Pro Forma'!N5</f>
        <v>0</v>
      </c>
      <c r="O1020" s="1521"/>
    </row>
    <row r="1021" spans="1:318">
      <c r="A1021" s="638" t="s">
        <v>2188</v>
      </c>
      <c r="B1021" s="1559">
        <v>0.03</v>
      </c>
      <c r="C1021" s="2374"/>
      <c r="D1021" s="1521"/>
      <c r="E1021" s="1521"/>
      <c r="F1021" s="1521"/>
      <c r="G1021" s="2375">
        <f>IF(OR('Part III-Sources of Funds'!E1020="Yes",'Part III-Sources of Funds'!H1020&gt;0),'DCA Underwriting Assumptions'!$Q$96,0)</f>
        <v>0</v>
      </c>
      <c r="N1021" s="1521">
        <f>'Part VII-Pro Forma'!N6</f>
        <v>0</v>
      </c>
      <c r="O1021" s="1521"/>
    </row>
    <row r="1022" spans="1:318">
      <c r="A1022" s="638" t="s">
        <v>2190</v>
      </c>
      <c r="B1022" s="1559">
        <v>0.03</v>
      </c>
      <c r="C1022" s="2374"/>
      <c r="D1022" s="1314" t="s">
        <v>270</v>
      </c>
      <c r="G1022" s="1562"/>
      <c r="H1022" s="1526" t="s">
        <v>2373</v>
      </c>
      <c r="K1022" s="1560" t="str">
        <f>IF(($B$14+$B$15+$B$16+$B$17)=0,"",-B1036/($B$14+$B$15+$B$16+$B$17))</f>
        <v/>
      </c>
      <c r="N1022" s="1521">
        <f>'Part VII-Pro Forma'!N7</f>
        <v>0</v>
      </c>
      <c r="O1022" s="1521"/>
    </row>
    <row r="1023" spans="1:318" ht="13.8">
      <c r="A1023" s="638" t="s">
        <v>2189</v>
      </c>
      <c r="B1023" s="1559">
        <f>'Part VII-Pro Forma'!B8</f>
        <v>7.0000000000000007E-2</v>
      </c>
      <c r="C1023" s="1334" t="str">
        <f>IF(B1023&lt;0.07, "Must be &gt;= 7%!","")</f>
        <v/>
      </c>
      <c r="D1023" s="1314" t="s">
        <v>2507</v>
      </c>
      <c r="G1023" s="1840" t="str">
        <f>'Part VII-Pro Forma'!G8</f>
        <v>Yes</v>
      </c>
      <c r="H1023" s="1563" t="s">
        <v>1443</v>
      </c>
      <c r="K1023" s="1841">
        <f>'Part VII-Pro Forma'!K8</f>
        <v>14510</v>
      </c>
      <c r="N1023" s="1521">
        <f>'Part VII-Pro Forma'!N8</f>
        <v>0</v>
      </c>
      <c r="O1023" s="1521"/>
    </row>
    <row r="1024" spans="1:318">
      <c r="A1024" s="638" t="s">
        <v>1417</v>
      </c>
      <c r="B1024" s="1559">
        <v>0.02</v>
      </c>
      <c r="D1024" s="1314" t="s">
        <v>1717</v>
      </c>
      <c r="G1024" s="1840" t="str">
        <f>'Part VII-Pro Forma'!G9</f>
        <v>No</v>
      </c>
      <c r="H1024" s="1563" t="s">
        <v>2355</v>
      </c>
      <c r="K1024" s="1842">
        <f>'Part VII-Pro Forma'!K9</f>
        <v>0</v>
      </c>
      <c r="N1024" s="1521">
        <f>'Part VII-Pro Forma'!N9</f>
        <v>0</v>
      </c>
      <c r="O1024" s="1521"/>
    </row>
    <row r="1026" spans="1:15">
      <c r="A1026" s="638" t="s">
        <v>91</v>
      </c>
      <c r="D1026" s="1630"/>
      <c r="N1026" s="638" t="str">
        <f>A1026</f>
        <v>II.  OPERATING PRO FORMA</v>
      </c>
    </row>
    <row r="1028" spans="1:15">
      <c r="A1028" s="638" t="s">
        <v>2479</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2623</v>
      </c>
      <c r="O1028" s="1794"/>
    </row>
    <row r="1029" spans="1:15">
      <c r="A1029" s="638" t="s">
        <v>2403</v>
      </c>
      <c r="B1029" s="1564">
        <f>'Part VII-Pro Forma'!B14</f>
        <v>218520</v>
      </c>
      <c r="C1029" s="1564">
        <f>'Part VII-Pro Forma'!C14</f>
        <v>222890.4</v>
      </c>
      <c r="D1029" s="1564">
        <f>'Part VII-Pro Forma'!D14</f>
        <v>227348.20799999998</v>
      </c>
      <c r="E1029" s="1564">
        <f>'Part VII-Pro Forma'!E14</f>
        <v>231895.17215999999</v>
      </c>
      <c r="F1029" s="1564">
        <f>'Part VII-Pro Forma'!F14</f>
        <v>236533.07560320001</v>
      </c>
      <c r="G1029" s="1564">
        <f>'Part VII-Pro Forma'!G14</f>
        <v>241263.737115264</v>
      </c>
      <c r="H1029" s="1564">
        <f>'Part VII-Pro Forma'!H14</f>
        <v>246089.0118575693</v>
      </c>
      <c r="I1029" s="1564">
        <f>'Part VII-Pro Forma'!I14</f>
        <v>251010.79209472061</v>
      </c>
      <c r="J1029" s="1564">
        <f>'Part VII-Pro Forma'!J14</f>
        <v>256031.00793661506</v>
      </c>
      <c r="K1029" s="1564">
        <f>'Part VII-Pro Forma'!K14</f>
        <v>261151.62809534738</v>
      </c>
      <c r="N1029" s="1521">
        <f>'Part VII-Pro Forma'!N14</f>
        <v>0</v>
      </c>
      <c r="O1029" s="1521"/>
    </row>
    <row r="1030" spans="1:15">
      <c r="A1030" s="638" t="s">
        <v>1015</v>
      </c>
      <c r="B1030" s="1564">
        <f>'Part VII-Pro Forma'!B15</f>
        <v>4370.3999999999996</v>
      </c>
      <c r="C1030" s="1564">
        <f>'Part VII-Pro Forma'!C15</f>
        <v>4457.808</v>
      </c>
      <c r="D1030" s="1564">
        <f>'Part VII-Pro Forma'!D15</f>
        <v>4546.9641599999995</v>
      </c>
      <c r="E1030" s="1564">
        <f>'Part VII-Pro Forma'!E15</f>
        <v>4637.9034431999989</v>
      </c>
      <c r="F1030" s="1564">
        <f>'Part VII-Pro Forma'!F15</f>
        <v>4730.6615120639999</v>
      </c>
      <c r="G1030" s="1564">
        <f>'Part VII-Pro Forma'!G15</f>
        <v>4825.2747423052797</v>
      </c>
      <c r="H1030" s="1564">
        <f>'Part VII-Pro Forma'!H15</f>
        <v>4921.7802371513853</v>
      </c>
      <c r="I1030" s="1564">
        <f>'Part VII-Pro Forma'!I15</f>
        <v>5020.2158418944118</v>
      </c>
      <c r="J1030" s="1564">
        <f>'Part VII-Pro Forma'!J15</f>
        <v>5120.6201587323012</v>
      </c>
      <c r="K1030" s="1564">
        <f>'Part VII-Pro Forma'!K15</f>
        <v>5223.0325619069472</v>
      </c>
      <c r="N1030" s="1521">
        <f>'Part VII-Pro Forma'!N15</f>
        <v>0</v>
      </c>
      <c r="O1030" s="1521"/>
    </row>
    <row r="1031" spans="1:15">
      <c r="A1031" s="638" t="s">
        <v>2404</v>
      </c>
      <c r="B1031" s="1564">
        <f>'Part VII-Pro Forma'!B16</f>
        <v>-15602.328000000001</v>
      </c>
      <c r="C1031" s="1564">
        <f>'Part VII-Pro Forma'!C16</f>
        <v>-15914.37456</v>
      </c>
      <c r="D1031" s="1564">
        <f>'Part VII-Pro Forma'!D16</f>
        <v>-16232.662051200001</v>
      </c>
      <c r="E1031" s="1564">
        <f>'Part VII-Pro Forma'!E16</f>
        <v>-16557.315292224001</v>
      </c>
      <c r="F1031" s="1564">
        <f>'Part VII-Pro Forma'!F16</f>
        <v>-16888.461598068483</v>
      </c>
      <c r="G1031" s="1564">
        <f>'Part VII-Pro Forma'!G16</f>
        <v>-17226.23083002985</v>
      </c>
      <c r="H1031" s="1564">
        <f>'Part VII-Pro Forma'!H16</f>
        <v>-17570.75544663045</v>
      </c>
      <c r="I1031" s="1564">
        <f>'Part VII-Pro Forma'!I16</f>
        <v>-17922.170555563054</v>
      </c>
      <c r="J1031" s="1564">
        <f>'Part VII-Pro Forma'!J16</f>
        <v>-18280.613966674318</v>
      </c>
      <c r="K1031" s="1564">
        <f>'Part VII-Pro Forma'!K16</f>
        <v>-18646.226246007805</v>
      </c>
      <c r="N1031" s="1521">
        <f>'Part VII-Pro Forma'!N16</f>
        <v>0</v>
      </c>
      <c r="O1031" s="1521"/>
    </row>
    <row r="1032" spans="1:15">
      <c r="A1032" s="638" t="s">
        <v>52</v>
      </c>
      <c r="B1032" s="1564">
        <f>'Part VII-Pro Forma'!B17</f>
        <v>4500</v>
      </c>
      <c r="C1032" s="1564">
        <f>'Part VII-Pro Forma'!C17</f>
        <v>4500</v>
      </c>
      <c r="D1032" s="1564">
        <f>'Part VII-Pro Forma'!D17</f>
        <v>4500</v>
      </c>
      <c r="E1032" s="1564">
        <f>'Part VII-Pro Forma'!E17</f>
        <v>4500</v>
      </c>
      <c r="F1032" s="1564">
        <f>'Part VII-Pro Forma'!F17</f>
        <v>4500</v>
      </c>
      <c r="G1032" s="1564">
        <f>'Part VII-Pro Forma'!G17</f>
        <v>4500</v>
      </c>
      <c r="H1032" s="1564">
        <f>'Part VII-Pro Forma'!H17</f>
        <v>4500</v>
      </c>
      <c r="I1032" s="1564">
        <f>'Part VII-Pro Forma'!I17</f>
        <v>4500</v>
      </c>
      <c r="J1032" s="1564">
        <f>'Part VII-Pro Forma'!J17</f>
        <v>4500</v>
      </c>
      <c r="K1032" s="1564">
        <f>'Part VII-Pro Forma'!K17</f>
        <v>4500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4939</v>
      </c>
      <c r="B1034" s="1564">
        <f>'Part VII-Pro Forma'!B19</f>
        <v>211788.07199999999</v>
      </c>
      <c r="C1034" s="1564">
        <f>'Part VII-Pro Forma'!C19</f>
        <v>215933.83343999999</v>
      </c>
      <c r="D1034" s="1564">
        <f>'Part VII-Pro Forma'!D19</f>
        <v>220162.51010879999</v>
      </c>
      <c r="E1034" s="1564">
        <f>'Part VII-Pro Forma'!E19</f>
        <v>224475.76031097598</v>
      </c>
      <c r="F1034" s="1564">
        <f>'Part VII-Pro Forma'!F19</f>
        <v>228875.27551719552</v>
      </c>
      <c r="G1034" s="1564">
        <f>'Part VII-Pro Forma'!G19</f>
        <v>233362.78102753943</v>
      </c>
      <c r="H1034" s="1564">
        <f>'Part VII-Pro Forma'!H19</f>
        <v>237940.03664809026</v>
      </c>
      <c r="I1034" s="1564">
        <f>'Part VII-Pro Forma'!I19</f>
        <v>242608.83738105197</v>
      </c>
      <c r="J1034" s="1564">
        <f>'Part VII-Pro Forma'!J19</f>
        <v>247371.01412867306</v>
      </c>
      <c r="K1034" s="1564">
        <f>'Part VII-Pro Forma'!K19</f>
        <v>252228.43441124653</v>
      </c>
      <c r="N1034" s="1521">
        <f>'Part VII-Pro Forma'!N19</f>
        <v>0</v>
      </c>
      <c r="O1034" s="1521"/>
    </row>
    <row r="1035" spans="1:15">
      <c r="A1035" s="638" t="s">
        <v>613</v>
      </c>
      <c r="B1035" s="1564">
        <f>'Part VII-Pro Forma'!B20</f>
        <v>-144623</v>
      </c>
      <c r="C1035" s="1564">
        <f>'Part VII-Pro Forma'!C20</f>
        <v>-148961.69</v>
      </c>
      <c r="D1035" s="1564">
        <f>'Part VII-Pro Forma'!D20</f>
        <v>-153430.54069999998</v>
      </c>
      <c r="E1035" s="1564">
        <f>'Part VII-Pro Forma'!E20</f>
        <v>-158033.456921</v>
      </c>
      <c r="F1035" s="1564">
        <f>'Part VII-Pro Forma'!F20</f>
        <v>-162774.46062862998</v>
      </c>
      <c r="G1035" s="1564">
        <f>'Part VII-Pro Forma'!G20</f>
        <v>-167657.69444748887</v>
      </c>
      <c r="H1035" s="1564">
        <f>'Part VII-Pro Forma'!H20</f>
        <v>-172687.42528091357</v>
      </c>
      <c r="I1035" s="1564">
        <f>'Part VII-Pro Forma'!I20</f>
        <v>-177868.04803934097</v>
      </c>
      <c r="J1035" s="1564">
        <f>'Part VII-Pro Forma'!J20</f>
        <v>-183204.08948052119</v>
      </c>
      <c r="K1035" s="1564">
        <f>'Part VII-Pro Forma'!K20</f>
        <v>-188700.21216493682</v>
      </c>
      <c r="N1035" s="1521">
        <f>'Part VII-Pro Forma'!N20</f>
        <v>0</v>
      </c>
      <c r="O1035" s="1521"/>
    </row>
    <row r="1036" spans="1:15">
      <c r="A1036" s="638" t="s">
        <v>1114</v>
      </c>
      <c r="B1036" s="1564">
        <f>'Part VII-Pro Forma'!B21</f>
        <v>-14510</v>
      </c>
      <c r="C1036" s="1564">
        <f>'Part VII-Pro Forma'!C21</f>
        <v>-14945</v>
      </c>
      <c r="D1036" s="1564">
        <f>'Part VII-Pro Forma'!D21</f>
        <v>-15394</v>
      </c>
      <c r="E1036" s="1564">
        <f>'Part VII-Pro Forma'!E21</f>
        <v>-15855</v>
      </c>
      <c r="F1036" s="1564">
        <f>'Part VII-Pro Forma'!F21</f>
        <v>-16331</v>
      </c>
      <c r="G1036" s="1564">
        <f>'Part VII-Pro Forma'!G21</f>
        <v>-16821</v>
      </c>
      <c r="H1036" s="1564">
        <f>'Part VII-Pro Forma'!H21</f>
        <v>-17326</v>
      </c>
      <c r="I1036" s="1564">
        <f>'Part VII-Pro Forma'!I21</f>
        <v>-17845</v>
      </c>
      <c r="J1036" s="1564">
        <f>'Part VII-Pro Forma'!J21</f>
        <v>-18381</v>
      </c>
      <c r="K1036" s="1564">
        <f>'Part VII-Pro Forma'!K21</f>
        <v>-18932</v>
      </c>
      <c r="N1036" s="1521">
        <f>'Part VII-Pro Forma'!N21</f>
        <v>0</v>
      </c>
      <c r="O1036" s="1521"/>
    </row>
    <row r="1037" spans="1:15">
      <c r="A1037" s="638" t="s">
        <v>1201</v>
      </c>
      <c r="B1037" s="1564">
        <f>'Part VII-Pro Forma'!B22</f>
        <v>-14000</v>
      </c>
      <c r="C1037" s="1564">
        <f>'Part VII-Pro Forma'!C22</f>
        <v>-14420</v>
      </c>
      <c r="D1037" s="1564">
        <f>'Part VII-Pro Forma'!D22</f>
        <v>-14852.599999999999</v>
      </c>
      <c r="E1037" s="1564">
        <f>'Part VII-Pro Forma'!E22</f>
        <v>-15298.178</v>
      </c>
      <c r="F1037" s="1564">
        <f>'Part VII-Pro Forma'!F22</f>
        <v>-15757.123339999998</v>
      </c>
      <c r="G1037" s="1564">
        <f>'Part VII-Pro Forma'!G22</f>
        <v>-16229.837040199998</v>
      </c>
      <c r="H1037" s="1564">
        <f>'Part VII-Pro Forma'!H22</f>
        <v>-16716.732151405999</v>
      </c>
      <c r="I1037" s="1564">
        <f>'Part VII-Pro Forma'!I22</f>
        <v>-17218.23411594818</v>
      </c>
      <c r="J1037" s="1564">
        <f>'Part VII-Pro Forma'!J22</f>
        <v>-17734.781139426625</v>
      </c>
      <c r="K1037" s="1564">
        <f>'Part VII-Pro Forma'!K22</f>
        <v>-18266.824573609421</v>
      </c>
      <c r="N1037" s="1521">
        <f>'Part VII-Pro Forma'!N22</f>
        <v>0</v>
      </c>
      <c r="O1037" s="1521"/>
    </row>
    <row r="1038" spans="1:15">
      <c r="A1038" s="638" t="s">
        <v>4938</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1202</v>
      </c>
      <c r="B1039" s="1564">
        <f>SUM(B1034:B1038)</f>
        <v>38655.071999999986</v>
      </c>
      <c r="C1039" s="1564">
        <f t="shared" ref="C1039:J1039" si="364">SUM(C1034:C1038)</f>
        <v>37607.143439999985</v>
      </c>
      <c r="D1039" s="1564">
        <f t="shared" si="364"/>
        <v>36485.369408800012</v>
      </c>
      <c r="E1039" s="1564">
        <f t="shared" si="364"/>
        <v>35289.125389975976</v>
      </c>
      <c r="F1039" s="1564">
        <f t="shared" si="364"/>
        <v>34012.691548565541</v>
      </c>
      <c r="G1039" s="1564">
        <f t="shared" si="364"/>
        <v>32654.249539850556</v>
      </c>
      <c r="H1039" s="1564">
        <f t="shared" si="364"/>
        <v>31209.879215770696</v>
      </c>
      <c r="I1039" s="1564">
        <f t="shared" si="364"/>
        <v>29677.555225762822</v>
      </c>
      <c r="J1039" s="1564">
        <f t="shared" si="364"/>
        <v>28051.143508725254</v>
      </c>
      <c r="K1039" s="1564">
        <f>SUM(K1034:K1038)</f>
        <v>26329.397672700292</v>
      </c>
      <c r="N1039" s="1521">
        <f>'Part VII-Pro Forma'!N24</f>
        <v>0</v>
      </c>
      <c r="O1039" s="1521"/>
    </row>
    <row r="1040" spans="1:15">
      <c r="A1040" s="638" t="s">
        <v>1590</v>
      </c>
      <c r="B1040" s="1564">
        <f>'Part VII-Pro Forma'!B25</f>
        <v>0</v>
      </c>
      <c r="C1040" s="1564">
        <f>'Part VII-Pro Forma'!C25</f>
        <v>0</v>
      </c>
      <c r="D1040" s="1564">
        <f>'Part VII-Pro Forma'!D25</f>
        <v>0</v>
      </c>
      <c r="E1040" s="1564">
        <f>'Part VII-Pro Forma'!E25</f>
        <v>0</v>
      </c>
      <c r="F1040" s="1564">
        <f>'Part VII-Pro Forma'!F25</f>
        <v>0</v>
      </c>
      <c r="G1040" s="1564">
        <f>'Part VII-Pro Forma'!G25</f>
        <v>0</v>
      </c>
      <c r="H1040" s="1564">
        <f>'Part VII-Pro Forma'!H25</f>
        <v>0</v>
      </c>
      <c r="I1040" s="1564">
        <f>'Part VII-Pro Forma'!I25</f>
        <v>0</v>
      </c>
      <c r="J1040" s="1564">
        <f>'Part VII-Pro Forma'!J25</f>
        <v>0</v>
      </c>
      <c r="K1040" s="1564">
        <f>'Part VII-Pro Forma'!K25</f>
        <v>0</v>
      </c>
      <c r="N1040" s="1521">
        <f>'Part VII-Pro Forma'!N25</f>
        <v>0</v>
      </c>
      <c r="O1040" s="1521"/>
    </row>
    <row r="1041" spans="1:15">
      <c r="A1041" s="638" t="s">
        <v>1591</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1592</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3849</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762</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1162</v>
      </c>
      <c r="B1045" s="1564">
        <f>'Part VII-Pro Forma'!B30</f>
        <v>-4500</v>
      </c>
      <c r="C1045" s="1564">
        <f>'Part VII-Pro Forma'!C30</f>
        <v>-4500</v>
      </c>
      <c r="D1045" s="1564">
        <f>'Part VII-Pro Forma'!D30</f>
        <v>-4500</v>
      </c>
      <c r="E1045" s="1564">
        <f>'Part VII-Pro Forma'!E30</f>
        <v>-4500</v>
      </c>
      <c r="F1045" s="1564">
        <f>'Part VII-Pro Forma'!F30</f>
        <v>-4500</v>
      </c>
      <c r="G1045" s="1564">
        <f>'Part VII-Pro Forma'!G30</f>
        <v>-4500</v>
      </c>
      <c r="H1045" s="1564">
        <f>'Part VII-Pro Forma'!H30</f>
        <v>-4500</v>
      </c>
      <c r="I1045" s="1564">
        <f>'Part VII-Pro Forma'!I30</f>
        <v>-4500</v>
      </c>
      <c r="J1045" s="1564">
        <f>'Part VII-Pro Forma'!J30</f>
        <v>-4500</v>
      </c>
      <c r="K1045" s="1564">
        <f>'Part VII-Pro Forma'!K30</f>
        <v>-4500</v>
      </c>
      <c r="N1045" s="1521">
        <f>'Part VII-Pro Forma'!N30</f>
        <v>0</v>
      </c>
      <c r="O1045" s="1521"/>
    </row>
    <row r="1046" spans="1:15">
      <c r="A1046" s="638" t="s">
        <v>4081</v>
      </c>
      <c r="B1046" s="1564">
        <f>'Part VII-Pro Forma'!B31</f>
        <v>-637</v>
      </c>
      <c r="C1046" s="1564">
        <f>'Part VII-Pro Forma'!C31</f>
        <v>0</v>
      </c>
      <c r="D1046" s="1564">
        <f>'Part VII-Pro Forma'!D31</f>
        <v>0</v>
      </c>
      <c r="E1046" s="1564">
        <f>'Part VII-Pro Forma'!E31</f>
        <v>0</v>
      </c>
      <c r="F1046" s="1564">
        <f>'Part VII-Pro Forma'!F31</f>
        <v>0</v>
      </c>
      <c r="G1046" s="1564">
        <f>'Part VII-Pro Forma'!G31</f>
        <v>0</v>
      </c>
      <c r="H1046" s="1564">
        <f>'Part VII-Pro Forma'!H31</f>
        <v>0</v>
      </c>
      <c r="I1046" s="1564">
        <f>'Part VII-Pro Forma'!I31</f>
        <v>0</v>
      </c>
      <c r="J1046" s="1564">
        <f>'Part VII-Pro Forma'!J31</f>
        <v>0</v>
      </c>
      <c r="K1046" s="1564">
        <f>'Part VII-Pro Forma'!K31</f>
        <v>0</v>
      </c>
      <c r="N1046" s="1521">
        <f>'Part VII-Pro Forma'!N31</f>
        <v>0</v>
      </c>
      <c r="O1046" s="1521"/>
    </row>
    <row r="1047" spans="1:15">
      <c r="A1047" s="638" t="s">
        <v>1163</v>
      </c>
      <c r="B1047" s="1564">
        <f>'Part VII-Pro Forma'!B32</f>
        <v>33518.071999999986</v>
      </c>
      <c r="C1047" s="1564">
        <f>'Part VII-Pro Forma'!C32</f>
        <v>33107.143439999985</v>
      </c>
      <c r="D1047" s="1564">
        <f>'Part VII-Pro Forma'!D32</f>
        <v>31985.369408800012</v>
      </c>
      <c r="E1047" s="1564">
        <f>'Part VII-Pro Forma'!E32</f>
        <v>30789.125389975976</v>
      </c>
      <c r="F1047" s="1564">
        <f>'Part VII-Pro Forma'!F32</f>
        <v>29512.691548565541</v>
      </c>
      <c r="G1047" s="1564">
        <f>'Part VII-Pro Forma'!G32</f>
        <v>28154.249539850556</v>
      </c>
      <c r="H1047" s="1564">
        <f>'Part VII-Pro Forma'!H32</f>
        <v>26709.879215770696</v>
      </c>
      <c r="I1047" s="1564">
        <f>'Part VII-Pro Forma'!I32</f>
        <v>25177.555225762822</v>
      </c>
      <c r="J1047" s="1564">
        <f>'Part VII-Pro Forma'!J32</f>
        <v>23551.143508725254</v>
      </c>
      <c r="K1047" s="1564">
        <f>'Part VII-Pro Forma'!K32</f>
        <v>21829.397672700292</v>
      </c>
      <c r="N1047" s="1521">
        <f>'Part VII-Pro Forma'!N32</f>
        <v>0</v>
      </c>
      <c r="O1047" s="1521"/>
    </row>
    <row r="1048" spans="1:15">
      <c r="A1048" s="638" t="str">
        <f>IF('Part III-Sources of Funds'!$E$38 = "Neither", "", "DCR Mortgage A")</f>
        <v>DCR Mortgage A</v>
      </c>
      <c r="B1048" s="1565" t="str">
        <f>'Part VII-Pro Forma'!B33</f>
        <v/>
      </c>
      <c r="C1048" s="1565" t="str">
        <f>'Part VII-Pro Forma'!C33</f>
        <v/>
      </c>
      <c r="D1048" s="1565" t="str">
        <f>'Part VII-Pro Forma'!D33</f>
        <v/>
      </c>
      <c r="E1048" s="1565" t="str">
        <f>'Part VII-Pro Forma'!E33</f>
        <v/>
      </c>
      <c r="F1048" s="1565" t="str">
        <f>'Part VII-Pro Forma'!F33</f>
        <v/>
      </c>
      <c r="G1048" s="1565" t="str">
        <f>'Part VII-Pro Forma'!G33</f>
        <v/>
      </c>
      <c r="H1048" s="1565" t="str">
        <f>'Part VII-Pro Forma'!H33</f>
        <v/>
      </c>
      <c r="I1048" s="1565" t="str">
        <f>'Part VII-Pro Forma'!I33</f>
        <v/>
      </c>
      <c r="J1048" s="1565" t="str">
        <f>'Part VII-Pro Forma'!J33</f>
        <v/>
      </c>
      <c r="K1048" s="1565" t="str">
        <f>'Part VII-Pro Forma'!K33</f>
        <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782</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3710</v>
      </c>
      <c r="B1052" s="1565" t="str">
        <f>'Part VII-Pro Forma'!B37</f>
        <v/>
      </c>
      <c r="C1052" s="1565" t="str">
        <f>'Part VII-Pro Forma'!C37</f>
        <v/>
      </c>
      <c r="D1052" s="1565" t="str">
        <f>'Part VII-Pro Forma'!D37</f>
        <v/>
      </c>
      <c r="E1052" s="1565" t="str">
        <f>'Part VII-Pro Forma'!E37</f>
        <v/>
      </c>
      <c r="F1052" s="1565" t="str">
        <f>'Part VII-Pro Forma'!F37</f>
        <v/>
      </c>
      <c r="G1052" s="1565" t="str">
        <f>'Part VII-Pro Forma'!G37</f>
        <v/>
      </c>
      <c r="H1052" s="1565" t="str">
        <f>'Part VII-Pro Forma'!H37</f>
        <v/>
      </c>
      <c r="I1052" s="1565" t="str">
        <f>'Part VII-Pro Forma'!I37</f>
        <v/>
      </c>
      <c r="J1052" s="1565" t="str">
        <f>'Part VII-Pro Forma'!J37</f>
        <v/>
      </c>
      <c r="K1052" s="1565" t="str">
        <f>'Part VII-Pro Forma'!K37</f>
        <v/>
      </c>
      <c r="N1052" s="1521">
        <f>'Part VII-Pro Forma'!N37</f>
        <v>0</v>
      </c>
      <c r="O1052" s="1521"/>
    </row>
    <row r="1053" spans="1:15">
      <c r="A1053" s="638" t="s">
        <v>769</v>
      </c>
      <c r="B1053" s="1566">
        <f>'Part VII-Pro Forma'!B38</f>
        <v>1.2232680771430056</v>
      </c>
      <c r="C1053" s="1566">
        <f>'Part VII-Pro Forma'!C38</f>
        <v>1.2108890342774825</v>
      </c>
      <c r="D1053" s="1566">
        <f>'Part VII-Pro Forma'!D38</f>
        <v>1.1986385963422177</v>
      </c>
      <c r="E1053" s="1566">
        <f>'Part VII-Pro Forma'!E38</f>
        <v>1.1865307525804447</v>
      </c>
      <c r="F1053" s="1566">
        <f>'Part VII-Pro Forma'!F38</f>
        <v>1.1745470621186112</v>
      </c>
      <c r="G1053" s="1566">
        <f>'Part VII-Pro Forma'!G38</f>
        <v>1.162694875488407</v>
      </c>
      <c r="H1053" s="1566">
        <f>'Part VII-Pro Forma'!H38</f>
        <v>1.1509691648447002</v>
      </c>
      <c r="I1053" s="1566">
        <f>'Part VII-Pro Forma'!I38</f>
        <v>1.1393762106035656</v>
      </c>
      <c r="J1053" s="1566">
        <f>'Part VII-Pro Forma'!J38</f>
        <v>1.1279006021179638</v>
      </c>
      <c r="K1053" s="1566">
        <f>'Part VII-Pro Forma'!K38</f>
        <v>1.1165538288822972</v>
      </c>
      <c r="N1053" s="1521">
        <f>'Part VII-Pro Forma'!N38</f>
        <v>0</v>
      </c>
      <c r="O1053" s="1521"/>
    </row>
    <row r="1054" spans="1:15">
      <c r="A1054" s="638" t="s">
        <v>2616</v>
      </c>
      <c r="B1054" s="1564" t="str">
        <f>'Part VII-Pro Forma'!B39</f>
        <v/>
      </c>
      <c r="C1054" s="1564" t="str">
        <f>'Part VII-Pro Forma'!C39</f>
        <v/>
      </c>
      <c r="D1054" s="1564" t="str">
        <f>'Part VII-Pro Forma'!D39</f>
        <v/>
      </c>
      <c r="E1054" s="1564" t="str">
        <f>'Part VII-Pro Forma'!E39</f>
        <v/>
      </c>
      <c r="F1054" s="1564" t="str">
        <f>'Part VII-Pro Forma'!F39</f>
        <v/>
      </c>
      <c r="G1054" s="1564" t="str">
        <f>'Part VII-Pro Forma'!G39</f>
        <v/>
      </c>
      <c r="H1054" s="1564" t="str">
        <f>'Part VII-Pro Forma'!H39</f>
        <v/>
      </c>
      <c r="I1054" s="1564" t="str">
        <f>'Part VII-Pro Forma'!I39</f>
        <v/>
      </c>
      <c r="J1054" s="1564" t="str">
        <f>'Part VII-Pro Forma'!J39</f>
        <v/>
      </c>
      <c r="K1054" s="1564" t="str">
        <f>'Part VII-Pro Forma'!K39</f>
        <v/>
      </c>
      <c r="N1054" s="1521">
        <f>'Part VII-Pro Forma'!N39</f>
        <v>0</v>
      </c>
      <c r="O1054" s="1521"/>
    </row>
    <row r="1055" spans="1:15">
      <c r="A1055" s="638" t="s">
        <v>2617</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2618</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783</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4082</v>
      </c>
      <c r="B1058" s="1564">
        <f>'Part VII-Pro Forma'!B43</f>
        <v>0</v>
      </c>
      <c r="C1058" s="1564">
        <f>'Part VII-Pro Forma'!C43</f>
        <v>0</v>
      </c>
      <c r="D1058" s="1564">
        <f>'Part VII-Pro Forma'!D43</f>
        <v>0</v>
      </c>
      <c r="E1058" s="1564">
        <f>'Part VII-Pro Forma'!E43</f>
        <v>0</v>
      </c>
      <c r="F1058" s="1564">
        <f>'Part VII-Pro Forma'!F43</f>
        <v>0</v>
      </c>
      <c r="G1058" s="1564">
        <f>'Part VII-Pro Forma'!G43</f>
        <v>0</v>
      </c>
      <c r="H1058" s="1564">
        <f>'Part VII-Pro Forma'!H43</f>
        <v>0</v>
      </c>
      <c r="I1058" s="1564">
        <f>'Part VII-Pro Forma'!I43</f>
        <v>0</v>
      </c>
      <c r="J1058" s="1564">
        <f>'Part VII-Pro Forma'!J43</f>
        <v>0</v>
      </c>
      <c r="K1058" s="1564">
        <f>'Part VII-Pro Forma'!K43</f>
        <v>0</v>
      </c>
      <c r="N1058" s="1521">
        <f>'Part VII-Pro Forma'!N43</f>
        <v>0</v>
      </c>
      <c r="O1058" s="1521"/>
    </row>
    <row r="1059" spans="1:15">
      <c r="B1059" s="1564"/>
      <c r="C1059" s="1564"/>
      <c r="D1059" s="1564"/>
      <c r="E1059" s="1564"/>
      <c r="F1059" s="1564"/>
      <c r="G1059" s="1564"/>
      <c r="H1059" s="1564"/>
      <c r="I1059" s="1564"/>
      <c r="J1059" s="1564"/>
      <c r="K1059" s="1564"/>
    </row>
    <row r="1060" spans="1:15">
      <c r="A1060" s="638" t="s">
        <v>2479</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2621</v>
      </c>
      <c r="O1060" s="1794"/>
    </row>
    <row r="1061" spans="1:15">
      <c r="A1061" s="638" t="s">
        <v>2403</v>
      </c>
      <c r="B1061" s="1564">
        <f>'Part VII-Pro Forma'!B46</f>
        <v>266374.66065725434</v>
      </c>
      <c r="C1061" s="1564">
        <f>'Part VII-Pro Forma'!C46</f>
        <v>271702.15387039934</v>
      </c>
      <c r="D1061" s="1564">
        <f>'Part VII-Pro Forma'!D46</f>
        <v>277136.19694780739</v>
      </c>
      <c r="E1061" s="1564">
        <f>'Part VII-Pro Forma'!E46</f>
        <v>282678.92088676355</v>
      </c>
      <c r="F1061" s="1564">
        <f>'Part VII-Pro Forma'!F46</f>
        <v>288332.49930449884</v>
      </c>
      <c r="G1061" s="1564">
        <f>'Part VII-Pro Forma'!G46</f>
        <v>294099.14929058874</v>
      </c>
      <c r="H1061" s="1564">
        <f>'Part VII-Pro Forma'!H46</f>
        <v>299981.13227640052</v>
      </c>
      <c r="I1061" s="1564">
        <f>'Part VII-Pro Forma'!I46</f>
        <v>305980.75492192857</v>
      </c>
      <c r="J1061" s="1564">
        <f>'Part VII-Pro Forma'!J46</f>
        <v>312100.37002036709</v>
      </c>
      <c r="K1061" s="1564">
        <f>'Part VII-Pro Forma'!K46</f>
        <v>318342.37742077443</v>
      </c>
      <c r="N1061" s="1521">
        <f>'Part VII-Pro Forma'!N46</f>
        <v>0</v>
      </c>
      <c r="O1061" s="1521"/>
    </row>
    <row r="1062" spans="1:15">
      <c r="A1062" s="638" t="s">
        <v>1015</v>
      </c>
      <c r="B1062" s="1564">
        <f>'Part VII-Pro Forma'!B47</f>
        <v>5327.493213145086</v>
      </c>
      <c r="C1062" s="1564">
        <f>'Part VII-Pro Forma'!C47</f>
        <v>5434.0430774079869</v>
      </c>
      <c r="D1062" s="1564">
        <f>'Part VII-Pro Forma'!D47</f>
        <v>5542.7239389561473</v>
      </c>
      <c r="E1062" s="1564">
        <f>'Part VII-Pro Forma'!E47</f>
        <v>5653.5784177352698</v>
      </c>
      <c r="F1062" s="1564">
        <f>'Part VII-Pro Forma'!F47</f>
        <v>5766.6499860899758</v>
      </c>
      <c r="G1062" s="1564">
        <f>'Part VII-Pro Forma'!G47</f>
        <v>5881.9829858117737</v>
      </c>
      <c r="H1062" s="1564">
        <f>'Part VII-Pro Forma'!H47</f>
        <v>5999.6226455280103</v>
      </c>
      <c r="I1062" s="1564">
        <f>'Part VII-Pro Forma'!I47</f>
        <v>6119.6150984385713</v>
      </c>
      <c r="J1062" s="1564">
        <f>'Part VII-Pro Forma'!J47</f>
        <v>6242.0074004073422</v>
      </c>
      <c r="K1062" s="1564">
        <f>'Part VII-Pro Forma'!K47</f>
        <v>6366.8475484154887</v>
      </c>
      <c r="N1062" s="1521">
        <f>'Part VII-Pro Forma'!N47</f>
        <v>0</v>
      </c>
      <c r="O1062" s="1521"/>
    </row>
    <row r="1063" spans="1:15">
      <c r="A1063" s="638" t="s">
        <v>2404</v>
      </c>
      <c r="B1063" s="1564">
        <f>'Part VII-Pro Forma'!B48</f>
        <v>-19019.150770927961</v>
      </c>
      <c r="C1063" s="1564">
        <f>'Part VII-Pro Forma'!C48</f>
        <v>-19399.533786346514</v>
      </c>
      <c r="D1063" s="1564">
        <f>'Part VII-Pro Forma'!D48</f>
        <v>-19787.524462073448</v>
      </c>
      <c r="E1063" s="1564">
        <f>'Part VII-Pro Forma'!E48</f>
        <v>-20183.274951314921</v>
      </c>
      <c r="F1063" s="1564">
        <f>'Part VII-Pro Forma'!F48</f>
        <v>-20586.940450341219</v>
      </c>
      <c r="G1063" s="1564">
        <f>'Part VII-Pro Forma'!G48</f>
        <v>-20998.679259348039</v>
      </c>
      <c r="H1063" s="1564">
        <f>'Part VII-Pro Forma'!H48</f>
        <v>-21418.652844534998</v>
      </c>
      <c r="I1063" s="1564">
        <f>'Part VII-Pro Forma'!I48</f>
        <v>-21847.025901425703</v>
      </c>
      <c r="J1063" s="1564">
        <f>'Part VII-Pro Forma'!J48</f>
        <v>-22283.966419454213</v>
      </c>
      <c r="K1063" s="1564">
        <f>'Part VII-Pro Forma'!K48</f>
        <v>-22729.645747843297</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4939</v>
      </c>
      <c r="B1066" s="1564">
        <f>'Part VII-Pro Forma'!B51</f>
        <v>252683.00309947145</v>
      </c>
      <c r="C1066" s="1564">
        <f>'Part VII-Pro Forma'!C51</f>
        <v>257736.6631614608</v>
      </c>
      <c r="D1066" s="1564">
        <f>'Part VII-Pro Forma'!D51</f>
        <v>262891.39642469009</v>
      </c>
      <c r="E1066" s="1564">
        <f>'Part VII-Pro Forma'!E51</f>
        <v>268149.22435318393</v>
      </c>
      <c r="F1066" s="1564">
        <f>'Part VII-Pro Forma'!F51</f>
        <v>273512.20884024759</v>
      </c>
      <c r="G1066" s="1564">
        <f>'Part VII-Pro Forma'!G51</f>
        <v>278982.4530170525</v>
      </c>
      <c r="H1066" s="1564">
        <f>'Part VII-Pro Forma'!H51</f>
        <v>284562.1020773935</v>
      </c>
      <c r="I1066" s="1564">
        <f>'Part VII-Pro Forma'!I51</f>
        <v>290253.34411894146</v>
      </c>
      <c r="J1066" s="1564">
        <f>'Part VII-Pro Forma'!J51</f>
        <v>296058.41100132023</v>
      </c>
      <c r="K1066" s="1564">
        <f>'Part VII-Pro Forma'!K51</f>
        <v>301979.57922134659</v>
      </c>
      <c r="N1066" s="1521">
        <f>'Part VII-Pro Forma'!N51</f>
        <v>0</v>
      </c>
      <c r="O1066" s="1521"/>
    </row>
    <row r="1067" spans="1:15">
      <c r="A1067" s="638" t="s">
        <v>613</v>
      </c>
      <c r="B1067" s="1564">
        <f>'Part VII-Pro Forma'!B52</f>
        <v>-194361.21852988494</v>
      </c>
      <c r="C1067" s="1564">
        <f>'Part VII-Pro Forma'!C52</f>
        <v>-200192.05508578147</v>
      </c>
      <c r="D1067" s="1564">
        <f>'Part VII-Pro Forma'!D52</f>
        <v>-206197.81673835489</v>
      </c>
      <c r="E1067" s="1564">
        <f>'Part VII-Pro Forma'!E52</f>
        <v>-212383.75124050552</v>
      </c>
      <c r="F1067" s="1564">
        <f>'Part VII-Pro Forma'!F52</f>
        <v>-218755.26377772071</v>
      </c>
      <c r="G1067" s="1564">
        <f>'Part VII-Pro Forma'!G52</f>
        <v>-225317.92169105235</v>
      </c>
      <c r="H1067" s="1564">
        <f>'Part VII-Pro Forma'!H52</f>
        <v>-232077.45934178389</v>
      </c>
      <c r="I1067" s="1564">
        <f>'Part VII-Pro Forma'!I52</f>
        <v>-239039.78312203739</v>
      </c>
      <c r="J1067" s="1564">
        <f>'Part VII-Pro Forma'!J52</f>
        <v>-246210.97661569851</v>
      </c>
      <c r="K1067" s="1564">
        <f>'Part VII-Pro Forma'!K52</f>
        <v>-253597.30591416947</v>
      </c>
      <c r="N1067" s="1521">
        <f>'Part VII-Pro Forma'!N52</f>
        <v>0</v>
      </c>
      <c r="O1067" s="1521"/>
    </row>
    <row r="1068" spans="1:15">
      <c r="A1068" s="638" t="s">
        <v>1114</v>
      </c>
      <c r="B1068" s="1564">
        <f>'Part VII-Pro Forma'!B53</f>
        <v>-19500</v>
      </c>
      <c r="C1068" s="1564">
        <f>'Part VII-Pro Forma'!C53</f>
        <v>-20085</v>
      </c>
      <c r="D1068" s="1564">
        <f>'Part VII-Pro Forma'!D53</f>
        <v>-20688</v>
      </c>
      <c r="E1068" s="1564">
        <f>'Part VII-Pro Forma'!E53</f>
        <v>-21308</v>
      </c>
      <c r="F1068" s="1564">
        <f>'Part VII-Pro Forma'!F53</f>
        <v>-21948</v>
      </c>
      <c r="G1068" s="1564">
        <f>'Part VII-Pro Forma'!G53</f>
        <v>-22606</v>
      </c>
      <c r="H1068" s="1564">
        <f>'Part VII-Pro Forma'!H53</f>
        <v>-23284</v>
      </c>
      <c r="I1068" s="1564">
        <f>'Part VII-Pro Forma'!I53</f>
        <v>-23983</v>
      </c>
      <c r="J1068" s="1564">
        <f>'Part VII-Pro Forma'!J53</f>
        <v>-24702</v>
      </c>
      <c r="K1068" s="1564">
        <f>'Part VII-Pro Forma'!K53</f>
        <v>-25443</v>
      </c>
      <c r="N1068" s="1521">
        <f>'Part VII-Pro Forma'!N53</f>
        <v>0</v>
      </c>
      <c r="O1068" s="1521"/>
    </row>
    <row r="1069" spans="1:15" ht="105.6">
      <c r="A1069" s="638" t="s">
        <v>1201</v>
      </c>
      <c r="B1069" s="1564">
        <f>'Part VII-Pro Forma'!B54</f>
        <v>-18814.829310817706</v>
      </c>
      <c r="C1069" s="1564">
        <f>'Part VII-Pro Forma'!C54</f>
        <v>-19379.274190142238</v>
      </c>
      <c r="D1069" s="1564">
        <f>'Part VII-Pro Forma'!D54</f>
        <v>-19960.6524158465</v>
      </c>
      <c r="E1069" s="1564">
        <f>'Part VII-Pro Forma'!E54</f>
        <v>-20559.471988321893</v>
      </c>
      <c r="F1069" s="1564">
        <f>'Part VII-Pro Forma'!F54</f>
        <v>-21176.256147971555</v>
      </c>
      <c r="G1069" s="1564">
        <f>'Part VII-Pro Forma'!G54</f>
        <v>-21811.543832410702</v>
      </c>
      <c r="H1069" s="1564">
        <f>'Part VII-Pro Forma'!H54</f>
        <v>-22465.890147383019</v>
      </c>
      <c r="I1069" s="1564">
        <f>'Part VII-Pro Forma'!I54</f>
        <v>-23139.866851804509</v>
      </c>
      <c r="J1069" s="1564">
        <f>'Part VII-Pro Forma'!J54</f>
        <v>-23834.062857358644</v>
      </c>
      <c r="K1069" s="1564">
        <f>'Part VII-Pro Forma'!K54</f>
        <v>-24549.084743079406</v>
      </c>
      <c r="N1069" s="1521" t="str">
        <f>'Part VII-Pro Forma'!N54</f>
        <v>Year 20 Replacement Reserve payments will be adjusted to eliminate cashflow deficit</v>
      </c>
      <c r="O1069" s="1521"/>
    </row>
    <row r="1070" spans="1:15">
      <c r="A1070" s="638" t="s">
        <v>4938</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1202</v>
      </c>
      <c r="B1071" s="1564">
        <f>SUM(B1066:B1070)</f>
        <v>20006.955258768805</v>
      </c>
      <c r="C1071" s="1564">
        <f t="shared" ref="C1071:J1071" si="366">SUM(C1066:C1070)</f>
        <v>18080.3338855371</v>
      </c>
      <c r="D1071" s="1564">
        <f t="shared" si="366"/>
        <v>16044.927270488701</v>
      </c>
      <c r="E1071" s="1564">
        <f t="shared" si="366"/>
        <v>13898.001124356524</v>
      </c>
      <c r="F1071" s="1564">
        <f t="shared" si="366"/>
        <v>11632.688914555325</v>
      </c>
      <c r="G1071" s="1564">
        <f t="shared" si="366"/>
        <v>9246.9874935894404</v>
      </c>
      <c r="H1071" s="1564">
        <f t="shared" si="366"/>
        <v>6734.7525882265909</v>
      </c>
      <c r="I1071" s="1564">
        <f t="shared" si="366"/>
        <v>4090.6941450995582</v>
      </c>
      <c r="J1071" s="1564">
        <f t="shared" si="366"/>
        <v>1311.3715282630728</v>
      </c>
      <c r="K1071" s="1564">
        <f>SUM(K1066:K1070)</f>
        <v>-1609.8114359022838</v>
      </c>
      <c r="N1071" s="1521">
        <f>'Part VII-Pro Forma'!N56</f>
        <v>0</v>
      </c>
      <c r="O1071" s="1521"/>
    </row>
    <row r="1072" spans="1:15">
      <c r="A1072" s="638" t="str">
        <f>$A1040</f>
        <v>Mortgage A</v>
      </c>
      <c r="B1072" s="1564">
        <f>IF('Part III-Sources of Funds'!$P$38="", 0,-'Part III-Sources of Funds'!$P$38)</f>
        <v>0</v>
      </c>
      <c r="C1072" s="1564">
        <f>IF('Part III-Sources of Funds'!$P$38="", 0,-'Part III-Sources of Funds'!$P$38)</f>
        <v>0</v>
      </c>
      <c r="D1072" s="1564">
        <f>IF('Part III-Sources of Funds'!$P$38="", 0,-'Part III-Sources of Funds'!$P$38)</f>
        <v>0</v>
      </c>
      <c r="E1072" s="1564">
        <f>IF('Part III-Sources of Funds'!$P$38="", 0,-'Part III-Sources of Funds'!$P$38)</f>
        <v>0</v>
      </c>
      <c r="F1072" s="1564">
        <f>IF('Part III-Sources of Funds'!$P$38="", 0,-'Part III-Sources of Funds'!$P$38)</f>
        <v>0</v>
      </c>
      <c r="G1072" s="1564">
        <f>IF('Part III-Sources of Funds'!$P$38="", 0,-'Part III-Sources of Funds'!$P$38)</f>
        <v>0</v>
      </c>
      <c r="H1072" s="1564">
        <f>IF('Part III-Sources of Funds'!$P$38="", 0,-'Part III-Sources of Funds'!$P$38)</f>
        <v>0</v>
      </c>
      <c r="I1072" s="1564">
        <f>IF('Part III-Sources of Funds'!$P$38="", 0,-'Part III-Sources of Funds'!$P$38)</f>
        <v>0</v>
      </c>
      <c r="J1072" s="1564">
        <f>IF('Part III-Sources of Funds'!$P$38="", 0,-'Part III-Sources of Funds'!$P$38)</f>
        <v>0</v>
      </c>
      <c r="K1072" s="1564">
        <f>IF('Part III-Sources of Funds'!$P$38="", 0,-'Part III-Sources of Funds'!$P$38)</f>
        <v>0</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762</v>
      </c>
      <c r="B1076" s="1564"/>
      <c r="C1076" s="1564"/>
      <c r="D1076" s="1564"/>
      <c r="E1076" s="1564"/>
      <c r="F1076" s="1564"/>
      <c r="G1076" s="1564"/>
      <c r="H1076" s="1564"/>
      <c r="I1076" s="1564"/>
      <c r="J1076" s="1564"/>
      <c r="K1076" s="1564"/>
      <c r="N1076" s="1521">
        <f>'Part VII-Pro Forma'!N61</f>
        <v>0</v>
      </c>
      <c r="O1076" s="1521"/>
    </row>
    <row r="1077" spans="1:15">
      <c r="A1077" s="638" t="s">
        <v>1162</v>
      </c>
      <c r="B1077" s="1564">
        <f>+K1045</f>
        <v>-4500</v>
      </c>
      <c r="C1077" s="1564">
        <f t="shared" ref="C1077:K1077" si="367">+B1077</f>
        <v>-4500</v>
      </c>
      <c r="D1077" s="1564">
        <f t="shared" si="367"/>
        <v>-4500</v>
      </c>
      <c r="E1077" s="1564">
        <f t="shared" si="367"/>
        <v>-4500</v>
      </c>
      <c r="F1077" s="1564">
        <f t="shared" si="367"/>
        <v>-4500</v>
      </c>
      <c r="G1077" s="1564">
        <f t="shared" si="367"/>
        <v>-4500</v>
      </c>
      <c r="H1077" s="1564">
        <f t="shared" si="367"/>
        <v>-4500</v>
      </c>
      <c r="I1077" s="1564">
        <f t="shared" si="367"/>
        <v>-4500</v>
      </c>
      <c r="J1077" s="1564">
        <f t="shared" si="367"/>
        <v>-4500</v>
      </c>
      <c r="K1077" s="1564">
        <f t="shared" si="367"/>
        <v>-4500</v>
      </c>
      <c r="N1077" s="1521">
        <f>'Part VII-Pro Forma'!N62</f>
        <v>0</v>
      </c>
      <c r="O1077" s="1521"/>
    </row>
    <row r="1078" spans="1:15">
      <c r="A1078" s="638" t="s">
        <v>4081</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1163</v>
      </c>
      <c r="B1079" s="1564">
        <f>'Part VII-Pro Forma'!B64</f>
        <v>20006.955258768805</v>
      </c>
      <c r="C1079" s="1564">
        <f>'Part VII-Pro Forma'!C64</f>
        <v>18080.3338855371</v>
      </c>
      <c r="D1079" s="1564">
        <f>'Part VII-Pro Forma'!D64</f>
        <v>16044.927270488701</v>
      </c>
      <c r="E1079" s="1564">
        <f>'Part VII-Pro Forma'!E64</f>
        <v>13898.001124356524</v>
      </c>
      <c r="F1079" s="1564">
        <f>'Part VII-Pro Forma'!F64</f>
        <v>11632.688914555325</v>
      </c>
      <c r="G1079" s="1564">
        <f>'Part VII-Pro Forma'!G64</f>
        <v>9246.9874935894404</v>
      </c>
      <c r="H1079" s="1564">
        <f>'Part VII-Pro Forma'!H64</f>
        <v>6734.7525882265909</v>
      </c>
      <c r="I1079" s="1564">
        <f>'Part VII-Pro Forma'!I64</f>
        <v>4090.6941450995582</v>
      </c>
      <c r="J1079" s="1564">
        <f>'Part VII-Pro Forma'!J64</f>
        <v>1311.3715282630728</v>
      </c>
      <c r="K1079" s="1564">
        <f>'Part VII-Pro Forma'!K64</f>
        <v>-1609.8114359022838</v>
      </c>
      <c r="N1079" s="1521">
        <f>'Part VII-Pro Forma'!N64</f>
        <v>0</v>
      </c>
      <c r="O1079" s="1521"/>
    </row>
    <row r="1080" spans="1:15">
      <c r="A1080" s="638" t="str">
        <f>$A1048</f>
        <v>DCR Mortgage A</v>
      </c>
      <c r="B1080" s="1565" t="str">
        <f>'Part VII-Pro Forma'!B65</f>
        <v/>
      </c>
      <c r="C1080" s="1565" t="str">
        <f>'Part VII-Pro Forma'!C65</f>
        <v/>
      </c>
      <c r="D1080" s="1565" t="str">
        <f>'Part VII-Pro Forma'!D65</f>
        <v/>
      </c>
      <c r="E1080" s="1565" t="str">
        <f>'Part VII-Pro Forma'!E65</f>
        <v/>
      </c>
      <c r="F1080" s="1565" t="str">
        <f>'Part VII-Pro Forma'!F65</f>
        <v/>
      </c>
      <c r="G1080" s="1565" t="str">
        <f>'Part VII-Pro Forma'!G65</f>
        <v/>
      </c>
      <c r="H1080" s="1565" t="str">
        <f>'Part VII-Pro Forma'!H65</f>
        <v/>
      </c>
      <c r="I1080" s="1565" t="str">
        <f>'Part VII-Pro Forma'!I65</f>
        <v/>
      </c>
      <c r="J1080" s="1565" t="str">
        <f>'Part VII-Pro Forma'!J65</f>
        <v/>
      </c>
      <c r="K1080" s="1565" t="str">
        <f>'Part VII-Pro Forma'!K65</f>
        <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3710</v>
      </c>
      <c r="B1084" s="1565" t="str">
        <f>'Part VII-Pro Forma'!B69</f>
        <v/>
      </c>
      <c r="C1084" s="1565" t="str">
        <f>'Part VII-Pro Forma'!C69</f>
        <v/>
      </c>
      <c r="D1084" s="1565" t="str">
        <f>'Part VII-Pro Forma'!D69</f>
        <v/>
      </c>
      <c r="E1084" s="1565" t="str">
        <f>'Part VII-Pro Forma'!E69</f>
        <v/>
      </c>
      <c r="F1084" s="1565" t="str">
        <f>'Part VII-Pro Forma'!F69</f>
        <v/>
      </c>
      <c r="G1084" s="1565" t="str">
        <f>'Part VII-Pro Forma'!G69</f>
        <v/>
      </c>
      <c r="H1084" s="1565" t="str">
        <f>'Part VII-Pro Forma'!H69</f>
        <v/>
      </c>
      <c r="I1084" s="1565" t="str">
        <f>'Part VII-Pro Forma'!I69</f>
        <v/>
      </c>
      <c r="J1084" s="1565" t="str">
        <f>'Part VII-Pro Forma'!J69</f>
        <v/>
      </c>
      <c r="K1084" s="1565" t="str">
        <f>'Part VII-Pro Forma'!K69</f>
        <v/>
      </c>
      <c r="N1084" s="1521">
        <f>'Part VII-Pro Forma'!N69</f>
        <v>0</v>
      </c>
      <c r="O1084" s="1521"/>
    </row>
    <row r="1085" spans="1:15">
      <c r="A1085" s="638" t="s">
        <v>769</v>
      </c>
      <c r="B1085" s="1566">
        <f>'Part VII-Pro Forma'!B70</f>
        <v>1.0859863120610773</v>
      </c>
      <c r="C1085" s="1566">
        <f>'Part VII-Pro Forma'!C70</f>
        <v>1.0754427556332997</v>
      </c>
      <c r="D1085" s="1566">
        <f>'Part VII-Pro Forma'!D70</f>
        <v>1.0649996223379872</v>
      </c>
      <c r="E1085" s="1566">
        <f>'Part VII-Pro Forma'!E70</f>
        <v>1.0546624749641744</v>
      </c>
      <c r="F1085" s="1566">
        <f>'Part VII-Pro Forma'!F70</f>
        <v>1.0444200024417949</v>
      </c>
      <c r="G1085" s="1566">
        <f>'Part VII-Pro Forma'!G70</f>
        <v>1.0342816895644191</v>
      </c>
      <c r="H1085" s="1566">
        <f>'Part VII-Pro Forma'!H70</f>
        <v>1.0242407833519975</v>
      </c>
      <c r="I1085" s="1566">
        <f>'Part VII-Pro Forma'!I70</f>
        <v>1.0142949967281667</v>
      </c>
      <c r="J1085" s="1566">
        <f>'Part VII-Pro Forma'!J70</f>
        <v>1.0044491423242365</v>
      </c>
      <c r="K1085" s="1566">
        <f>'Part VII-Pro Forma'!K70</f>
        <v>0.99469740549095886</v>
      </c>
      <c r="N1085" s="1521">
        <f>'Part VII-Pro Forma'!N70</f>
        <v>0</v>
      </c>
      <c r="O1085" s="1521"/>
    </row>
    <row r="1086" spans="1:15">
      <c r="A1086" s="638" t="s">
        <v>2616</v>
      </c>
      <c r="B1086" s="1564" t="str">
        <f>'Part VII-Pro Forma'!B71</f>
        <v/>
      </c>
      <c r="C1086" s="1564" t="str">
        <f>'Part VII-Pro Forma'!C71</f>
        <v/>
      </c>
      <c r="D1086" s="1564" t="str">
        <f>'Part VII-Pro Forma'!D71</f>
        <v/>
      </c>
      <c r="E1086" s="1564" t="str">
        <f>'Part VII-Pro Forma'!E71</f>
        <v/>
      </c>
      <c r="F1086" s="1564" t="str">
        <f>'Part VII-Pro Forma'!F71</f>
        <v/>
      </c>
      <c r="G1086" s="1564" t="str">
        <f>'Part VII-Pro Forma'!G71</f>
        <v/>
      </c>
      <c r="H1086" s="1564" t="str">
        <f>'Part VII-Pro Forma'!H71</f>
        <v/>
      </c>
      <c r="I1086" s="1564" t="str">
        <f>'Part VII-Pro Forma'!I71</f>
        <v/>
      </c>
      <c r="J1086" s="1564" t="str">
        <f>'Part VII-Pro Forma'!J71</f>
        <v/>
      </c>
      <c r="K1086" s="1564" t="str">
        <f>'Part VII-Pro Forma'!K71</f>
        <v/>
      </c>
      <c r="N1086" s="1521">
        <f>'Part VII-Pro Forma'!N71</f>
        <v>0</v>
      </c>
      <c r="O1086" s="1521"/>
    </row>
    <row r="1087" spans="1:15">
      <c r="A1087" s="638" t="s">
        <v>2617</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2618</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783</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4082</v>
      </c>
      <c r="B1090" s="1564">
        <f>'Part VII-Pro Forma'!B75</f>
        <v>0</v>
      </c>
      <c r="C1090" s="1564">
        <f>'Part VII-Pro Forma'!C75</f>
        <v>0</v>
      </c>
      <c r="D1090" s="1564">
        <f>'Part VII-Pro Forma'!D75</f>
        <v>0</v>
      </c>
      <c r="E1090" s="1564">
        <f>'Part VII-Pro Forma'!E75</f>
        <v>0</v>
      </c>
      <c r="F1090" s="1564">
        <f>'Part VII-Pro Forma'!F75</f>
        <v>0</v>
      </c>
      <c r="G1090" s="1564">
        <f>'Part VII-Pro Forma'!G75</f>
        <v>0</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2479</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2622</v>
      </c>
      <c r="O1092" s="1794"/>
    </row>
    <row r="1093" spans="1:15">
      <c r="A1093" s="638" t="s">
        <v>2403</v>
      </c>
      <c r="B1093" s="1564">
        <f>'Part VII-Pro Forma'!B78</f>
        <v>324709.22496918996</v>
      </c>
      <c r="C1093" s="1564">
        <f>'Part VII-Pro Forma'!C78</f>
        <v>331203.40946857375</v>
      </c>
      <c r="D1093" s="1564">
        <f>'Part VII-Pro Forma'!D78</f>
        <v>337827.47765794524</v>
      </c>
      <c r="E1093" s="1564">
        <f>'Part VII-Pro Forma'!E78</f>
        <v>344584.02721110405</v>
      </c>
      <c r="F1093" s="1564">
        <f>'Part VII-Pro Forma'!F78</f>
        <v>351475.70775532618</v>
      </c>
      <c r="G1093" s="1564">
        <f>'Part VII-Pro Forma'!G78</f>
        <v>358505.22191043268</v>
      </c>
      <c r="H1093" s="1564">
        <f>'Part VII-Pro Forma'!H78</f>
        <v>365675.32634864142</v>
      </c>
      <c r="I1093" s="1564">
        <f>'Part VII-Pro Forma'!I78</f>
        <v>372988.83287561417</v>
      </c>
      <c r="J1093" s="1564">
        <f>'Part VII-Pro Forma'!J78</f>
        <v>380448.60953312652</v>
      </c>
      <c r="K1093" s="1564">
        <f>'Part VII-Pro Forma'!K78</f>
        <v>388057.58172378899</v>
      </c>
      <c r="N1093" s="1521">
        <f>'Part VII-Pro Forma'!N78</f>
        <v>0</v>
      </c>
      <c r="O1093" s="1521"/>
    </row>
    <row r="1094" spans="1:15">
      <c r="A1094" s="638" t="s">
        <v>1015</v>
      </c>
      <c r="B1094" s="1564">
        <f>'Part VII-Pro Forma'!B79</f>
        <v>6494.1844993837985</v>
      </c>
      <c r="C1094" s="1564">
        <f>'Part VII-Pro Forma'!C79</f>
        <v>6624.0681893714745</v>
      </c>
      <c r="D1094" s="1564">
        <f>'Part VII-Pro Forma'!D79</f>
        <v>6756.549553158904</v>
      </c>
      <c r="E1094" s="1564">
        <f>'Part VII-Pro Forma'!E79</f>
        <v>6891.6805442220812</v>
      </c>
      <c r="F1094" s="1564">
        <f>'Part VII-Pro Forma'!F79</f>
        <v>7029.5141551065226</v>
      </c>
      <c r="G1094" s="1564">
        <f>'Part VII-Pro Forma'!G79</f>
        <v>7170.1044382086538</v>
      </c>
      <c r="H1094" s="1564">
        <f>'Part VII-Pro Forma'!H79</f>
        <v>7313.5065269728275</v>
      </c>
      <c r="I1094" s="1564">
        <f>'Part VII-Pro Forma'!I79</f>
        <v>7459.7766575122823</v>
      </c>
      <c r="J1094" s="1564">
        <f>'Part VII-Pro Forma'!J79</f>
        <v>7608.97219066253</v>
      </c>
      <c r="K1094" s="1564">
        <f>'Part VII-Pro Forma'!K79</f>
        <v>7761.1516344757792</v>
      </c>
      <c r="N1094" s="1521">
        <f>'Part VII-Pro Forma'!N79</f>
        <v>0</v>
      </c>
      <c r="O1094" s="1521"/>
    </row>
    <row r="1095" spans="1:15">
      <c r="A1095" s="638" t="s">
        <v>2404</v>
      </c>
      <c r="B1095" s="1564">
        <f>'Part VII-Pro Forma'!B80</f>
        <v>-23184.238662800166</v>
      </c>
      <c r="C1095" s="1564">
        <f>'Part VII-Pro Forma'!C80</f>
        <v>-23647.923436056168</v>
      </c>
      <c r="D1095" s="1564">
        <f>'Part VII-Pro Forma'!D80</f>
        <v>-24120.881904777296</v>
      </c>
      <c r="E1095" s="1564">
        <f>'Part VII-Pro Forma'!E80</f>
        <v>-24603.299542872832</v>
      </c>
      <c r="F1095" s="1564">
        <f>'Part VII-Pro Forma'!F80</f>
        <v>-25095.365533730292</v>
      </c>
      <c r="G1095" s="1564">
        <f>'Part VII-Pro Forma'!G80</f>
        <v>-25597.272844404895</v>
      </c>
      <c r="H1095" s="1564">
        <f>'Part VII-Pro Forma'!H80</f>
        <v>-26109.218301293</v>
      </c>
      <c r="I1095" s="1564">
        <f>'Part VII-Pro Forma'!I80</f>
        <v>-26631.402667318856</v>
      </c>
      <c r="J1095" s="1564">
        <f>'Part VII-Pro Forma'!J80</f>
        <v>-27164.030720665236</v>
      </c>
      <c r="K1095" s="1564">
        <f>'Part VII-Pro Forma'!K80</f>
        <v>-27707.311335078539</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4939</v>
      </c>
      <c r="B1098" s="1564">
        <f>'Part VII-Pro Forma'!B83</f>
        <v>308019.17080577358</v>
      </c>
      <c r="C1098" s="1564">
        <f>'Part VII-Pro Forma'!C83</f>
        <v>314179.55422188906</v>
      </c>
      <c r="D1098" s="1564">
        <f>'Part VII-Pro Forma'!D83</f>
        <v>320463.14530632686</v>
      </c>
      <c r="E1098" s="1564">
        <f>'Part VII-Pro Forma'!E83</f>
        <v>326872.4082124533</v>
      </c>
      <c r="F1098" s="1564">
        <f>'Part VII-Pro Forma'!F83</f>
        <v>333409.85637670237</v>
      </c>
      <c r="G1098" s="1564">
        <f>'Part VII-Pro Forma'!G83</f>
        <v>340078.05350423639</v>
      </c>
      <c r="H1098" s="1564">
        <f>'Part VII-Pro Forma'!H83</f>
        <v>346879.61457432125</v>
      </c>
      <c r="I1098" s="1564">
        <f>'Part VII-Pro Forma'!I83</f>
        <v>353817.20686580759</v>
      </c>
      <c r="J1098" s="1564">
        <f>'Part VII-Pro Forma'!J83</f>
        <v>360893.55100312381</v>
      </c>
      <c r="K1098" s="1564">
        <f>'Part VII-Pro Forma'!K83</f>
        <v>368111.42202318623</v>
      </c>
      <c r="N1098" s="1521">
        <f>'Part VII-Pro Forma'!N83</f>
        <v>0</v>
      </c>
      <c r="O1098" s="1521"/>
    </row>
    <row r="1099" spans="1:15">
      <c r="A1099" s="638" t="s">
        <v>613</v>
      </c>
      <c r="B1099" s="1564">
        <f>'Part VII-Pro Forma'!B84</f>
        <v>-261205.22509159456</v>
      </c>
      <c r="C1099" s="1564">
        <f>'Part VII-Pro Forma'!C84</f>
        <v>-269041.38184434234</v>
      </c>
      <c r="D1099" s="1564">
        <f>'Part VII-Pro Forma'!D84</f>
        <v>-277112.62329967268</v>
      </c>
      <c r="E1099" s="1564">
        <f>'Part VII-Pro Forma'!E84</f>
        <v>-285426.00199866283</v>
      </c>
      <c r="F1099" s="1564">
        <f>'Part VII-Pro Forma'!F84</f>
        <v>-293988.78205862269</v>
      </c>
      <c r="G1099" s="1564">
        <f>'Part VII-Pro Forma'!G84</f>
        <v>-302808.44552038138</v>
      </c>
      <c r="H1099" s="1564">
        <f>'Part VII-Pro Forma'!H84</f>
        <v>-311892.69888599287</v>
      </c>
      <c r="I1099" s="1564">
        <f>'Part VII-Pro Forma'!I84</f>
        <v>-321249.47985257261</v>
      </c>
      <c r="J1099" s="1564">
        <f>'Part VII-Pro Forma'!J84</f>
        <v>-330886.96424814977</v>
      </c>
      <c r="K1099" s="1564">
        <f>'Part VII-Pro Forma'!K84</f>
        <v>-340813.57317559421</v>
      </c>
      <c r="N1099" s="1521">
        <f>'Part VII-Pro Forma'!N84</f>
        <v>0</v>
      </c>
      <c r="O1099" s="1521"/>
    </row>
    <row r="1100" spans="1:15">
      <c r="A1100" s="638" t="s">
        <v>1114</v>
      </c>
      <c r="B1100" s="1564">
        <f>'Part VII-Pro Forma'!B85</f>
        <v>-26207</v>
      </c>
      <c r="C1100" s="1564">
        <f>'Part VII-Pro Forma'!C85</f>
        <v>-26993</v>
      </c>
      <c r="D1100" s="1564">
        <f>'Part VII-Pro Forma'!D85</f>
        <v>-27803</v>
      </c>
      <c r="E1100" s="1564">
        <f>'Part VII-Pro Forma'!E85</f>
        <v>-28637</v>
      </c>
      <c r="F1100" s="1564">
        <f>'Part VII-Pro Forma'!F85</f>
        <v>-29496</v>
      </c>
      <c r="G1100" s="1564">
        <f>'Part VII-Pro Forma'!G85</f>
        <v>-30381</v>
      </c>
      <c r="H1100" s="1564">
        <f>'Part VII-Pro Forma'!H85</f>
        <v>-31292</v>
      </c>
      <c r="I1100" s="1564">
        <f>'Part VII-Pro Forma'!I85</f>
        <v>-32231</v>
      </c>
      <c r="J1100" s="1564">
        <f>'Part VII-Pro Forma'!J85</f>
        <v>-33198</v>
      </c>
      <c r="K1100" s="1564">
        <f>'Part VII-Pro Forma'!K85</f>
        <v>-34194</v>
      </c>
      <c r="N1100" s="1521">
        <f>'Part VII-Pro Forma'!N85</f>
        <v>0</v>
      </c>
      <c r="O1100" s="1521"/>
    </row>
    <row r="1101" spans="1:15">
      <c r="A1101" s="638" t="s">
        <v>1201</v>
      </c>
      <c r="B1101" s="1564">
        <f>'Part VII-Pro Forma'!B86</f>
        <v>-25285.557285371786</v>
      </c>
      <c r="C1101" s="1564">
        <f>'Part VII-Pro Forma'!C86</f>
        <v>-26044.124003932935</v>
      </c>
      <c r="D1101" s="1564">
        <f>'Part VII-Pro Forma'!D86</f>
        <v>-26825.447724050926</v>
      </c>
      <c r="E1101" s="1564">
        <f>'Part VII-Pro Forma'!E86</f>
        <v>-27630.211155772457</v>
      </c>
      <c r="F1101" s="1564">
        <f>'Part VII-Pro Forma'!F86</f>
        <v>-28459.117490445624</v>
      </c>
      <c r="G1101" s="1564">
        <f>'Part VII-Pro Forma'!G86</f>
        <v>-29312.891015158995</v>
      </c>
      <c r="H1101" s="1564">
        <f>'Part VII-Pro Forma'!H86</f>
        <v>-30192.277745613766</v>
      </c>
      <c r="I1101" s="1564">
        <f>'Part VII-Pro Forma'!I86</f>
        <v>-31098.046077982177</v>
      </c>
      <c r="J1101" s="1564">
        <f>'Part VII-Pro Forma'!J86</f>
        <v>-32030.987460321641</v>
      </c>
      <c r="K1101" s="1564">
        <f>'Part VII-Pro Forma'!K86</f>
        <v>-32991.917084131288</v>
      </c>
      <c r="N1101" s="1521">
        <f>'Part VII-Pro Forma'!N86</f>
        <v>0</v>
      </c>
      <c r="O1101" s="1521"/>
    </row>
    <row r="1102" spans="1:15">
      <c r="A1102" s="638" t="s">
        <v>4938</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1202</v>
      </c>
      <c r="B1103" s="1564">
        <f>SUM(B1098:B1102)</f>
        <v>-4678.6115711927669</v>
      </c>
      <c r="C1103" s="1564">
        <f t="shared" ref="C1103:J1103" si="369">SUM(C1098:C1102)</f>
        <v>-7898.9516263862097</v>
      </c>
      <c r="D1103" s="1564">
        <f t="shared" si="369"/>
        <v>-11277.925717396745</v>
      </c>
      <c r="E1103" s="1564">
        <f t="shared" si="369"/>
        <v>-14820.804941981987</v>
      </c>
      <c r="F1103" s="1564">
        <f t="shared" si="369"/>
        <v>-18534.043172365939</v>
      </c>
      <c r="G1103" s="1564">
        <f t="shared" si="369"/>
        <v>-22424.283031303989</v>
      </c>
      <c r="H1103" s="1564">
        <f t="shared" si="369"/>
        <v>-26497.36205728538</v>
      </c>
      <c r="I1103" s="1564">
        <f t="shared" si="369"/>
        <v>-30761.319064747197</v>
      </c>
      <c r="J1103" s="1564">
        <f t="shared" si="369"/>
        <v>-35222.400705347609</v>
      </c>
      <c r="K1103" s="1564">
        <f>SUM(K1098:K1102)</f>
        <v>-39888.068236539271</v>
      </c>
      <c r="N1103" s="1521">
        <f>'Part VII-Pro Forma'!N88</f>
        <v>0</v>
      </c>
      <c r="O1103" s="1521"/>
    </row>
    <row r="1104" spans="1:15">
      <c r="A1104" s="638" t="str">
        <f>$A1072</f>
        <v>Mortgage A</v>
      </c>
      <c r="B1104" s="1564">
        <f>IF('Part III-Sources of Funds'!$P$38="", 0,-'Part III-Sources of Funds'!$P$38)</f>
        <v>0</v>
      </c>
      <c r="C1104" s="1564">
        <f>IF('Part III-Sources of Funds'!$P$38="", 0,-'Part III-Sources of Funds'!$P$38)</f>
        <v>0</v>
      </c>
      <c r="D1104" s="1564">
        <f>IF('Part III-Sources of Funds'!$P$38="", 0,-'Part III-Sources of Funds'!$P$38)</f>
        <v>0</v>
      </c>
      <c r="E1104" s="1564">
        <f>IF('Part III-Sources of Funds'!$P$38="", 0,-'Part III-Sources of Funds'!$P$38)</f>
        <v>0</v>
      </c>
      <c r="F1104" s="1564">
        <f>IF('Part III-Sources of Funds'!$P$38="", 0,-'Part III-Sources of Funds'!$P$38)</f>
        <v>0</v>
      </c>
      <c r="G1104" s="1564">
        <f>IF('Part III-Sources of Funds'!$P$38="", 0,-'Part III-Sources of Funds'!$P$38)</f>
        <v>0</v>
      </c>
      <c r="H1104" s="1564">
        <f>IF('Part III-Sources of Funds'!$P$38="", 0,-'Part III-Sources of Funds'!$P$38)</f>
        <v>0</v>
      </c>
      <c r="I1104" s="1564">
        <f>IF('Part III-Sources of Funds'!$P$38="", 0,-'Part III-Sources of Funds'!$P$38)</f>
        <v>0</v>
      </c>
      <c r="J1104" s="1564">
        <f>IF('Part III-Sources of Funds'!$P$38="", 0,-'Part III-Sources of Funds'!$P$38)</f>
        <v>0</v>
      </c>
      <c r="K1104" s="1564">
        <f>IF('Part III-Sources of Funds'!$P$38="", 0,-'Part III-Sources of Funds'!$P$38)</f>
        <v>0</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762</v>
      </c>
      <c r="B1108" s="1564"/>
      <c r="C1108" s="1564"/>
      <c r="D1108" s="1564"/>
      <c r="E1108" s="1564"/>
      <c r="F1108" s="1564"/>
      <c r="G1108" s="1564"/>
      <c r="H1108" s="1564"/>
      <c r="I1108" s="1564"/>
      <c r="J1108" s="1564"/>
      <c r="K1108" s="1564"/>
      <c r="N1108" s="1521">
        <f>'Part VII-Pro Forma'!N93</f>
        <v>0</v>
      </c>
      <c r="O1108" s="1521"/>
    </row>
    <row r="1109" spans="1:15">
      <c r="A1109" s="638" t="s">
        <v>1162</v>
      </c>
      <c r="B1109" s="1564">
        <f>+K1077</f>
        <v>-4500</v>
      </c>
      <c r="C1109" s="1564">
        <f t="shared" ref="C1109:K1109" si="370">+B1109</f>
        <v>-4500</v>
      </c>
      <c r="D1109" s="1564">
        <f t="shared" si="370"/>
        <v>-4500</v>
      </c>
      <c r="E1109" s="1564">
        <f t="shared" si="370"/>
        <v>-4500</v>
      </c>
      <c r="F1109" s="1564">
        <f t="shared" si="370"/>
        <v>-4500</v>
      </c>
      <c r="G1109" s="1564">
        <f t="shared" si="370"/>
        <v>-4500</v>
      </c>
      <c r="H1109" s="1564">
        <f t="shared" si="370"/>
        <v>-4500</v>
      </c>
      <c r="I1109" s="1564">
        <f t="shared" si="370"/>
        <v>-4500</v>
      </c>
      <c r="J1109" s="1564">
        <f t="shared" si="370"/>
        <v>-4500</v>
      </c>
      <c r="K1109" s="1564">
        <f t="shared" si="370"/>
        <v>-4500</v>
      </c>
      <c r="N1109" s="1521">
        <f>'Part VII-Pro Forma'!N94</f>
        <v>0</v>
      </c>
      <c r="O1109" s="1521"/>
    </row>
    <row r="1110" spans="1:15">
      <c r="A1110" s="638" t="s">
        <v>1163</v>
      </c>
      <c r="B1110" s="1564">
        <f>'Part VII-Pro Forma'!B95</f>
        <v>-4678.6115711927669</v>
      </c>
      <c r="C1110" s="1564">
        <f>'Part VII-Pro Forma'!C95</f>
        <v>-7898.9516263862097</v>
      </c>
      <c r="D1110" s="1564">
        <f>'Part VII-Pro Forma'!D95</f>
        <v>-11277.925717396745</v>
      </c>
      <c r="E1110" s="1564">
        <f>'Part VII-Pro Forma'!E95</f>
        <v>-14820.804941981987</v>
      </c>
      <c r="F1110" s="1564">
        <f>'Part VII-Pro Forma'!F95</f>
        <v>-18534.043172365939</v>
      </c>
      <c r="G1110" s="1564">
        <f>'Part VII-Pro Forma'!G95</f>
        <v>-22424.283031303989</v>
      </c>
      <c r="H1110" s="1564">
        <f>'Part VII-Pro Forma'!H95</f>
        <v>-26497.36205728538</v>
      </c>
      <c r="I1110" s="1564">
        <f>'Part VII-Pro Forma'!I95</f>
        <v>-30761.319064747197</v>
      </c>
      <c r="J1110" s="1564">
        <f>'Part VII-Pro Forma'!J95</f>
        <v>-35222.400705347609</v>
      </c>
      <c r="K1110" s="1564">
        <f>'Part VII-Pro Forma'!K95</f>
        <v>-39888.068236539271</v>
      </c>
      <c r="N1110" s="1521">
        <f>'Part VII-Pro Forma'!N95</f>
        <v>0</v>
      </c>
      <c r="O1110" s="1521"/>
    </row>
    <row r="1111" spans="1:15">
      <c r="A1111" s="638" t="str">
        <f>$A1080</f>
        <v>DCR Mortgage A</v>
      </c>
      <c r="B1111" s="1565" t="str">
        <f>'Part VII-Pro Forma'!B96</f>
        <v/>
      </c>
      <c r="C1111" s="1565" t="str">
        <f>'Part VII-Pro Forma'!C96</f>
        <v/>
      </c>
      <c r="D1111" s="1565" t="str">
        <f>'Part VII-Pro Forma'!D96</f>
        <v/>
      </c>
      <c r="E1111" s="1565" t="str">
        <f>'Part VII-Pro Forma'!E96</f>
        <v/>
      </c>
      <c r="F1111" s="1565" t="str">
        <f>'Part VII-Pro Forma'!F96</f>
        <v/>
      </c>
      <c r="G1111" s="1565" t="str">
        <f>'Part VII-Pro Forma'!G96</f>
        <v/>
      </c>
      <c r="H1111" s="1565" t="str">
        <f>'Part VII-Pro Forma'!H96</f>
        <v/>
      </c>
      <c r="I1111" s="1565" t="str">
        <f>'Part VII-Pro Forma'!I96</f>
        <v/>
      </c>
      <c r="J1111" s="1565" t="str">
        <f>'Part VII-Pro Forma'!J96</f>
        <v/>
      </c>
      <c r="K1111" s="1565" t="str">
        <f>'Part VII-Pro Forma'!K96</f>
        <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3710</v>
      </c>
      <c r="B1115" s="1565" t="str">
        <f>'Part VII-Pro Forma'!B100</f>
        <v/>
      </c>
      <c r="C1115" s="1565" t="str">
        <f>'Part VII-Pro Forma'!C100</f>
        <v/>
      </c>
      <c r="D1115" s="1565" t="str">
        <f>'Part VII-Pro Forma'!D100</f>
        <v/>
      </c>
      <c r="E1115" s="1565" t="str">
        <f>'Part VII-Pro Forma'!E100</f>
        <v/>
      </c>
      <c r="F1115" s="1565" t="str">
        <f>'Part VII-Pro Forma'!F100</f>
        <v/>
      </c>
      <c r="G1115" s="1565" t="str">
        <f>'Part VII-Pro Forma'!G100</f>
        <v/>
      </c>
      <c r="H1115" s="1565" t="str">
        <f>'Part VII-Pro Forma'!H100</f>
        <v/>
      </c>
      <c r="I1115" s="1565" t="str">
        <f>'Part VII-Pro Forma'!I100</f>
        <v/>
      </c>
      <c r="J1115" s="1565" t="str">
        <f>'Part VII-Pro Forma'!J100</f>
        <v/>
      </c>
      <c r="K1115" s="1565" t="str">
        <f>'Part VII-Pro Forma'!K100</f>
        <v/>
      </c>
      <c r="N1115" s="1521">
        <f>'Part VII-Pro Forma'!N100</f>
        <v>0</v>
      </c>
      <c r="O1115" s="1521"/>
    </row>
    <row r="1116" spans="1:15">
      <c r="A1116" s="638" t="s">
        <v>769</v>
      </c>
      <c r="B1116" s="1566">
        <f>'Part VII-Pro Forma'!B101</f>
        <v>0.9850379125312998</v>
      </c>
      <c r="C1116" s="1566">
        <f>'Part VII-Pro Forma'!C101</f>
        <v>0.9754750736762694</v>
      </c>
      <c r="D1116" s="1566">
        <f>'Part VII-Pro Forma'!D101</f>
        <v>0.96600383038918258</v>
      </c>
      <c r="E1116" s="1566">
        <f>'Part VII-Pro Forma'!E101</f>
        <v>0.95662540439372612</v>
      </c>
      <c r="F1116" s="1566">
        <f>'Part VII-Pro Forma'!F101</f>
        <v>0.94733807519859592</v>
      </c>
      <c r="G1116" s="1566">
        <f>'Part VII-Pro Forma'!G101</f>
        <v>0.93814030760294009</v>
      </c>
      <c r="H1116" s="1566">
        <f>'Part VII-Pro Forma'!H101</f>
        <v>0.92903321919758042</v>
      </c>
      <c r="I1116" s="1566">
        <f>'Part VII-Pro Forma'!I101</f>
        <v>0.92001290506193811</v>
      </c>
      <c r="J1116" s="1566">
        <f>'Part VII-Pro Forma'!J101</f>
        <v>0.91108057993264013</v>
      </c>
      <c r="K1116" s="1566">
        <f>'Part VII-Pro Forma'!K101</f>
        <v>0.90223500472721863</v>
      </c>
      <c r="N1116" s="1521">
        <f>'Part VII-Pro Forma'!N101</f>
        <v>0</v>
      </c>
      <c r="O1116" s="1521"/>
    </row>
    <row r="1117" spans="1:15">
      <c r="A1117" s="638" t="s">
        <v>2616</v>
      </c>
      <c r="B1117" s="1564" t="str">
        <f>'Part VII-Pro Forma'!B102</f>
        <v/>
      </c>
      <c r="C1117" s="1564" t="str">
        <f>'Part VII-Pro Forma'!C102</f>
        <v/>
      </c>
      <c r="D1117" s="1564" t="str">
        <f>'Part VII-Pro Forma'!D102</f>
        <v/>
      </c>
      <c r="E1117" s="1564" t="str">
        <f>'Part VII-Pro Forma'!E102</f>
        <v/>
      </c>
      <c r="F1117" s="1564" t="str">
        <f>'Part VII-Pro Forma'!F102</f>
        <v/>
      </c>
      <c r="G1117" s="1564" t="str">
        <f>'Part VII-Pro Forma'!G102</f>
        <v/>
      </c>
      <c r="H1117" s="1564" t="str">
        <f>'Part VII-Pro Forma'!H102</f>
        <v/>
      </c>
      <c r="I1117" s="1564" t="str">
        <f>'Part VII-Pro Forma'!I102</f>
        <v/>
      </c>
      <c r="J1117" s="1564" t="str">
        <f>'Part VII-Pro Forma'!J102</f>
        <v/>
      </c>
      <c r="K1117" s="1564" t="str">
        <f>'Part VII-Pro Forma'!K102</f>
        <v/>
      </c>
      <c r="N1117" s="1521">
        <f>'Part VII-Pro Forma'!N102</f>
        <v>0</v>
      </c>
      <c r="O1117" s="1521"/>
    </row>
    <row r="1118" spans="1:15">
      <c r="A1118" s="638" t="s">
        <v>2617</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2618</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783</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2479</v>
      </c>
      <c r="B1122" s="1564">
        <f>K1092+1</f>
        <v>31</v>
      </c>
      <c r="C1122" s="1564">
        <f>B1122+1</f>
        <v>32</v>
      </c>
      <c r="D1122" s="1564">
        <f>C1122+1</f>
        <v>33</v>
      </c>
      <c r="E1122" s="1564">
        <f>D1122+1</f>
        <v>34</v>
      </c>
      <c r="F1122" s="1564">
        <f>E1122+1</f>
        <v>35</v>
      </c>
      <c r="G1122" s="1564"/>
      <c r="H1122" s="1564"/>
      <c r="I1122" s="1564"/>
      <c r="J1122" s="1564"/>
      <c r="K1122" s="1564"/>
      <c r="N1122" s="1794" t="s">
        <v>3700</v>
      </c>
      <c r="O1122" s="1794"/>
    </row>
    <row r="1123" spans="1:15">
      <c r="A1123" s="638" t="s">
        <v>2403</v>
      </c>
      <c r="B1123" s="1564">
        <f>'Part VII-Pro Forma'!B108</f>
        <v>395818.73335826478</v>
      </c>
      <c r="C1123" s="1564">
        <f>'Part VII-Pro Forma'!C108</f>
        <v>403735.10802543</v>
      </c>
      <c r="D1123" s="1564">
        <f>'Part VII-Pro Forma'!D108</f>
        <v>411809.81018593867</v>
      </c>
      <c r="E1123" s="1564">
        <f>'Part VII-Pro Forma'!E108</f>
        <v>420046.0063896575</v>
      </c>
      <c r="F1123" s="1564">
        <f>'Part VII-Pro Forma'!F108</f>
        <v>428446.9265174506</v>
      </c>
      <c r="G1123" s="1564"/>
      <c r="H1123" s="1564"/>
      <c r="I1123" s="1564"/>
      <c r="J1123" s="1564"/>
      <c r="K1123" s="1564"/>
      <c r="N1123" s="1521">
        <f>'Part VII-Pro Forma'!N108</f>
        <v>0</v>
      </c>
      <c r="O1123" s="1521"/>
    </row>
    <row r="1124" spans="1:15">
      <c r="A1124" s="638" t="s">
        <v>1015</v>
      </c>
      <c r="B1124" s="1564">
        <f>'Part VII-Pro Forma'!B109</f>
        <v>7916.3746671652953</v>
      </c>
      <c r="C1124" s="1564">
        <f>'Part VII-Pro Forma'!C109</f>
        <v>8074.7021605085993</v>
      </c>
      <c r="D1124" s="1564">
        <f>'Part VII-Pro Forma'!D109</f>
        <v>8236.1962037187732</v>
      </c>
      <c r="E1124" s="1564">
        <f>'Part VII-Pro Forma'!E109</f>
        <v>8400.9201277931497</v>
      </c>
      <c r="F1124" s="1564">
        <f>'Part VII-Pro Forma'!F109</f>
        <v>8568.9385303490108</v>
      </c>
      <c r="G1124" s="1564"/>
      <c r="H1124" s="1564"/>
      <c r="I1124" s="1564"/>
      <c r="J1124" s="1564"/>
      <c r="K1124" s="1564"/>
      <c r="N1124" s="1521">
        <f>'Part VII-Pro Forma'!N109</f>
        <v>0</v>
      </c>
      <c r="O1124" s="1521"/>
    </row>
    <row r="1125" spans="1:15">
      <c r="A1125" s="638" t="s">
        <v>2404</v>
      </c>
      <c r="B1125" s="1564">
        <f>'Part VII-Pro Forma'!B110</f>
        <v>-28261.457561780106</v>
      </c>
      <c r="C1125" s="1564">
        <f>'Part VII-Pro Forma'!C110</f>
        <v>-28826.686713015704</v>
      </c>
      <c r="D1125" s="1564">
        <f>'Part VII-Pro Forma'!D110</f>
        <v>-29403.220447276024</v>
      </c>
      <c r="E1125" s="1564">
        <f>'Part VII-Pro Forma'!E110</f>
        <v>-29991.284856221548</v>
      </c>
      <c r="F1125" s="1564">
        <f>'Part VII-Pro Forma'!F110</f>
        <v>-30591.110553345974</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4939</v>
      </c>
      <c r="B1128" s="1564">
        <f>'Part VII-Pro Forma'!B113</f>
        <v>375473.65046364994</v>
      </c>
      <c r="C1128" s="1564">
        <f>'Part VII-Pro Forma'!C113</f>
        <v>382983.12347292289</v>
      </c>
      <c r="D1128" s="1564">
        <f>'Part VII-Pro Forma'!D113</f>
        <v>390642.78594238142</v>
      </c>
      <c r="E1128" s="1564">
        <f>'Part VII-Pro Forma'!E113</f>
        <v>398455.64166122914</v>
      </c>
      <c r="F1128" s="1564">
        <f>'Part VII-Pro Forma'!F113</f>
        <v>406424.75449445361</v>
      </c>
      <c r="G1128" s="1564"/>
      <c r="H1128" s="1564"/>
      <c r="I1128" s="1564"/>
      <c r="J1128" s="1564"/>
      <c r="K1128" s="1564"/>
      <c r="N1128" s="1521">
        <f>'Part VII-Pro Forma'!N113</f>
        <v>0</v>
      </c>
      <c r="O1128" s="1521"/>
    </row>
    <row r="1129" spans="1:15">
      <c r="A1129" s="638" t="s">
        <v>613</v>
      </c>
      <c r="B1129" s="1564">
        <f>'Part VII-Pro Forma'!B114</f>
        <v>-351037.98037086206</v>
      </c>
      <c r="C1129" s="1564">
        <f>'Part VII-Pro Forma'!C114</f>
        <v>-361569.11978198797</v>
      </c>
      <c r="D1129" s="1564">
        <f>'Part VII-Pro Forma'!D114</f>
        <v>-372416.19337544753</v>
      </c>
      <c r="E1129" s="1564">
        <f>'Part VII-Pro Forma'!E114</f>
        <v>-383588.67917671101</v>
      </c>
      <c r="F1129" s="1564">
        <f>'Part VII-Pro Forma'!F114</f>
        <v>-395096.33955201227</v>
      </c>
      <c r="G1129" s="1564"/>
      <c r="H1129" s="1564"/>
      <c r="I1129" s="1564"/>
      <c r="J1129" s="1564"/>
      <c r="K1129" s="1564"/>
      <c r="N1129" s="1521">
        <f>'Part VII-Pro Forma'!N114</f>
        <v>0</v>
      </c>
      <c r="O1129" s="1521"/>
    </row>
    <row r="1130" spans="1:15">
      <c r="A1130" s="638" t="s">
        <v>1114</v>
      </c>
      <c r="B1130" s="1564">
        <f>'Part VII-Pro Forma'!B115</f>
        <v>-35220</v>
      </c>
      <c r="C1130" s="1564">
        <f>'Part VII-Pro Forma'!C115</f>
        <v>-36276</v>
      </c>
      <c r="D1130" s="1564">
        <f>'Part VII-Pro Forma'!D115</f>
        <v>-37364</v>
      </c>
      <c r="E1130" s="1564">
        <f>'Part VII-Pro Forma'!E115</f>
        <v>-38485</v>
      </c>
      <c r="F1130" s="1564">
        <f>'Part VII-Pro Forma'!F115</f>
        <v>-39640</v>
      </c>
      <c r="G1130" s="1564"/>
      <c r="H1130" s="1564"/>
      <c r="I1130" s="1564"/>
      <c r="J1130" s="1564"/>
      <c r="K1130" s="1564"/>
      <c r="N1130" s="1521">
        <f>'Part VII-Pro Forma'!N115</f>
        <v>0</v>
      </c>
      <c r="O1130" s="1521"/>
    </row>
    <row r="1131" spans="1:15">
      <c r="A1131" s="638" t="s">
        <v>1201</v>
      </c>
      <c r="B1131" s="1564">
        <f>'Part VII-Pro Forma'!B116</f>
        <v>-33981.674596655226</v>
      </c>
      <c r="C1131" s="1564">
        <f>'Part VII-Pro Forma'!C116</f>
        <v>-35001.124834554888</v>
      </c>
      <c r="D1131" s="1564">
        <f>'Part VII-Pro Forma'!D116</f>
        <v>-36051.158579591531</v>
      </c>
      <c r="E1131" s="1564">
        <f>'Part VII-Pro Forma'!E116</f>
        <v>-37132.693336979275</v>
      </c>
      <c r="F1131" s="1564">
        <f>'Part VII-Pro Forma'!F116</f>
        <v>-38246.674137088652</v>
      </c>
      <c r="G1131" s="1564"/>
      <c r="H1131" s="1564"/>
      <c r="I1131" s="1564"/>
      <c r="J1131" s="1564"/>
      <c r="K1131" s="1564"/>
      <c r="N1131" s="1521">
        <f>'Part VII-Pro Forma'!N116</f>
        <v>0</v>
      </c>
      <c r="O1131" s="1521"/>
    </row>
    <row r="1132" spans="1:15">
      <c r="A1132" s="638" t="s">
        <v>4938</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1202</v>
      </c>
      <c r="B1133" s="1564">
        <f t="shared" ref="B1133:E1133" si="371">SUM(B1128:B1132)</f>
        <v>-44766.004503867342</v>
      </c>
      <c r="C1133" s="1564">
        <f t="shared" si="371"/>
        <v>-49863.121143619974</v>
      </c>
      <c r="D1133" s="1564">
        <f t="shared" si="371"/>
        <v>-55188.56601265764</v>
      </c>
      <c r="E1133" s="1564">
        <f t="shared" si="371"/>
        <v>-60750.730852461151</v>
      </c>
      <c r="F1133" s="1564">
        <f>SUM(F1128:F1132)</f>
        <v>-66558.259194647311</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0</v>
      </c>
      <c r="C1134" s="1564">
        <f>IF('Part III-Sources of Funds'!$P$38="", 0,-'Part III-Sources of Funds'!$P$38)</f>
        <v>0</v>
      </c>
      <c r="D1134" s="1564">
        <f>IF('Part III-Sources of Funds'!$P$38="", 0,-'Part III-Sources of Funds'!$P$38)</f>
        <v>0</v>
      </c>
      <c r="E1134" s="1564">
        <f>IF('Part III-Sources of Funds'!$P$38="", 0,-'Part III-Sources of Funds'!$P$38)</f>
        <v>0</v>
      </c>
      <c r="F1134" s="1564">
        <f>IF('Part III-Sources of Funds'!$P$38="", 0,-'Part III-Sources of Funds'!$P$38)</f>
        <v>0</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762</v>
      </c>
      <c r="B1138" s="1564"/>
      <c r="C1138" s="1564"/>
      <c r="D1138" s="1564"/>
      <c r="E1138" s="1564"/>
      <c r="F1138" s="1564"/>
      <c r="G1138" s="1564"/>
      <c r="H1138" s="1564"/>
      <c r="I1138" s="1564"/>
      <c r="J1138" s="1564"/>
      <c r="K1138" s="1564"/>
      <c r="N1138" s="1521">
        <f>'Part VII-Pro Forma'!N123</f>
        <v>0</v>
      </c>
      <c r="O1138" s="1521"/>
    </row>
    <row r="1139" spans="1:15">
      <c r="A1139" s="638" t="s">
        <v>1162</v>
      </c>
      <c r="B1139" s="1564">
        <f>+K1109</f>
        <v>-4500</v>
      </c>
      <c r="C1139" s="1564">
        <f>+B1139</f>
        <v>-4500</v>
      </c>
      <c r="D1139" s="1564">
        <f>+C1139</f>
        <v>-4500</v>
      </c>
      <c r="E1139" s="1564">
        <f>+D1139</f>
        <v>-4500</v>
      </c>
      <c r="F1139" s="1564">
        <f>+E1139</f>
        <v>-4500</v>
      </c>
      <c r="G1139" s="1564"/>
      <c r="H1139" s="1564"/>
      <c r="I1139" s="1564"/>
      <c r="J1139" s="1564"/>
      <c r="K1139" s="1564"/>
      <c r="N1139" s="1521">
        <f>'Part VII-Pro Forma'!N124</f>
        <v>0</v>
      </c>
      <c r="O1139" s="1521"/>
    </row>
    <row r="1140" spans="1:15">
      <c r="A1140" s="638" t="s">
        <v>1163</v>
      </c>
      <c r="B1140" s="1564">
        <f>'Part VII-Pro Forma'!B125</f>
        <v>-44766.004503867342</v>
      </c>
      <c r="C1140" s="1564">
        <f>'Part VII-Pro Forma'!C125</f>
        <v>-49863.121143619974</v>
      </c>
      <c r="D1140" s="1564">
        <f>'Part VII-Pro Forma'!D125</f>
        <v>-55188.56601265764</v>
      </c>
      <c r="E1140" s="1564">
        <f>'Part VII-Pro Forma'!E125</f>
        <v>-60750.730852461151</v>
      </c>
      <c r="F1140" s="1564">
        <f>'Part VII-Pro Forma'!F125</f>
        <v>-66558.259194647311</v>
      </c>
      <c r="G1140" s="1564"/>
      <c r="H1140" s="1564"/>
      <c r="I1140" s="1564"/>
      <c r="J1140" s="1564"/>
      <c r="K1140" s="1564"/>
      <c r="N1140" s="1521">
        <f>'Part VII-Pro Forma'!N125</f>
        <v>0</v>
      </c>
      <c r="O1140" s="1521"/>
    </row>
    <row r="1141" spans="1:15">
      <c r="A1141" s="638" t="str">
        <f>$A1111</f>
        <v>DCR Mortgage A</v>
      </c>
      <c r="B1141" s="1565" t="str">
        <f>'Part VII-Pro Forma'!B126</f>
        <v/>
      </c>
      <c r="C1141" s="1565" t="str">
        <f>'Part VII-Pro Forma'!C126</f>
        <v/>
      </c>
      <c r="D1141" s="1565" t="str">
        <f>'Part VII-Pro Forma'!D126</f>
        <v/>
      </c>
      <c r="E1141" s="1565" t="str">
        <f>'Part VII-Pro Forma'!E126</f>
        <v/>
      </c>
      <c r="F1141" s="1565" t="str">
        <f>'Part VII-Pro Forma'!F126</f>
        <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3710</v>
      </c>
      <c r="B1145" s="1565" t="str">
        <f>'Part VII-Pro Forma'!B130</f>
        <v/>
      </c>
      <c r="C1145" s="1565" t="str">
        <f>'Part VII-Pro Forma'!C130</f>
        <v/>
      </c>
      <c r="D1145" s="1565" t="str">
        <f>'Part VII-Pro Forma'!D130</f>
        <v/>
      </c>
      <c r="E1145" s="1565" t="str">
        <f>'Part VII-Pro Forma'!E130</f>
        <v/>
      </c>
      <c r="F1145" s="1565" t="str">
        <f>'Part VII-Pro Forma'!F130</f>
        <v/>
      </c>
      <c r="G1145" s="1564"/>
      <c r="H1145" s="1564"/>
      <c r="I1145" s="1564"/>
      <c r="J1145" s="1564"/>
      <c r="K1145" s="1564"/>
      <c r="N1145" s="1521">
        <f>'Part VII-Pro Forma'!N130</f>
        <v>0</v>
      </c>
      <c r="O1145" s="1521"/>
    </row>
    <row r="1146" spans="1:15">
      <c r="A1146" s="638" t="s">
        <v>769</v>
      </c>
      <c r="B1146" s="1566">
        <f>'Part VII-Pro Forma'!B131</f>
        <v>0.89347505887485179</v>
      </c>
      <c r="C1146" s="1566">
        <f>'Part VII-Pro Forma'!C131</f>
        <v>0.88480177022722339</v>
      </c>
      <c r="D1146" s="1566">
        <f>'Part VII-Pro Forma'!D131</f>
        <v>0.8762120120744149</v>
      </c>
      <c r="E1146" s="1566">
        <f>'Part VII-Pro Forma'!E131</f>
        <v>0.86770494816979049</v>
      </c>
      <c r="F1146" s="1566">
        <f>'Part VII-Pro Forma'!F131</f>
        <v>0.85927981075786142</v>
      </c>
      <c r="G1146" s="1564"/>
      <c r="H1146" s="1564"/>
      <c r="I1146" s="1564"/>
      <c r="J1146" s="1564"/>
      <c r="K1146" s="1564"/>
      <c r="N1146" s="1521">
        <f>'Part VII-Pro Forma'!N131</f>
        <v>0</v>
      </c>
      <c r="O1146" s="1521"/>
    </row>
    <row r="1147" spans="1:15">
      <c r="A1147" s="638" t="s">
        <v>2616</v>
      </c>
      <c r="B1147" s="1564" t="str">
        <f>'Part VII-Pro Forma'!B132</f>
        <v/>
      </c>
      <c r="C1147" s="1564" t="str">
        <f>'Part VII-Pro Forma'!C132</f>
        <v/>
      </c>
      <c r="D1147" s="1564" t="str">
        <f>'Part VII-Pro Forma'!D132</f>
        <v/>
      </c>
      <c r="E1147" s="1564" t="str">
        <f>'Part VII-Pro Forma'!E132</f>
        <v/>
      </c>
      <c r="F1147" s="1564" t="str">
        <f>'Part VII-Pro Forma'!F132</f>
        <v/>
      </c>
      <c r="G1147" s="1564"/>
      <c r="H1147" s="1564"/>
      <c r="I1147" s="1564"/>
      <c r="J1147" s="1564"/>
      <c r="K1147" s="1564"/>
      <c r="N1147" s="1521">
        <f>'Part VII-Pro Forma'!N132</f>
        <v>0</v>
      </c>
      <c r="O1147" s="1521"/>
    </row>
    <row r="1148" spans="1:15">
      <c r="A1148" s="638" t="s">
        <v>2617</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2618</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783</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570</v>
      </c>
      <c r="G1152" s="638" t="s">
        <v>1030</v>
      </c>
    </row>
    <row r="1153" spans="1:19">
      <c r="B1153" s="1794"/>
    </row>
    <row r="1154" spans="1:19" ht="15.75" customHeight="1">
      <c r="A1154" s="1391" t="str">
        <f>'Part VII-Pro Forma'!A139</f>
        <v>APPLICANTS: Explain any any debt service payment amounts that deviate from the amount shown in Permanent Sources (Part III)--There are no debt service payments for this property.
    The EGI ratio for the property stays above the requirement at 1.10 through year 15. The rents used in the application are reflective of the proposed rents to be charged at the property currently. The expenses used in the operating budget are similar to the actual expenses that the property has been operating under for the past several years. See the 2016-2017 Financial Statements included in the Feasibility tab of the application. The QAP requires a minimum of $3,500 per unit in operating expenses before Replacement Reserves for Rural Projects located in a MSA. Leesburg is Rural although it is included in the Albany MSA for incomes and rents. The project is currently operating at approximately $4,309-$4,560 in operating expenses per unit with replacement reserves being funded at $200 per unit. The EGI declines over the remainder of the project operating pro forma due to the required annual increase in replacement reserves at $350 per unit with the annual required increase of 3%. The Effective Gross Income ratio over expenses is sufficient to cover the cost of operations through year 15. 
   The targeting shown in the Revenues/Rents Tab reflects the HOME Loan targeting and tax credit targeting currently covering the property.  The HOME Loan affordability period will end approx. July 5, 2020. The tax credit targeting of 100% of the units at 60% will be effective for the property beginning with the rentup of each unit.  The application is intended to meet the requirements of both the HOME affordability period through 7/5/2020 and the future tax credit targeting of 100% @ 60%.
    The equity commitment letters provide for an Asset Management Reporting Fee to be payable to the Federal Equity Limited Partner Investor in the amount of $3,000 annually and with the State Investment Limited Partner receiving and annual fee equal to 1/2 of the Federal Equity Asset Management Reporting Fee.  The Uses Tab Part IV under Start Up Reserves provides for a special reserve to be established and held by the property for the purpose of paying the annual Asset Management/Investor Service Reporting Fee.  The reserve is provided  to guarantee the payment to the Asset Manager in the event cashflow is insufficient to pay the estimated fee in any given year.  The Proforma VII Tab and the Part VI-Revenues &amp; Expenses Tab have each been modified to reflect the cash coming into the Operating Budget and coming out of the annual budget on the Operating Proforma at the annual fee rate.   The Annual Reporting Fee will only be required during the actual tax credit compliance years.</v>
      </c>
      <c r="B1154" s="1391"/>
      <c r="C1154" s="1391"/>
      <c r="D1154" s="1391"/>
      <c r="E1154" s="1391"/>
      <c r="F1154" s="1391"/>
      <c r="G1154" s="1391">
        <f>'Part VII-Pro Forma'!G139</f>
        <v>0</v>
      </c>
      <c r="H1154" s="1391"/>
      <c r="I1154" s="1391"/>
      <c r="J1154" s="1391"/>
      <c r="K1154" s="1391"/>
      <c r="N1154" s="2325" t="s">
        <v>2692</v>
      </c>
      <c r="O1154" s="2325"/>
    </row>
    <row r="1159" spans="1:19" ht="12.75" customHeight="1">
      <c r="A1159" s="1314" t="str">
        <f>CONCATENATE("PART EIGHT - THRESHOLD CRITERIA","  -  ",'Part I-Project Information'!$O$6," ",'Part I-Project Information'!$F$34,", ",'Part I-Project Information'!F1196,", ",'Part I-Project Information'!J1197," County")</f>
        <v>PART EIGHT - THRESHOLD CRITERIA  -  2019-049 Woodstone Apartments II, ,  County</v>
      </c>
      <c r="B1159" s="1314"/>
      <c r="C1159" s="1314"/>
      <c r="D1159" s="1314"/>
      <c r="E1159" s="1314"/>
      <c r="F1159" s="1314"/>
      <c r="G1159" s="1314"/>
      <c r="H1159" s="1314"/>
      <c r="I1159" s="1314"/>
      <c r="J1159" s="1314"/>
      <c r="K1159" s="1314"/>
      <c r="L1159" s="1314"/>
      <c r="M1159" s="1314"/>
      <c r="N1159" s="1314"/>
      <c r="O1159" s="1314"/>
      <c r="P1159" s="1314"/>
      <c r="Q1159" s="1314"/>
      <c r="R1159" s="2350" t="str">
        <f>'Part I-Project Information'!$B$6</f>
        <v>April 2019 Final</v>
      </c>
      <c r="S1159" s="2350"/>
    </row>
    <row r="1160" spans="1:19">
      <c r="R1160" s="2350"/>
      <c r="S1160" s="2350"/>
    </row>
    <row r="1161" spans="1:19" ht="20.25" customHeight="1">
      <c r="A1161" s="2376" t="str">
        <f>'Part VIII-Threshold Criteria'!A3</f>
        <v>Preliminary Rating: Incomplete</v>
      </c>
      <c r="B1161" s="2376"/>
      <c r="C1161" s="2376"/>
      <c r="D1161" s="2376"/>
      <c r="E1161" s="2376"/>
      <c r="F1161" s="2376"/>
      <c r="G1161" s="2376"/>
      <c r="H1161" s="2376" t="str">
        <f>'Part VIII-Threshold Criteria'!H3</f>
        <v/>
      </c>
      <c r="I1161" s="2376"/>
      <c r="J1161" s="2376"/>
      <c r="K1161" s="2376"/>
      <c r="L1161" s="2376"/>
      <c r="M1161" s="2376"/>
      <c r="N1161" s="2376"/>
      <c r="O1161" s="1721" t="s">
        <v>934</v>
      </c>
      <c r="P1161" s="1721"/>
      <c r="Q1161" s="2352" t="s">
        <v>1842</v>
      </c>
      <c r="R1161" s="2350"/>
      <c r="S1161" s="2350"/>
    </row>
    <row r="1162" spans="1:19">
      <c r="A1162" s="1316"/>
      <c r="B1162" s="2377"/>
      <c r="C1162" s="2377"/>
      <c r="D1162" s="2377"/>
      <c r="E1162" s="1316"/>
      <c r="F1162" s="1316"/>
      <c r="G1162" s="1316"/>
      <c r="H1162" s="1316"/>
      <c r="I1162" s="1316"/>
      <c r="J1162" s="1316"/>
      <c r="K1162" s="1316"/>
      <c r="L1162" s="1316"/>
      <c r="M1162" s="1316"/>
      <c r="N1162" s="1316"/>
      <c r="P1162" s="1316"/>
      <c r="Q1162" s="1316"/>
      <c r="R1162" s="2350"/>
      <c r="S1162" s="2350"/>
    </row>
    <row r="1163" spans="1:19">
      <c r="A1163" s="1316"/>
      <c r="B1163" s="1316"/>
      <c r="C1163" s="1316"/>
      <c r="D1163" s="1316"/>
      <c r="E1163" s="1316"/>
      <c r="F1163" s="1316"/>
      <c r="G1163" s="1316"/>
      <c r="H1163" s="1316"/>
      <c r="I1163" s="1316"/>
      <c r="J1163" s="1316"/>
      <c r="K1163" s="1316"/>
      <c r="L1163" s="1316"/>
      <c r="M1163" s="1316"/>
      <c r="N1163" s="1316"/>
      <c r="P1163" s="1316"/>
      <c r="Q1163" s="1316"/>
      <c r="R1163" s="2350"/>
      <c r="S1163" s="2350"/>
    </row>
    <row r="1164" spans="1:19" ht="18" customHeight="1">
      <c r="A1164" s="2378" t="s">
        <v>566</v>
      </c>
      <c r="J1164" s="1570" t="s">
        <v>4534</v>
      </c>
      <c r="K1164" s="1570"/>
      <c r="L1164" s="1570"/>
      <c r="M1164" s="1570"/>
      <c r="N1164" s="1570"/>
      <c r="O1164" s="1570"/>
      <c r="P1164" s="2379"/>
      <c r="Q1164" s="2379"/>
      <c r="R1164" s="2350"/>
      <c r="S1164" s="2350"/>
    </row>
    <row r="1165" spans="1:19">
      <c r="A1165" s="1572" t="s">
        <v>3449</v>
      </c>
      <c r="H1165" s="1314"/>
      <c r="I1165" s="1314"/>
      <c r="J1165" s="1314"/>
      <c r="K1165" s="1314"/>
      <c r="L1165" s="1314"/>
      <c r="M1165" s="1316"/>
      <c r="N1165" s="1316"/>
    </row>
    <row r="1166" spans="1:19" ht="12.75" customHeight="1">
      <c r="A1166" s="1573" t="s">
        <v>1407</v>
      </c>
      <c r="B1166" s="1573"/>
      <c r="C1166" s="1573"/>
      <c r="D1166" s="1573"/>
      <c r="E1166" s="1573"/>
      <c r="F1166" s="1573"/>
      <c r="G1166" s="1573"/>
      <c r="H1166" s="1573"/>
      <c r="I1166" s="1573"/>
      <c r="J1166" s="1573"/>
      <c r="K1166" s="1573"/>
      <c r="L1166" s="1573"/>
      <c r="M1166" s="1573"/>
      <c r="N1166" s="1573"/>
      <c r="O1166" s="1573"/>
      <c r="P1166" s="1573"/>
      <c r="Q1166" s="1573"/>
      <c r="R1166" s="2325" t="s">
        <v>2030</v>
      </c>
      <c r="S1166" s="2325"/>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2325"/>
      <c r="S1167" s="2325"/>
    </row>
    <row r="1168" spans="1:19" ht="12.75" customHeight="1">
      <c r="A1168" s="1573" t="s">
        <v>1403</v>
      </c>
      <c r="B1168" s="1573"/>
      <c r="C1168" s="1573"/>
      <c r="D1168" s="1573"/>
      <c r="E1168" s="1573"/>
      <c r="F1168" s="1573"/>
      <c r="G1168" s="1573"/>
      <c r="H1168" s="1573"/>
      <c r="I1168" s="1573"/>
      <c r="J1168" s="1573"/>
      <c r="K1168" s="1573"/>
      <c r="L1168" s="1573"/>
      <c r="M1168" s="1573"/>
      <c r="N1168" s="1573"/>
      <c r="O1168" s="1573"/>
      <c r="P1168" s="1573"/>
      <c r="Q1168" s="1573"/>
      <c r="R1168" s="2325"/>
      <c r="S1168" s="2325"/>
    </row>
    <row r="1169" spans="1:19" ht="12.75" customHeight="1">
      <c r="A1169" s="1573" t="s">
        <v>1404</v>
      </c>
      <c r="B1169" s="1573"/>
      <c r="C1169" s="1573"/>
      <c r="D1169" s="1573"/>
      <c r="E1169" s="1573"/>
      <c r="F1169" s="1573"/>
      <c r="G1169" s="1573"/>
      <c r="H1169" s="1573"/>
      <c r="I1169" s="1573"/>
      <c r="J1169" s="1573"/>
      <c r="K1169" s="1573"/>
      <c r="L1169" s="1573"/>
      <c r="M1169" s="1573"/>
      <c r="N1169" s="1573"/>
      <c r="O1169" s="1573"/>
      <c r="P1169" s="1573"/>
      <c r="Q1169" s="1573"/>
      <c r="R1169" s="2325"/>
      <c r="S1169" s="2325"/>
    </row>
    <row r="1170" spans="1:19" ht="15">
      <c r="A1170" s="1573" t="s">
        <v>1405</v>
      </c>
      <c r="B1170" s="1573"/>
      <c r="C1170" s="1573"/>
      <c r="D1170" s="1573"/>
      <c r="E1170" s="1573"/>
      <c r="F1170" s="1573"/>
      <c r="G1170" s="1573"/>
      <c r="H1170" s="1573"/>
      <c r="I1170" s="1573"/>
      <c r="J1170" s="1573"/>
      <c r="K1170" s="1573"/>
      <c r="L1170" s="1573"/>
      <c r="M1170" s="1573"/>
      <c r="N1170" s="1573"/>
      <c r="O1170" s="1573"/>
      <c r="P1170" s="1573"/>
      <c r="Q1170" s="1573"/>
      <c r="R1170" s="2380"/>
      <c r="S1170" s="2380"/>
    </row>
    <row r="1171" spans="1:19" ht="15">
      <c r="A1171" s="1573" t="s">
        <v>1406</v>
      </c>
      <c r="B1171" s="1573"/>
      <c r="C1171" s="1573"/>
      <c r="D1171" s="1573"/>
      <c r="E1171" s="1573"/>
      <c r="F1171" s="1573"/>
      <c r="G1171" s="1573"/>
      <c r="H1171" s="1573"/>
      <c r="I1171" s="1573"/>
      <c r="J1171" s="1573"/>
      <c r="K1171" s="1573"/>
      <c r="L1171" s="1573"/>
      <c r="M1171" s="1573"/>
      <c r="N1171" s="1573"/>
      <c r="O1171" s="1573"/>
      <c r="P1171" s="1573"/>
      <c r="Q1171" s="1573"/>
      <c r="R1171" s="2380"/>
      <c r="S1171" s="2380"/>
    </row>
    <row r="1172" spans="1:19">
      <c r="A1172" s="1573" t="s">
        <v>1408</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2017</v>
      </c>
      <c r="B1173" s="1573"/>
      <c r="C1173" s="1573"/>
      <c r="D1173" s="1573"/>
      <c r="E1173" s="1573"/>
      <c r="F1173" s="1573"/>
      <c r="G1173" s="1573"/>
      <c r="H1173" s="1573"/>
      <c r="I1173" s="1573"/>
      <c r="J1173" s="1573"/>
      <c r="K1173" s="1573"/>
      <c r="L1173" s="1573"/>
      <c r="M1173" s="1573"/>
      <c r="N1173" s="1573"/>
      <c r="O1173" s="1573"/>
      <c r="P1173" s="1573"/>
      <c r="Q1173" s="1573"/>
      <c r="R1173" s="2325" t="s">
        <v>2030</v>
      </c>
      <c r="S1173" s="2325"/>
    </row>
    <row r="1174" spans="1:19" ht="12.75" customHeight="1">
      <c r="A1174" s="1573" t="s">
        <v>2018</v>
      </c>
      <c r="B1174" s="1573"/>
      <c r="C1174" s="1573"/>
      <c r="D1174" s="1573"/>
      <c r="E1174" s="1573"/>
      <c r="F1174" s="1573"/>
      <c r="G1174" s="1573"/>
      <c r="H1174" s="1573"/>
      <c r="I1174" s="1573"/>
      <c r="J1174" s="1573"/>
      <c r="K1174" s="1573"/>
      <c r="L1174" s="1573"/>
      <c r="M1174" s="1573"/>
      <c r="N1174" s="1573"/>
      <c r="O1174" s="1573"/>
      <c r="P1174" s="1573"/>
      <c r="Q1174" s="1573"/>
      <c r="R1174" s="2325"/>
      <c r="S1174" s="2325"/>
    </row>
    <row r="1175" spans="1:19" ht="12.75" customHeight="1">
      <c r="A1175" s="1573" t="s">
        <v>2019</v>
      </c>
      <c r="B1175" s="1573"/>
      <c r="C1175" s="1573"/>
      <c r="D1175" s="1573"/>
      <c r="E1175" s="1573"/>
      <c r="F1175" s="1573"/>
      <c r="G1175" s="1573"/>
      <c r="H1175" s="1573"/>
      <c r="I1175" s="1573"/>
      <c r="J1175" s="1573"/>
      <c r="K1175" s="1573"/>
      <c r="L1175" s="1573"/>
      <c r="M1175" s="1573"/>
      <c r="N1175" s="1573"/>
      <c r="O1175" s="1573"/>
      <c r="P1175" s="1573"/>
      <c r="Q1175" s="1573"/>
      <c r="R1175" s="2325"/>
      <c r="S1175" s="2325"/>
    </row>
    <row r="1176" spans="1:19" ht="12.75" customHeight="1">
      <c r="A1176" s="1573" t="s">
        <v>2020</v>
      </c>
      <c r="B1176" s="1573"/>
      <c r="C1176" s="1573"/>
      <c r="D1176" s="1573"/>
      <c r="E1176" s="1573"/>
      <c r="F1176" s="1573"/>
      <c r="G1176" s="1573"/>
      <c r="H1176" s="1573"/>
      <c r="I1176" s="1573"/>
      <c r="J1176" s="1573"/>
      <c r="K1176" s="1573"/>
      <c r="L1176" s="1573"/>
      <c r="M1176" s="1573"/>
      <c r="N1176" s="1573"/>
      <c r="O1176" s="1573"/>
      <c r="P1176" s="1573"/>
      <c r="Q1176" s="1573"/>
      <c r="R1176" s="2325"/>
      <c r="S1176" s="2325"/>
    </row>
    <row r="1177" spans="1:19" ht="12.75" customHeight="1">
      <c r="A1177" s="1573" t="s">
        <v>2021</v>
      </c>
      <c r="B1177" s="1573"/>
      <c r="C1177" s="1573"/>
      <c r="D1177" s="1573"/>
      <c r="E1177" s="1573"/>
      <c r="F1177" s="1573"/>
      <c r="G1177" s="1573"/>
      <c r="H1177" s="1573"/>
      <c r="I1177" s="1573"/>
      <c r="J1177" s="1573"/>
      <c r="K1177" s="1573"/>
      <c r="L1177" s="1573"/>
      <c r="M1177" s="1573"/>
      <c r="N1177" s="1573"/>
      <c r="O1177" s="1573"/>
      <c r="P1177" s="1573"/>
      <c r="Q1177" s="1573"/>
      <c r="R1177" s="2325"/>
      <c r="S1177" s="2325"/>
    </row>
    <row r="1178" spans="1:19" ht="12.75" customHeight="1">
      <c r="A1178" s="1573" t="s">
        <v>2022</v>
      </c>
      <c r="B1178" s="1573"/>
      <c r="C1178" s="1573"/>
      <c r="D1178" s="1573"/>
      <c r="E1178" s="1573"/>
      <c r="F1178" s="1573"/>
      <c r="G1178" s="1573"/>
      <c r="H1178" s="1573"/>
      <c r="I1178" s="1573"/>
      <c r="J1178" s="1573"/>
      <c r="K1178" s="1573"/>
      <c r="L1178" s="1573"/>
      <c r="M1178" s="1573"/>
      <c r="N1178" s="1573"/>
      <c r="O1178" s="1573"/>
      <c r="P1178" s="1573"/>
      <c r="Q1178" s="1573"/>
      <c r="R1178" s="2325"/>
      <c r="S1178" s="2325"/>
    </row>
    <row r="1179" spans="1:19">
      <c r="A1179" s="1573" t="s">
        <v>2023</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2024</v>
      </c>
      <c r="B1180" s="1573"/>
      <c r="C1180" s="1573"/>
      <c r="D1180" s="1573"/>
      <c r="E1180" s="1573"/>
      <c r="F1180" s="1573"/>
      <c r="G1180" s="1573"/>
      <c r="H1180" s="1573"/>
      <c r="I1180" s="1573"/>
      <c r="J1180" s="1573"/>
      <c r="K1180" s="1573"/>
      <c r="L1180" s="1573"/>
      <c r="M1180" s="1573"/>
      <c r="N1180" s="1573"/>
      <c r="O1180" s="1573"/>
      <c r="P1180" s="1573"/>
      <c r="Q1180" s="1573"/>
      <c r="R1180" s="2325" t="s">
        <v>2030</v>
      </c>
      <c r="S1180" s="2325"/>
    </row>
    <row r="1181" spans="1:19" ht="12.75" customHeight="1">
      <c r="A1181" s="1573" t="s">
        <v>2025</v>
      </c>
      <c r="B1181" s="1573"/>
      <c r="C1181" s="1573"/>
      <c r="D1181" s="1573"/>
      <c r="E1181" s="1573"/>
      <c r="F1181" s="1573"/>
      <c r="G1181" s="1573"/>
      <c r="H1181" s="1573"/>
      <c r="I1181" s="1573"/>
      <c r="J1181" s="1573"/>
      <c r="K1181" s="1573"/>
      <c r="L1181" s="1573"/>
      <c r="M1181" s="1573"/>
      <c r="N1181" s="1573"/>
      <c r="O1181" s="1573"/>
      <c r="P1181" s="1573"/>
      <c r="Q1181" s="1573"/>
      <c r="R1181" s="2325"/>
      <c r="S1181" s="2325"/>
    </row>
    <row r="1182" spans="1:19" ht="12.75" customHeight="1">
      <c r="A1182" s="1573" t="s">
        <v>2026</v>
      </c>
      <c r="B1182" s="1573"/>
      <c r="C1182" s="1573"/>
      <c r="D1182" s="1573"/>
      <c r="E1182" s="1573"/>
      <c r="F1182" s="1573"/>
      <c r="G1182" s="1573"/>
      <c r="H1182" s="1573"/>
      <c r="I1182" s="1573"/>
      <c r="J1182" s="1573"/>
      <c r="K1182" s="1573"/>
      <c r="L1182" s="1573"/>
      <c r="M1182" s="1573"/>
      <c r="N1182" s="1573"/>
      <c r="O1182" s="1573"/>
      <c r="P1182" s="1573"/>
      <c r="Q1182" s="1573"/>
      <c r="R1182" s="2325"/>
      <c r="S1182" s="2325"/>
    </row>
    <row r="1183" spans="1:19" ht="12.75" customHeight="1">
      <c r="A1183" s="1573" t="s">
        <v>2027</v>
      </c>
      <c r="B1183" s="1573"/>
      <c r="C1183" s="1573"/>
      <c r="D1183" s="1573"/>
      <c r="E1183" s="1573"/>
      <c r="F1183" s="1573"/>
      <c r="G1183" s="1573"/>
      <c r="H1183" s="1573"/>
      <c r="I1183" s="1573"/>
      <c r="J1183" s="1573"/>
      <c r="K1183" s="1573"/>
      <c r="L1183" s="1573"/>
      <c r="M1183" s="1573"/>
      <c r="N1183" s="1573"/>
      <c r="O1183" s="1573"/>
      <c r="P1183" s="1573"/>
      <c r="Q1183" s="1573"/>
      <c r="R1183" s="2325"/>
      <c r="S1183" s="2325"/>
    </row>
    <row r="1184" spans="1:19" ht="12.75" customHeight="1">
      <c r="A1184" s="1573" t="s">
        <v>2028</v>
      </c>
      <c r="B1184" s="1573"/>
      <c r="C1184" s="1573"/>
      <c r="D1184" s="1573"/>
      <c r="E1184" s="1573"/>
      <c r="F1184" s="1573"/>
      <c r="G1184" s="1573"/>
      <c r="H1184" s="1573"/>
      <c r="I1184" s="1573"/>
      <c r="J1184" s="1573"/>
      <c r="K1184" s="1573"/>
      <c r="L1184" s="1573"/>
      <c r="M1184" s="1573"/>
      <c r="N1184" s="1573"/>
      <c r="O1184" s="1573"/>
      <c r="P1184" s="1573"/>
      <c r="Q1184" s="1573"/>
      <c r="R1184" s="2325"/>
      <c r="S1184" s="2325"/>
    </row>
    <row r="1185" spans="1:22" ht="12.75" customHeight="1">
      <c r="A1185" s="1573" t="s">
        <v>2029</v>
      </c>
      <c r="B1185" s="1573"/>
      <c r="C1185" s="1573"/>
      <c r="D1185" s="1573"/>
      <c r="E1185" s="1573"/>
      <c r="F1185" s="1573"/>
      <c r="G1185" s="1573"/>
      <c r="H1185" s="1573"/>
      <c r="I1185" s="1573"/>
      <c r="J1185" s="1573"/>
      <c r="K1185" s="1573"/>
      <c r="L1185" s="1573"/>
      <c r="M1185" s="1573"/>
      <c r="N1185" s="1573"/>
      <c r="O1185" s="1573"/>
      <c r="P1185" s="1573"/>
      <c r="Q1185" s="1573"/>
      <c r="R1185" s="2325"/>
      <c r="S1185" s="2325"/>
    </row>
    <row r="1187" spans="1:22">
      <c r="A1187" s="2381" t="s">
        <v>615</v>
      </c>
      <c r="B1187" s="1596" t="s">
        <v>2650</v>
      </c>
      <c r="C1187" s="1604"/>
      <c r="D1187" s="457"/>
      <c r="E1187" s="457"/>
      <c r="F1187" s="457"/>
      <c r="G1187" s="457"/>
      <c r="I1187" s="1578"/>
      <c r="J1187" s="1578"/>
      <c r="K1187" s="1578"/>
      <c r="L1187" s="1316"/>
      <c r="M1187" s="1316"/>
      <c r="O1187" s="2382" t="s">
        <v>1866</v>
      </c>
      <c r="P1187" s="1317"/>
      <c r="Q1187" s="1317"/>
    </row>
    <row r="1189" spans="1:22" ht="20.399999999999999">
      <c r="B1189" s="1549" t="s">
        <v>3751</v>
      </c>
      <c r="C1189" s="1549"/>
      <c r="D1189" s="1549"/>
      <c r="E1189" s="1549"/>
      <c r="F1189" s="1549"/>
      <c r="G1189" s="1578"/>
      <c r="H1189" s="1578"/>
      <c r="I1189" s="1578"/>
      <c r="J1189" s="1578"/>
      <c r="K1189" s="1316"/>
      <c r="L1189" s="1316"/>
      <c r="M1189" s="1316"/>
      <c r="N1189" s="1316"/>
      <c r="O1189" s="1316"/>
      <c r="P1189" s="1316"/>
      <c r="S1189" s="2383"/>
      <c r="T1189" s="2383"/>
    </row>
    <row r="1190" spans="1:22" ht="409.6">
      <c r="A1190" s="1583" t="str">
        <f>'Part VIII-Threshold Criteria'!A32</f>
        <v xml:space="preserve">The Project Feasibility, Viability, and Conformance with the Qualified Allocation Plan for 2019 is evidenced by the needs listed in the Physical Needs Assessment. The Woodstone Apartments property has operated successfully for many years and continues to serve families in the Leesburg area. The rehabilitation of Woodstone Apartments will create a more energy efficient, safe, accessible, and compliant living environment for existing residents. During construction, tenants will be temporarily relocated until each unit is completed. The updated features of the property will improve the lives of current and future residents for many years to come. </v>
      </c>
      <c r="B1190" s="1583"/>
      <c r="C1190" s="1583"/>
      <c r="D1190" s="1583"/>
      <c r="E1190" s="1583"/>
      <c r="F1190" s="1583"/>
      <c r="G1190" s="1583"/>
      <c r="H1190" s="1583"/>
      <c r="I1190" s="1583"/>
      <c r="J1190" s="1583"/>
      <c r="K1190" s="1583"/>
      <c r="L1190" s="1583"/>
      <c r="M1190" s="1583"/>
      <c r="N1190" s="1583"/>
      <c r="O1190" s="1583"/>
      <c r="P1190" s="1583"/>
      <c r="Q1190" s="1583"/>
      <c r="R1190" s="2384" t="s">
        <v>1253</v>
      </c>
      <c r="S1190" s="2384"/>
      <c r="T1190" s="2383"/>
      <c r="U1190" s="1317"/>
      <c r="V1190" s="1317"/>
    </row>
    <row r="1191" spans="1:22">
      <c r="B1191" s="1580" t="s">
        <v>1865</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2384" t="s">
        <v>1253</v>
      </c>
      <c r="S1192" s="2384"/>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739</v>
      </c>
      <c r="B1194" s="1314" t="s">
        <v>2710</v>
      </c>
      <c r="C1194" s="1314"/>
      <c r="D1194" s="1314"/>
      <c r="E1194" s="1582"/>
      <c r="G1194" s="1317"/>
      <c r="H1194" s="1317"/>
      <c r="I1194" s="1317"/>
      <c r="J1194" s="1314"/>
      <c r="L1194" s="2374"/>
      <c r="M1194" s="2374"/>
      <c r="N1194" s="2374"/>
      <c r="O1194" s="2382" t="s">
        <v>1866</v>
      </c>
      <c r="P1194" s="1317"/>
      <c r="Q1194" s="1317"/>
    </row>
    <row r="1195" spans="1:22">
      <c r="A1195" s="1585"/>
      <c r="B1195" s="1585"/>
      <c r="C1195" s="1585"/>
      <c r="D1195" s="1585"/>
      <c r="E1195" s="1585"/>
      <c r="F1195" s="1585"/>
      <c r="G1195" s="1335" t="s">
        <v>2714</v>
      </c>
      <c r="H1195" s="1335"/>
      <c r="I1195" s="457"/>
      <c r="J1195" s="1314"/>
      <c r="K1195" s="457" t="s">
        <v>3632</v>
      </c>
      <c r="L1195" s="457"/>
      <c r="M1195" s="457"/>
      <c r="N1195" s="457"/>
    </row>
    <row r="1196" spans="1:22">
      <c r="A1196" s="1585"/>
      <c r="B1196" s="1585"/>
      <c r="C1196" s="1585"/>
      <c r="D1196" s="1585"/>
      <c r="E1196" s="1585"/>
      <c r="F1196" s="1585"/>
      <c r="G1196" s="1335" t="s">
        <v>346</v>
      </c>
      <c r="H1196" s="1335"/>
      <c r="I1196" s="457"/>
      <c r="J1196" s="1314"/>
      <c r="K1196" s="457" t="s">
        <v>3633</v>
      </c>
      <c r="L1196" s="457"/>
      <c r="M1196" s="457"/>
      <c r="N1196" s="457"/>
      <c r="P1196" s="1436" t="s">
        <v>2733</v>
      </c>
      <c r="Q1196" s="1578" t="str">
        <f>'Part VIII-Threshold Criteria'!Q38</f>
        <v>Yes</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2713</v>
      </c>
      <c r="F1198" s="1587" t="s">
        <v>3451</v>
      </c>
      <c r="G1198" s="1587" t="s">
        <v>5039</v>
      </c>
      <c r="H1198" s="1587"/>
      <c r="I1198" s="1587"/>
      <c r="K1198" s="1587" t="s">
        <v>3451</v>
      </c>
      <c r="L1198" s="1587" t="s">
        <v>5038</v>
      </c>
      <c r="M1198" s="1587"/>
      <c r="N1198" s="1587"/>
      <c r="R1198" s="1315"/>
      <c r="V1198" s="1314"/>
    </row>
    <row r="1199" spans="1:22" ht="12.75" customHeight="1">
      <c r="A1199" s="1573" t="s">
        <v>3356</v>
      </c>
      <c r="B1199" s="1573"/>
      <c r="C1199" s="1573"/>
      <c r="D1199" s="1589" t="s">
        <v>567</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3888</v>
      </c>
      <c r="Q1199" s="1493"/>
      <c r="R1199" s="1315"/>
      <c r="V1199" s="1314"/>
    </row>
    <row r="1200" spans="1:22" ht="12.75" customHeight="1">
      <c r="A1200" s="1573"/>
      <c r="B1200" s="1573"/>
      <c r="C1200" s="1573"/>
      <c r="D1200" s="1589" t="s">
        <v>2439</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2350" t="str">
        <f>IF('Part I-Project Information'!$F$38="","",VLOOKUP('Part I-Project Information'!$J$39,'DCA Underwriting Assumptions'!$G$158:$N$317,8,FALSE))</f>
        <v>Albany</v>
      </c>
      <c r="Q1200" s="2350"/>
      <c r="R1200" s="1315"/>
    </row>
    <row r="1201" spans="1:22">
      <c r="A1201" s="1573"/>
      <c r="B1201" s="1573"/>
      <c r="C1201" s="1573"/>
      <c r="D1201" s="1589" t="s">
        <v>2440</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 t="shared" ref="I1201:I1203" si="372">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 t="shared" ref="N1201:N1203" si="373">IF(K1201="","",K1201*L1201)</f>
        <v/>
      </c>
      <c r="O1201" s="1582"/>
      <c r="P1201" s="2350"/>
      <c r="Q1201" s="2350"/>
    </row>
    <row r="1202" spans="1:22" ht="12.75" customHeight="1">
      <c r="A1202" s="1573"/>
      <c r="B1202" s="1573"/>
      <c r="C1202" s="1573"/>
      <c r="D1202" s="1589" t="s">
        <v>2441</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 t="shared" si="372"/>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 t="shared" si="373"/>
        <v/>
      </c>
      <c r="O1202" s="1582"/>
      <c r="P1202" s="1550" t="s">
        <v>5037</v>
      </c>
      <c r="Q1202" s="1550"/>
    </row>
    <row r="1203" spans="1:22">
      <c r="C1203" s="1314"/>
      <c r="D1203" s="1589" t="s">
        <v>2442</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 t="shared" si="372"/>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 t="shared" si="373"/>
        <v/>
      </c>
      <c r="O1203" s="1582"/>
      <c r="P1203" s="2385">
        <f>'Part IV-A-Uses of Funds'!$G$132</f>
        <v>5168536</v>
      </c>
      <c r="Q1203" s="2385"/>
    </row>
    <row r="1204" spans="1:22">
      <c r="C1204" s="1314"/>
      <c r="D1204" s="1595" t="s">
        <v>3366</v>
      </c>
      <c r="E1204" s="1596"/>
      <c r="F1204" s="1597">
        <f>SUM(F1199:F1203)</f>
        <v>0</v>
      </c>
      <c r="G1204" s="2386"/>
      <c r="H1204" s="1599"/>
      <c r="I1204" s="1600">
        <f>SUM(I1199:I1203)</f>
        <v>0</v>
      </c>
      <c r="J1204" s="1601"/>
      <c r="K1204" s="1597">
        <f>SUM(K1199:K1203)</f>
        <v>0</v>
      </c>
      <c r="L1204" s="1601"/>
      <c r="M1204" s="1599"/>
      <c r="N1204" s="1600">
        <f>SUM(N1199:N1203)</f>
        <v>0</v>
      </c>
      <c r="O1204" s="1582"/>
      <c r="P1204" s="2385"/>
      <c r="Q1204" s="2385"/>
    </row>
    <row r="1205" spans="1:22">
      <c r="C1205" s="1314"/>
      <c r="D1205" s="1768"/>
      <c r="E1205" s="1768"/>
      <c r="F1205" s="1603"/>
      <c r="G1205" s="1604"/>
      <c r="I1205" s="1603"/>
      <c r="K1205" s="1603"/>
      <c r="M1205" s="1582"/>
      <c r="N1205" s="1603"/>
      <c r="O1205" s="1582"/>
      <c r="R1205" s="1315"/>
    </row>
    <row r="1206" spans="1:22" ht="12.75" customHeight="1">
      <c r="A1206" s="1573" t="s">
        <v>3351</v>
      </c>
      <c r="B1206" s="1573"/>
      <c r="C1206" s="1573"/>
      <c r="D1206" s="1589" t="s">
        <v>567</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2385"/>
      <c r="Q1206" s="2385"/>
      <c r="S1206" s="1702" t="s">
        <v>5330</v>
      </c>
      <c r="T1206" s="1702"/>
      <c r="U1206" s="1702"/>
      <c r="V1206" s="1702"/>
    </row>
    <row r="1207" spans="1:22" ht="12.75" customHeight="1">
      <c r="A1207" s="1573"/>
      <c r="B1207" s="1573"/>
      <c r="C1207" s="1573"/>
      <c r="D1207" s="1589" t="s">
        <v>2439</v>
      </c>
      <c r="E1207" s="1578">
        <v>1</v>
      </c>
      <c r="F1207" s="1590" t="str">
        <f>IF('Part VI-Revenues &amp; Expenses'!$K$137 =0,"",'Part VI-Revenues &amp; Expenses'!$K$137)</f>
        <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units = </v>
      </c>
      <c r="I1207" s="1592" t="str">
        <f>IF(F1207="","",F1207*G1207)</f>
        <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4085</v>
      </c>
      <c r="Q1207" s="1468"/>
      <c r="S1207" s="1702"/>
      <c r="T1207" s="1702"/>
      <c r="U1207" s="1702"/>
      <c r="V1207" s="1702"/>
    </row>
    <row r="1208" spans="1:22" ht="12.75" customHeight="1">
      <c r="A1208" s="1573"/>
      <c r="B1208" s="1573"/>
      <c r="C1208" s="1573"/>
      <c r="D1208" s="1589" t="s">
        <v>2440</v>
      </c>
      <c r="E1208" s="1578">
        <v>2</v>
      </c>
      <c r="F1208" s="1590" t="str">
        <f>IF('Part VI-Revenues &amp; Expenses'!$L$137 =0,"",'Part VI-Revenues &amp; Expenses'!$L$137)</f>
        <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units = </v>
      </c>
      <c r="I1208" s="1592" t="str">
        <f t="shared" ref="I1208:I1210" si="374">IF(F1208="","",F1208*G1208)</f>
        <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 t="shared" ref="N1208:N1210" si="375">IF(K1208="","",K1208*L1208)</f>
        <v/>
      </c>
      <c r="O1208" s="1606"/>
      <c r="P1208" s="2387"/>
      <c r="Q1208" s="2387"/>
      <c r="R1208" s="1315"/>
      <c r="S1208" s="1702"/>
      <c r="T1208" s="1702"/>
      <c r="U1208" s="1702"/>
      <c r="V1208" s="1702"/>
    </row>
    <row r="1209" spans="1:22" ht="12.75" customHeight="1">
      <c r="C1209" s="1314"/>
      <c r="D1209" s="1589" t="s">
        <v>2441</v>
      </c>
      <c r="E1209" s="1578">
        <v>3</v>
      </c>
      <c r="F1209" s="1590" t="str">
        <f>IF('Part VI-Revenues &amp; Expenses'!$M$137 =0,"",'Part VI-Revenues &amp; Expenses'!$M$137)</f>
        <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units = </v>
      </c>
      <c r="I1209" s="1592" t="str">
        <f t="shared" si="374"/>
        <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 t="shared" si="375"/>
        <v/>
      </c>
      <c r="O1209" s="1606"/>
      <c r="P1209" s="2387"/>
      <c r="Q1209" s="2387"/>
      <c r="S1209" s="1702"/>
      <c r="T1209" s="1702"/>
      <c r="U1209" s="1702"/>
      <c r="V1209" s="1702"/>
    </row>
    <row r="1210" spans="1:22" ht="12.75" customHeight="1">
      <c r="C1210" s="1314"/>
      <c r="D1210" s="1589" t="s">
        <v>2442</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 t="shared" si="374"/>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 t="shared" si="375"/>
        <v/>
      </c>
      <c r="O1210" s="1606"/>
      <c r="P1210" s="457" t="s">
        <v>3627</v>
      </c>
      <c r="Q1210" s="457"/>
      <c r="S1210" s="1702"/>
      <c r="T1210" s="1702"/>
      <c r="U1210" s="1702"/>
      <c r="V1210" s="1702"/>
    </row>
    <row r="1211" spans="1:22" ht="12.75" customHeight="1">
      <c r="C1211" s="1314"/>
      <c r="D1211" s="1595" t="s">
        <v>3366</v>
      </c>
      <c r="E1211" s="1596"/>
      <c r="F1211" s="1597">
        <f>SUM(F1206:F1210)</f>
        <v>0</v>
      </c>
      <c r="G1211" s="2386"/>
      <c r="H1211" s="1599"/>
      <c r="I1211" s="1600">
        <f>SUM(I1206:I1210)</f>
        <v>0</v>
      </c>
      <c r="J1211" s="1601"/>
      <c r="K1211" s="1597">
        <f>SUM(K1206:K1210)</f>
        <v>0</v>
      </c>
      <c r="L1211" s="1601"/>
      <c r="M1211" s="1599"/>
      <c r="N1211" s="1600">
        <f>SUM(N1206:N1210)</f>
        <v>0</v>
      </c>
      <c r="O1211" s="1606"/>
      <c r="P1211" s="1504" t="s">
        <v>3244</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3352</v>
      </c>
      <c r="C1213" s="1314"/>
      <c r="D1213" s="1589" t="s">
        <v>567</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2439</v>
      </c>
      <c r="E1214" s="1578">
        <v>1</v>
      </c>
      <c r="F1214" s="1590">
        <f>IF('Part VI-Revenues &amp; Expenses'!$K$139 =0,"",'Part VI-Revenues &amp; Expenses'!$K$139)</f>
        <v>12</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12 units = </v>
      </c>
      <c r="I1214" s="1592">
        <f>IF(F1214="","",F1214*G1214)</f>
        <v>1701192</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3628</v>
      </c>
      <c r="Q1214" s="457"/>
      <c r="S1214" s="1702"/>
      <c r="T1214" s="1702"/>
      <c r="U1214" s="1702"/>
      <c r="V1214" s="1702"/>
    </row>
    <row r="1215" spans="1:22" ht="12.75" customHeight="1">
      <c r="C1215" s="1314"/>
      <c r="D1215" s="1589" t="s">
        <v>2440</v>
      </c>
      <c r="E1215" s="1578">
        <v>2</v>
      </c>
      <c r="F1215" s="1590">
        <f>IF('Part VI-Revenues &amp; Expenses'!$L$139 =0,"",'Part VI-Revenues &amp; Expenses'!$L$139)</f>
        <v>24</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24 units = </v>
      </c>
      <c r="I1215" s="1592">
        <f t="shared" ref="I1215:I1217" si="376">IF(F1215="","",F1215*G1215)</f>
        <v>4374504</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 t="shared" ref="N1215:N1217" si="377">IF(K1215="","",K1215*L1215)</f>
        <v/>
      </c>
      <c r="P1215" s="1504" t="s">
        <v>3244</v>
      </c>
      <c r="Q1215" s="1504" t="s">
        <v>256</v>
      </c>
      <c r="S1215" s="1702"/>
      <c r="T1215" s="1702"/>
      <c r="U1215" s="1702"/>
      <c r="V1215" s="1702"/>
    </row>
    <row r="1216" spans="1:22" ht="13.5" customHeight="1">
      <c r="C1216" s="1314"/>
      <c r="D1216" s="1589" t="s">
        <v>2441</v>
      </c>
      <c r="E1216" s="1578">
        <v>3</v>
      </c>
      <c r="F1216" s="1590">
        <f>IF('Part VI-Revenues &amp; Expenses'!$M$139 =0,"",'Part VI-Revenues &amp; Expenses'!$M$139)</f>
        <v>4</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4 units = </v>
      </c>
      <c r="I1216" s="1592">
        <f t="shared" si="376"/>
        <v>972112</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 t="shared" si="377"/>
        <v/>
      </c>
      <c r="O1216" s="1606"/>
      <c r="P1216" s="1607">
        <f>'Part IX Scoring Criteria'!O1229</f>
        <v>0</v>
      </c>
      <c r="Q1216" s="1607">
        <f>'Part IX Scoring Criteria'!P1229</f>
        <v>0</v>
      </c>
      <c r="S1216" s="1702"/>
      <c r="T1216" s="1702"/>
      <c r="U1216" s="1702"/>
      <c r="V1216" s="1702"/>
    </row>
    <row r="1217" spans="1:22" ht="12.75" customHeight="1">
      <c r="C1217" s="1314"/>
      <c r="D1217" s="1589" t="s">
        <v>2442</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 t="shared" si="376"/>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 t="shared" si="377"/>
        <v/>
      </c>
      <c r="O1217" s="1606"/>
      <c r="P1217" s="2388" t="s">
        <v>2768</v>
      </c>
      <c r="Q1217" s="2388"/>
      <c r="V1217" s="1314"/>
    </row>
    <row r="1218" spans="1:22" ht="12.75" customHeight="1">
      <c r="C1218" s="1314"/>
      <c r="D1218" s="1595" t="s">
        <v>3366</v>
      </c>
      <c r="E1218" s="1596"/>
      <c r="F1218" s="1597">
        <f>SUM(F1213:F1217)</f>
        <v>40</v>
      </c>
      <c r="G1218" s="2386"/>
      <c r="H1218" s="1599"/>
      <c r="I1218" s="1600">
        <f>SUM(I1213:I1217)</f>
        <v>7047808</v>
      </c>
      <c r="J1218" s="1601"/>
      <c r="K1218" s="1597">
        <f>SUM(K1213:K1217)</f>
        <v>0</v>
      </c>
      <c r="L1218" s="1601"/>
      <c r="M1218" s="1599"/>
      <c r="N1218" s="1600">
        <f>SUM(N1213:N1217)</f>
        <v>0</v>
      </c>
      <c r="O1218" s="1606"/>
      <c r="P1218" s="2388"/>
      <c r="Q1218" s="2388"/>
      <c r="V1218" s="1314"/>
    </row>
    <row r="1219" spans="1:22" ht="12.75" customHeight="1">
      <c r="C1219" s="1314"/>
      <c r="D1219" s="1768"/>
      <c r="E1219" s="1768"/>
      <c r="F1219" s="1603"/>
      <c r="G1219" s="1604"/>
      <c r="I1219" s="1603"/>
      <c r="K1219" s="1603"/>
      <c r="M1219" s="1582"/>
      <c r="N1219" s="1603"/>
      <c r="O1219" s="1606"/>
      <c r="P1219" s="2388"/>
      <c r="Q1219" s="2388"/>
      <c r="R1219" s="1315"/>
      <c r="V1219" s="1314"/>
    </row>
    <row r="1220" spans="1:22" ht="12.75" customHeight="1">
      <c r="A1220" s="1335" t="s">
        <v>3353</v>
      </c>
      <c r="C1220" s="1314"/>
      <c r="D1220" s="1589" t="s">
        <v>567</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2388"/>
      <c r="Q1220" s="2388"/>
      <c r="R1220" s="1315"/>
      <c r="V1220" s="1314"/>
    </row>
    <row r="1221" spans="1:22" ht="12.75" customHeight="1">
      <c r="C1221" s="1314"/>
      <c r="D1221" s="1589" t="s">
        <v>2439</v>
      </c>
      <c r="E1221" s="1578">
        <v>1</v>
      </c>
      <c r="F1221" s="1590" t="str">
        <f>IF('Part VI-Revenues &amp; Expenses'!$K$141 =0,"",'Part VI-Revenues &amp; Expenses'!$K$141)</f>
        <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units = </v>
      </c>
      <c r="I1221" s="1592" t="str">
        <f>IF(F1221="","",F1221*G1221)</f>
        <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2389">
        <f>'Part VIII-Threshold Criteria'!P63</f>
        <v>7171052</v>
      </c>
      <c r="Q1221" s="2389"/>
      <c r="R1221" s="1314"/>
      <c r="S1221" s="1314"/>
      <c r="V1221" s="1314"/>
    </row>
    <row r="1222" spans="1:22" ht="12.75" customHeight="1">
      <c r="C1222" s="1314"/>
      <c r="D1222" s="1589" t="s">
        <v>2440</v>
      </c>
      <c r="E1222" s="1578">
        <v>2</v>
      </c>
      <c r="F1222" s="1590" t="str">
        <f>IF('Part VI-Revenues &amp; Expenses'!$L$141 =0,"",'Part VI-Revenues &amp; Expenses'!$L$141)</f>
        <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units = </v>
      </c>
      <c r="I1222" s="1592" t="str">
        <f t="shared" ref="I1222:I1224" si="378">IF(F1222="","",F1222*G1222)</f>
        <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 t="shared" ref="N1222:N1224" si="379">IF(K1222="","",K1222*L1222)</f>
        <v/>
      </c>
      <c r="P1222" s="2389"/>
      <c r="Q1222" s="2389"/>
      <c r="R1222" s="1314"/>
      <c r="S1222" s="1314"/>
      <c r="V1222" s="1314"/>
    </row>
    <row r="1223" spans="1:22" ht="12.75" customHeight="1">
      <c r="C1223" s="1314"/>
      <c r="D1223" s="1589" t="s">
        <v>2441</v>
      </c>
      <c r="E1223" s="1578">
        <v>3</v>
      </c>
      <c r="F1223" s="1590" t="str">
        <f>IF('Part VI-Revenues &amp; Expenses'!$M$141 =0,"",'Part VI-Revenues &amp; Expenses'!$M$141)</f>
        <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units = </v>
      </c>
      <c r="I1223" s="1592" t="str">
        <f t="shared" si="378"/>
        <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 t="shared" si="379"/>
        <v/>
      </c>
      <c r="P1223" s="1585" t="s">
        <v>4536</v>
      </c>
      <c r="Q1223" s="1585"/>
      <c r="R1223" s="1315"/>
      <c r="V1223" s="1314"/>
    </row>
    <row r="1224" spans="1:22">
      <c r="C1224" s="1314"/>
      <c r="D1224" s="1589" t="s">
        <v>2442</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 t="shared" si="378"/>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 t="shared" si="379"/>
        <v/>
      </c>
      <c r="O1224" s="1606"/>
      <c r="P1224" s="1585"/>
      <c r="Q1224" s="1585"/>
      <c r="R1224" s="1315"/>
      <c r="V1224" s="1314"/>
    </row>
    <row r="1225" spans="1:22">
      <c r="C1225" s="1314"/>
      <c r="D1225" s="1595" t="s">
        <v>3366</v>
      </c>
      <c r="E1225" s="1596"/>
      <c r="F1225" s="1597">
        <f>SUM(F1220:F1224)</f>
        <v>0</v>
      </c>
      <c r="G1225" s="2386"/>
      <c r="H1225" s="1599"/>
      <c r="I1225" s="1600">
        <f>SUM(I1220:I1224)</f>
        <v>0</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c r="A1227" s="1524" t="s">
        <v>3367</v>
      </c>
      <c r="B1227" s="1314"/>
      <c r="C1227" s="1314"/>
      <c r="D1227" s="1314"/>
      <c r="E1227" s="1317"/>
      <c r="F1227" s="2390">
        <f>F1204+F1211+F1218+F1225</f>
        <v>40</v>
      </c>
      <c r="G1227" s="1393"/>
      <c r="H1227" s="1406">
        <f>I1204+I1211+I1218+I1225</f>
        <v>7047808</v>
      </c>
      <c r="I1227" s="1406"/>
      <c r="J1227" s="1406"/>
      <c r="K1227" s="2390">
        <f>K1204+K1211+K1218+K1225</f>
        <v>0</v>
      </c>
      <c r="L1227" s="2391"/>
      <c r="M1227" s="1406">
        <f>N1204+N1211+N1218+N1225</f>
        <v>0</v>
      </c>
      <c r="N1227" s="1406"/>
      <c r="O1227" s="1406"/>
      <c r="P1227" s="1585"/>
      <c r="Q1227" s="1585"/>
      <c r="R1227" s="1315"/>
      <c r="S1227" s="1315"/>
      <c r="V1227" s="1314"/>
    </row>
    <row r="1228" spans="1:22">
      <c r="B1228" s="1525" t="s">
        <v>3751</v>
      </c>
      <c r="D1228" s="1525"/>
      <c r="E1228" s="1525"/>
      <c r="F1228" s="1525"/>
      <c r="G1228" s="1525"/>
      <c r="H1228" s="1524"/>
      <c r="I1228" s="1578"/>
      <c r="J1228" s="1578"/>
      <c r="K1228" s="1580" t="s">
        <v>1865</v>
      </c>
      <c r="L1228" s="1316"/>
      <c r="M1228" s="1316"/>
      <c r="N1228" s="1316"/>
      <c r="O1228" s="1316"/>
      <c r="P1228" s="1585"/>
      <c r="Q1228" s="1585"/>
    </row>
    <row r="1229" spans="1:22" ht="71.400000000000006">
      <c r="A1229" s="1583" t="str">
        <f>'Part VIII-Threshold Criteria'!A71</f>
        <v>The project is within the cost limits for Acquisition/Rehabilitation in the Albany MSA</v>
      </c>
      <c r="B1229" s="1583"/>
      <c r="C1229" s="1583"/>
      <c r="D1229" s="1583"/>
      <c r="E1229" s="1583"/>
      <c r="F1229" s="1583"/>
      <c r="G1229" s="1583"/>
      <c r="H1229" s="1583"/>
      <c r="I1229" s="1583"/>
      <c r="J1229" s="1583"/>
      <c r="K1229" s="1583"/>
      <c r="L1229" s="1583"/>
      <c r="M1229" s="1583"/>
      <c r="N1229" s="1583"/>
      <c r="O1229" s="1583"/>
      <c r="P1229" s="1583"/>
      <c r="Q1229" s="1583"/>
      <c r="R1229" s="2384" t="s">
        <v>1253</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741</v>
      </c>
      <c r="B1231" s="1314" t="s">
        <v>1190</v>
      </c>
      <c r="C1231" s="1314"/>
      <c r="D1231" s="1314"/>
      <c r="E1231" s="1582"/>
      <c r="F1231" s="1582"/>
      <c r="G1231" s="1604" t="s">
        <v>99</v>
      </c>
      <c r="H1231" s="1582"/>
      <c r="J1231" s="457" t="str">
        <f>'Part I-Project Information'!$H$82</f>
        <v>Family</v>
      </c>
      <c r="K1231" s="457"/>
      <c r="L1231" s="457"/>
      <c r="O1231" s="2382" t="s">
        <v>1866</v>
      </c>
      <c r="P1231" s="1317"/>
      <c r="Q1231" s="1317"/>
    </row>
    <row r="1232" spans="1:22">
      <c r="B1232" s="1525" t="s">
        <v>3751</v>
      </c>
      <c r="D1232" s="1525"/>
      <c r="E1232" s="1525"/>
      <c r="F1232" s="1525"/>
      <c r="G1232" s="1525"/>
      <c r="H1232" s="1524"/>
      <c r="I1232" s="1578"/>
      <c r="J1232" s="1578"/>
      <c r="K1232" s="1580" t="s">
        <v>1865</v>
      </c>
      <c r="L1232" s="1316"/>
      <c r="M1232" s="1316"/>
      <c r="N1232" s="1316"/>
      <c r="O1232" s="1316"/>
      <c r="P1232" s="1316"/>
      <c r="Q1232" s="1316"/>
    </row>
    <row r="1233" spans="1:22" ht="61.2">
      <c r="A1233" s="1583" t="str">
        <f>'Part VIII-Threshold Criteria'!A75</f>
        <v xml:space="preserve">The project currently houses individuals and families with children. </v>
      </c>
      <c r="B1233" s="1583"/>
      <c r="C1233" s="1583"/>
      <c r="D1233" s="1583"/>
      <c r="E1233" s="1583"/>
      <c r="F1233" s="1583"/>
      <c r="G1233" s="1583"/>
      <c r="H1233" s="1583"/>
      <c r="I1233" s="1583"/>
      <c r="J1233" s="1583"/>
      <c r="K1233" s="1583"/>
      <c r="L1233" s="1583"/>
      <c r="M1233" s="1583"/>
      <c r="N1233" s="1583"/>
      <c r="O1233" s="1583"/>
      <c r="P1233" s="1583"/>
      <c r="Q1233" s="1583"/>
      <c r="R1233" s="2384" t="s">
        <v>1253</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1791</v>
      </c>
      <c r="B1235" s="1630" t="s">
        <v>2651</v>
      </c>
      <c r="C1235" s="1524"/>
      <c r="D1235" s="1582"/>
      <c r="E1235" s="1582"/>
      <c r="F1235" s="1582"/>
      <c r="G1235" s="1582"/>
      <c r="H1235" s="1582"/>
      <c r="I1235" s="1582"/>
      <c r="J1235" s="1582"/>
      <c r="L1235" s="2392" t="s">
        <v>4751</v>
      </c>
      <c r="M1235" s="2393" t="s">
        <v>4752</v>
      </c>
      <c r="O1235" s="2382" t="s">
        <v>1866</v>
      </c>
      <c r="P1235" s="1317"/>
      <c r="Q1235" s="1317"/>
    </row>
    <row r="1237" spans="1:22" ht="12.75" customHeight="1">
      <c r="A1237" s="1627" t="s">
        <v>1982</v>
      </c>
      <c r="B1237" s="1583" t="s">
        <v>4743</v>
      </c>
      <c r="C1237" s="1583"/>
      <c r="D1237" s="1583"/>
      <c r="E1237" s="1583"/>
      <c r="F1237" s="1583"/>
      <c r="G1237" s="1583"/>
      <c r="H1237" s="1583"/>
      <c r="I1237" s="1583"/>
      <c r="J1237" s="1583"/>
      <c r="L1237" s="1631" t="s">
        <v>2909</v>
      </c>
      <c r="M1237" s="1626">
        <v>2</v>
      </c>
      <c r="N1237" s="1604" t="s">
        <v>3694</v>
      </c>
      <c r="P1237" s="457" t="str">
        <f>'Part VIII-Threshold Criteria'!P79</f>
        <v>Agree</v>
      </c>
      <c r="Q1237" s="457"/>
    </row>
    <row r="1238" spans="1:22">
      <c r="A1238" s="1627"/>
      <c r="B1238" s="1583"/>
      <c r="C1238" s="1583"/>
      <c r="D1238" s="1583"/>
      <c r="E1238" s="1583"/>
      <c r="F1238" s="1583"/>
      <c r="G1238" s="1583"/>
      <c r="H1238" s="1583"/>
      <c r="I1238" s="1583"/>
      <c r="J1238" s="1583"/>
      <c r="L1238" s="1631" t="s">
        <v>4750</v>
      </c>
      <c r="M1238" s="1631">
        <v>4</v>
      </c>
      <c r="O1238" s="1583"/>
      <c r="P1238" s="457"/>
      <c r="Q1238" s="457"/>
    </row>
    <row r="1239" spans="1:22">
      <c r="A1239" s="1620" t="s">
        <v>1984</v>
      </c>
      <c r="B1239" s="1604" t="s">
        <v>4753</v>
      </c>
      <c r="C1239" s="1604"/>
      <c r="D1239" s="1604"/>
      <c r="E1239" s="1604"/>
      <c r="F1239" s="1604"/>
      <c r="G1239" s="1604"/>
      <c r="H1239" s="1604"/>
      <c r="I1239" s="1604"/>
      <c r="J1239" s="1604"/>
      <c r="K1239" s="1583"/>
      <c r="L1239" s="1604"/>
      <c r="N1239" s="2394"/>
      <c r="O1239" s="2394"/>
      <c r="P1239" s="2394"/>
    </row>
    <row r="1240" spans="1:22">
      <c r="A1240" s="1620"/>
      <c r="B1240" s="1635" t="s">
        <v>1736</v>
      </c>
      <c r="C1240" s="1604" t="s">
        <v>4757</v>
      </c>
      <c r="D1240" s="1604"/>
      <c r="E1240" s="1604"/>
      <c r="F1240" s="1604"/>
      <c r="G1240" s="1604"/>
      <c r="H1240" s="1604"/>
      <c r="I1240" s="1604"/>
      <c r="J1240" s="1604"/>
      <c r="K1240" s="1583"/>
      <c r="L1240" s="1604"/>
      <c r="N1240" s="1604" t="s">
        <v>3694</v>
      </c>
      <c r="O1240" s="2394"/>
      <c r="P1240" s="1578">
        <f>'Part VIII-Threshold Criteria'!P82</f>
        <v>0</v>
      </c>
      <c r="Q1240" s="1578"/>
    </row>
    <row r="1241" spans="1:22">
      <c r="A1241" s="1620"/>
      <c r="B1241" s="1635" t="s">
        <v>1737</v>
      </c>
      <c r="C1241" s="1604" t="s">
        <v>4754</v>
      </c>
      <c r="D1241" s="1604"/>
      <c r="E1241" s="1604"/>
      <c r="F1241" s="1604"/>
      <c r="G1241" s="1604"/>
      <c r="H1241" s="1604"/>
      <c r="I1241" s="1604"/>
      <c r="J1241" s="1604"/>
      <c r="K1241" s="1583"/>
      <c r="L1241" s="1604"/>
      <c r="N1241" s="1604" t="s">
        <v>3694</v>
      </c>
      <c r="O1241" s="2394"/>
      <c r="P1241" s="1578">
        <f>'Part VIII-Threshold Criteria'!P83</f>
        <v>0</v>
      </c>
      <c r="Q1241" s="1578"/>
    </row>
    <row r="1242" spans="1:22">
      <c r="A1242" s="1627"/>
      <c r="B1242" s="1635" t="s">
        <v>1738</v>
      </c>
      <c r="C1242" s="1604" t="s">
        <v>4755</v>
      </c>
      <c r="E1242" s="1604"/>
      <c r="F1242" s="1604"/>
      <c r="G1242" s="1604"/>
      <c r="H1242" s="1604"/>
      <c r="I1242" s="1604"/>
      <c r="J1242" s="1604"/>
      <c r="K1242" s="1583"/>
      <c r="L1242" s="1604"/>
      <c r="M1242" s="2394"/>
      <c r="N1242" s="1604" t="s">
        <v>3694</v>
      </c>
      <c r="O1242" s="2394"/>
      <c r="P1242" s="1578">
        <f>'Part VIII-Threshold Criteria'!P84</f>
        <v>0</v>
      </c>
      <c r="Q1242" s="1578"/>
    </row>
    <row r="1243" spans="1:22">
      <c r="A1243" s="1762"/>
      <c r="B1243" s="1635" t="s">
        <v>2364</v>
      </c>
      <c r="C1243" s="1635" t="s">
        <v>4758</v>
      </c>
      <c r="D1243" s="1550"/>
      <c r="E1243" s="1550"/>
      <c r="F1243" s="1550"/>
      <c r="G1243" s="1550"/>
      <c r="H1243" s="1550"/>
      <c r="I1243" s="1314"/>
      <c r="J1243" s="1314"/>
      <c r="N1243" s="1604" t="s">
        <v>3694</v>
      </c>
      <c r="O1243" s="2394"/>
      <c r="P1243" s="1578">
        <f>'Part VIII-Threshold Criteria'!P85</f>
        <v>0</v>
      </c>
      <c r="Q1243" s="1578"/>
    </row>
    <row r="1244" spans="1:22">
      <c r="A1244" s="1762"/>
      <c r="B1244" s="1635"/>
      <c r="C1244" s="1604" t="s">
        <v>4759</v>
      </c>
      <c r="D1244" s="1550"/>
      <c r="E1244" s="1550"/>
      <c r="F1244" s="1550"/>
      <c r="G1244" s="1550"/>
      <c r="H1244" s="1550"/>
      <c r="I1244" s="1314"/>
      <c r="J1244" s="1314"/>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1548</v>
      </c>
      <c r="C1245" s="1583" t="s">
        <v>4756</v>
      </c>
      <c r="D1245" s="1583"/>
      <c r="E1245" s="1583"/>
      <c r="F1245" s="1583"/>
      <c r="G1245" s="1583"/>
      <c r="H1245" s="1583"/>
      <c r="I1245" s="1583"/>
      <c r="J1245" s="1583"/>
      <c r="K1245" s="1583"/>
      <c r="L1245" s="1583"/>
      <c r="M1245" s="1587"/>
      <c r="N1245" s="1604" t="s">
        <v>3694</v>
      </c>
      <c r="O1245" s="2394"/>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3751</v>
      </c>
      <c r="D1247" s="1525"/>
      <c r="E1247" s="1525"/>
      <c r="F1247" s="1525"/>
      <c r="G1247" s="1525"/>
      <c r="H1247" s="1524"/>
      <c r="I1247" s="1578"/>
      <c r="J1247" s="1578"/>
      <c r="K1247" s="1580" t="s">
        <v>1865</v>
      </c>
      <c r="L1247" s="1316"/>
      <c r="M1247" s="1316"/>
      <c r="N1247" s="1316"/>
      <c r="O1247" s="1316"/>
      <c r="P1247" s="1316"/>
      <c r="Q1247" s="1316"/>
    </row>
    <row r="1248" spans="1:22" ht="122.4">
      <c r="A1248" s="1583" t="str">
        <f>'Part VIII-Threshold Criteria'!A90</f>
        <v xml:space="preserve">Items in Section B 1-4 do not apply to this project. The Management agent has extensive experience in providing services and activities. </v>
      </c>
      <c r="B1248" s="1583"/>
      <c r="C1248" s="1583"/>
      <c r="D1248" s="1583"/>
      <c r="E1248" s="1583"/>
      <c r="F1248" s="1583"/>
      <c r="G1248" s="1583"/>
      <c r="H1248" s="1583"/>
      <c r="I1248" s="1583"/>
      <c r="J1248" s="1583"/>
      <c r="K1248" s="1583"/>
      <c r="L1248" s="1583"/>
      <c r="M1248" s="1583"/>
      <c r="N1248" s="1583"/>
      <c r="O1248" s="1583"/>
      <c r="P1248" s="1583"/>
      <c r="Q1248" s="1583"/>
      <c r="R1248" s="2384" t="s">
        <v>1253</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1793</v>
      </c>
      <c r="B1250" s="1630" t="s">
        <v>2652</v>
      </c>
      <c r="C1250" s="1630"/>
      <c r="D1250" s="1582"/>
      <c r="E1250" s="1582"/>
      <c r="F1250" s="1582"/>
      <c r="G1250" s="1582"/>
      <c r="H1250" s="1582"/>
      <c r="I1250" s="1582"/>
      <c r="J1250" s="1582"/>
      <c r="K1250" s="1582"/>
      <c r="O1250" s="2382" t="s">
        <v>1866</v>
      </c>
      <c r="P1250" s="1317"/>
      <c r="Q1250" s="1317"/>
    </row>
    <row r="1252" spans="1:22">
      <c r="A1252" s="1620" t="s">
        <v>1982</v>
      </c>
      <c r="B1252" s="1051" t="s">
        <v>2459</v>
      </c>
      <c r="D1252" s="1550"/>
      <c r="E1252" s="1550"/>
      <c r="F1252" s="1550"/>
      <c r="G1252" s="1550"/>
      <c r="H1252" s="1550"/>
      <c r="I1252" s="1314"/>
      <c r="J1252" s="1314"/>
      <c r="K1252" s="1314"/>
      <c r="L1252" s="1620" t="s">
        <v>1982</v>
      </c>
      <c r="M1252" s="457" t="str">
        <f>'Part VIII-Threshold Criteria'!M94</f>
        <v>Gibson Consulting, LLC</v>
      </c>
      <c r="N1252" s="457">
        <f>'Part VIII-Threshold Criteria'!N94</f>
        <v>0</v>
      </c>
      <c r="O1252" s="457">
        <f>'Part VIII-Threshold Criteria'!O94</f>
        <v>0</v>
      </c>
      <c r="P1252" s="1314">
        <f>'Part VIII-Threshold Criteria'!P94</f>
        <v>0</v>
      </c>
      <c r="Q1252" s="1578"/>
    </row>
    <row r="1253" spans="1:22">
      <c r="A1253" s="1620" t="s">
        <v>1984</v>
      </c>
      <c r="B1253" s="457" t="s">
        <v>2035</v>
      </c>
      <c r="D1253" s="1550"/>
      <c r="E1253" s="1550"/>
      <c r="F1253" s="1550"/>
      <c r="L1253" s="1620" t="s">
        <v>1984</v>
      </c>
      <c r="M1253" s="457" t="str">
        <f>'Part VIII-Threshold Criteria'!M95</f>
        <v>180 Days</v>
      </c>
      <c r="N1253" s="457">
        <f>'Part VIII-Threshold Criteria'!N95</f>
        <v>0</v>
      </c>
      <c r="O1253" s="457">
        <f>'Part VIII-Threshold Criteria'!O95</f>
        <v>0</v>
      </c>
      <c r="P1253" s="1314">
        <f>'Part VIII-Threshold Criteria'!P95</f>
        <v>0</v>
      </c>
      <c r="Q1253" s="1578"/>
    </row>
    <row r="1254" spans="1:22">
      <c r="A1254" s="1620" t="s">
        <v>748</v>
      </c>
      <c r="B1254" s="457" t="s">
        <v>2877</v>
      </c>
      <c r="D1254" s="1550"/>
      <c r="E1254" s="1550"/>
      <c r="F1254" s="1550"/>
      <c r="L1254" s="1620" t="s">
        <v>748</v>
      </c>
      <c r="M1254" s="2395" t="str">
        <f>'Part VIII-Threshold Criteria'!M96</f>
        <v>95-100%</v>
      </c>
      <c r="N1254" s="2395">
        <f>'Part VIII-Threshold Criteria'!N96</f>
        <v>0</v>
      </c>
      <c r="O1254" s="2395">
        <f>'Part VIII-Threshold Criteria'!O96</f>
        <v>0</v>
      </c>
      <c r="P1254" s="1843">
        <f>'Part VIII-Threshold Criteria'!P96</f>
        <v>0</v>
      </c>
      <c r="Q1254" s="1578"/>
    </row>
    <row r="1255" spans="1:22">
      <c r="A1255" s="1620" t="s">
        <v>2114</v>
      </c>
      <c r="B1255" s="457" t="s">
        <v>3892</v>
      </c>
      <c r="D1255" s="1550"/>
      <c r="E1255" s="1550"/>
      <c r="F1255" s="1550"/>
      <c r="L1255" s="1620" t="s">
        <v>3893</v>
      </c>
      <c r="M1255" s="2396">
        <f>'Part VIII-Threshold Criteria'!M97</f>
        <v>0.1426</v>
      </c>
      <c r="N1255" s="2395"/>
      <c r="O1255" s="1623" t="s">
        <v>4124</v>
      </c>
      <c r="P1255" s="1766" t="str">
        <f>'Part VIII-Threshold Criteria'!P97</f>
        <v>NA</v>
      </c>
      <c r="Q1255" s="1578"/>
    </row>
    <row r="1256" spans="1:22">
      <c r="A1256" s="1627" t="s">
        <v>1734</v>
      </c>
      <c r="B1256" s="1604" t="s">
        <v>3891</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2377</v>
      </c>
      <c r="E1257" s="1524" t="s">
        <v>616</v>
      </c>
      <c r="F1257" s="1524"/>
      <c r="H1257" s="457"/>
      <c r="I1257" s="1578" t="s">
        <v>2377</v>
      </c>
      <c r="J1257" s="1524" t="s">
        <v>616</v>
      </c>
      <c r="K1257" s="1524"/>
      <c r="M1257" s="457"/>
      <c r="N1257" s="1578" t="s">
        <v>2377</v>
      </c>
      <c r="O1257" s="1524" t="s">
        <v>616</v>
      </c>
      <c r="P1257" s="1524"/>
      <c r="Q1257" s="1620"/>
    </row>
    <row r="1258" spans="1:22">
      <c r="C1258" s="1620" t="s">
        <v>1736</v>
      </c>
      <c r="D1258" s="1578" t="str">
        <f>'Part VIII-Threshold Criteria'!D100</f>
        <v>2014-054</v>
      </c>
      <c r="E1258" s="457" t="str">
        <f>'Part VIII-Threshold Criteria'!E100</f>
        <v>Park Senior Village</v>
      </c>
      <c r="F1258" s="457">
        <f>'Part VIII-Threshold Criteria'!F100</f>
        <v>0</v>
      </c>
      <c r="G1258" s="457">
        <f>'Part VIII-Threshold Criteria'!G100</f>
        <v>0</v>
      </c>
      <c r="H1258" s="1620" t="s">
        <v>1738</v>
      </c>
      <c r="I1258" s="1578">
        <f>'Part VIII-Threshold Criteria'!I100</f>
        <v>0</v>
      </c>
      <c r="J1258" s="457">
        <f>'Part VIII-Threshold Criteria'!J100</f>
        <v>0</v>
      </c>
      <c r="K1258" s="457">
        <f>'Part VIII-Threshold Criteria'!K100</f>
        <v>0</v>
      </c>
      <c r="L1258" s="457">
        <f>'Part VIII-Threshold Criteria'!L100</f>
        <v>0</v>
      </c>
      <c r="M1258" s="1620" t="s">
        <v>1548</v>
      </c>
      <c r="N1258" s="1578">
        <f>'Part VIII-Threshold Criteria'!N100</f>
        <v>0</v>
      </c>
      <c r="O1258" s="457">
        <f>'Part VIII-Threshold Criteria'!O100</f>
        <v>0</v>
      </c>
      <c r="P1258" s="457">
        <f>'Part VIII-Threshold Criteria'!P100</f>
        <v>0</v>
      </c>
      <c r="Q1258" s="457">
        <f>'Part VIII-Threshold Criteria'!Q100</f>
        <v>0</v>
      </c>
    </row>
    <row r="1259" spans="1:22">
      <c r="C1259" s="1620" t="s">
        <v>1737</v>
      </c>
      <c r="D1259" s="1578" t="str">
        <f>'Part VIII-Threshold Criteria'!D101</f>
        <v>2010-067</v>
      </c>
      <c r="E1259" s="457" t="str">
        <f>'Part VIII-Threshold Criteria'!E101</f>
        <v>Forest Senior Village</v>
      </c>
      <c r="F1259" s="457">
        <f>'Part VIII-Threshold Criteria'!F101</f>
        <v>0</v>
      </c>
      <c r="G1259" s="457">
        <f>'Part VIII-Threshold Criteria'!G101</f>
        <v>0</v>
      </c>
      <c r="H1259" s="1620" t="s">
        <v>2364</v>
      </c>
      <c r="I1259" s="1578">
        <f>'Part VIII-Threshold Criteria'!I101</f>
        <v>0</v>
      </c>
      <c r="J1259" s="457">
        <f>'Part VIII-Threshold Criteria'!J101</f>
        <v>0</v>
      </c>
      <c r="K1259" s="457">
        <f>'Part VIII-Threshold Criteria'!K101</f>
        <v>0</v>
      </c>
      <c r="L1259" s="457">
        <f>'Part VIII-Threshold Criteria'!L101</f>
        <v>0</v>
      </c>
      <c r="M1259" s="1620" t="s">
        <v>1549</v>
      </c>
      <c r="N1259" s="1578">
        <f>'Part VIII-Threshold Criteria'!N101</f>
        <v>0</v>
      </c>
      <c r="O1259" s="457">
        <f>'Part VIII-Threshold Criteria'!O101</f>
        <v>0</v>
      </c>
      <c r="P1259" s="457">
        <f>'Part VIII-Threshold Criteria'!P101</f>
        <v>0</v>
      </c>
      <c r="Q1259" s="457">
        <f>'Part VIII-Threshold Criteria'!Q101</f>
        <v>0</v>
      </c>
    </row>
    <row r="1260" spans="1:22">
      <c r="A1260" s="1620" t="s">
        <v>1735</v>
      </c>
      <c r="B1260" s="457" t="s">
        <v>0</v>
      </c>
      <c r="D1260" s="1550"/>
      <c r="E1260" s="1550"/>
      <c r="F1260" s="1550"/>
      <c r="G1260" s="1550"/>
      <c r="H1260" s="1550"/>
      <c r="I1260" s="1314"/>
      <c r="J1260" s="1314"/>
      <c r="K1260" s="1550"/>
      <c r="L1260" s="1517"/>
      <c r="M1260" s="1517"/>
      <c r="O1260" s="1620" t="s">
        <v>1735</v>
      </c>
      <c r="P1260" s="1578" t="str">
        <f>'Part VIII-Threshold Criteria'!P102</f>
        <v>Yes</v>
      </c>
      <c r="Q1260" s="1578"/>
    </row>
    <row r="1261" spans="1:22">
      <c r="B1261" s="1525" t="s">
        <v>3751</v>
      </c>
      <c r="D1261" s="1525"/>
      <c r="E1261" s="1525"/>
      <c r="F1261" s="1525"/>
      <c r="G1261" s="1525"/>
      <c r="H1261" s="1524"/>
      <c r="I1261" s="1578"/>
      <c r="J1261" s="1578"/>
      <c r="K1261" s="1578"/>
      <c r="L1261" s="1316"/>
      <c r="M1261" s="1316"/>
      <c r="N1261" s="1316"/>
      <c r="O1261" s="1316"/>
      <c r="P1261" s="1316"/>
      <c r="Q1261" s="1316"/>
    </row>
    <row r="1262" spans="1:22" ht="163.19999999999999">
      <c r="A1262" s="1583" t="str">
        <f>'Part VIII-Threshold Criteria'!A104</f>
        <v xml:space="preserve">Woodstone Apartments II has several vacancies which will be utilized as part of the relocation plan. Once the project is completely renovated, the units will be fully leased within 180 days.  </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1865</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529</v>
      </c>
      <c r="B1265" s="1630" t="s">
        <v>2653</v>
      </c>
      <c r="C1265" s="1630"/>
      <c r="D1265" s="1582"/>
      <c r="E1265" s="1582"/>
      <c r="F1265" s="1582"/>
      <c r="G1265" s="1582"/>
      <c r="H1265" s="1582"/>
      <c r="I1265" s="1582"/>
      <c r="J1265" s="1582"/>
      <c r="K1265" s="1582"/>
      <c r="L1265" s="1582"/>
      <c r="M1265" s="1582"/>
      <c r="O1265" s="2382" t="s">
        <v>1866</v>
      </c>
      <c r="P1265" s="1317"/>
      <c r="Q1265" s="1317"/>
    </row>
    <row r="1267" spans="1:22">
      <c r="B1267" s="1051" t="s">
        <v>4937</v>
      </c>
      <c r="P1267" s="1578" t="str">
        <f>'Part VIII-Threshold Criteria'!P109</f>
        <v>Yes</v>
      </c>
      <c r="Q1267" s="1578"/>
    </row>
    <row r="1268" spans="1:22">
      <c r="A1268" s="1620" t="s">
        <v>1982</v>
      </c>
      <c r="B1268" s="457" t="s">
        <v>492</v>
      </c>
      <c r="C1268" s="457"/>
      <c r="E1268" s="457"/>
      <c r="F1268" s="457"/>
      <c r="G1268" s="457"/>
      <c r="H1268" s="457"/>
      <c r="I1268" s="457"/>
      <c r="J1268" s="457"/>
      <c r="K1268" s="457"/>
      <c r="L1268" s="457"/>
      <c r="M1268" s="457"/>
      <c r="O1268" s="1620" t="s">
        <v>1982</v>
      </c>
      <c r="P1268" s="1578" t="str">
        <f>'Part VIII-Threshold Criteria'!P110</f>
        <v>No</v>
      </c>
      <c r="Q1268" s="1578"/>
    </row>
    <row r="1269" spans="1:22">
      <c r="A1269" s="1620" t="s">
        <v>1984</v>
      </c>
      <c r="B1269" s="457" t="s">
        <v>1303</v>
      </c>
      <c r="C1269" s="457"/>
      <c r="E1269" s="457"/>
      <c r="F1269" s="457"/>
      <c r="G1269" s="457"/>
      <c r="H1269" s="457"/>
      <c r="I1269" s="457"/>
      <c r="J1269" s="457"/>
      <c r="K1269" s="457"/>
      <c r="L1269" s="1524"/>
      <c r="M1269" s="1524"/>
      <c r="O1269" s="1620" t="s">
        <v>1984</v>
      </c>
      <c r="P1269" s="1578" t="str">
        <f>'Part VIII-Threshold Criteria'!P111</f>
        <v>Yes</v>
      </c>
      <c r="Q1269" s="1578"/>
    </row>
    <row r="1270" spans="1:22">
      <c r="A1270" s="457"/>
      <c r="B1270" s="457" t="s">
        <v>553</v>
      </c>
      <c r="E1270" s="1314"/>
      <c r="F1270" s="1314"/>
      <c r="G1270" s="1314"/>
      <c r="H1270" s="1314"/>
      <c r="I1270" s="1314"/>
      <c r="L1270" s="1620" t="s">
        <v>554</v>
      </c>
      <c r="M1270" s="457" t="str">
        <f>'Part VIII-Threshold Criteria'!M112</f>
        <v>Dempsey Appraisal</v>
      </c>
      <c r="N1270" s="457">
        <f>'Part VIII-Threshold Criteria'!N112</f>
        <v>0</v>
      </c>
      <c r="O1270" s="457">
        <f>'Part VIII-Threshold Criteria'!O112</f>
        <v>0</v>
      </c>
      <c r="P1270" s="1314">
        <f>'Part VIII-Threshold Criteria'!P112</f>
        <v>0</v>
      </c>
      <c r="Q1270" s="1578"/>
    </row>
    <row r="1271" spans="1:22">
      <c r="A1271" s="1578"/>
      <c r="B1271" s="1635" t="s">
        <v>1736</v>
      </c>
      <c r="C1271" s="1524" t="s">
        <v>4760</v>
      </c>
      <c r="D1271" s="1630"/>
      <c r="E1271" s="1630"/>
      <c r="F1271" s="1630"/>
      <c r="G1271" s="1630"/>
      <c r="H1271" s="1630"/>
      <c r="I1271" s="1630"/>
      <c r="J1271" s="1630"/>
      <c r="K1271" s="1630"/>
      <c r="L1271" s="1630"/>
      <c r="M1271" s="1630"/>
      <c r="O1271" s="1627" t="s">
        <v>1736</v>
      </c>
      <c r="P1271" s="1578" t="str">
        <f>'Part VIII-Threshold Criteria'!P113</f>
        <v>Yes</v>
      </c>
      <c r="Q1271" s="1578"/>
    </row>
    <row r="1272" spans="1:22">
      <c r="A1272" s="1578"/>
      <c r="B1272" s="1524" t="s">
        <v>1737</v>
      </c>
      <c r="C1272" s="1524" t="s">
        <v>3469</v>
      </c>
      <c r="D1272" s="1630"/>
      <c r="E1272" s="1630"/>
      <c r="F1272" s="1630"/>
      <c r="G1272" s="1630"/>
      <c r="H1272" s="1630"/>
      <c r="I1272" s="1630"/>
      <c r="J1272" s="1630"/>
      <c r="K1272" s="1630"/>
      <c r="L1272" s="1630"/>
      <c r="M1272" s="1630"/>
      <c r="O1272" s="1620" t="s">
        <v>1737</v>
      </c>
      <c r="P1272" s="1578" t="str">
        <f>'Part VIII-Threshold Criteria'!P114</f>
        <v>Yes</v>
      </c>
      <c r="Q1272" s="1578"/>
    </row>
    <row r="1273" spans="1:22">
      <c r="A1273" s="1578"/>
      <c r="B1273" s="1635" t="s">
        <v>1738</v>
      </c>
      <c r="C1273" s="1524" t="s">
        <v>3470</v>
      </c>
      <c r="D1273" s="1630"/>
      <c r="E1273" s="1630"/>
      <c r="F1273" s="1630"/>
      <c r="G1273" s="1630"/>
      <c r="H1273" s="1630"/>
      <c r="I1273" s="1630"/>
      <c r="J1273" s="1630"/>
      <c r="K1273" s="1630"/>
      <c r="L1273" s="1630"/>
      <c r="M1273" s="1630"/>
      <c r="O1273" s="1627" t="s">
        <v>1738</v>
      </c>
      <c r="P1273" s="1578" t="str">
        <f>'Part VIII-Threshold Criteria'!P115</f>
        <v>Yes</v>
      </c>
      <c r="Q1273" s="1578"/>
    </row>
    <row r="1274" spans="1:22">
      <c r="A1274" s="1578"/>
      <c r="B1274" s="1635" t="s">
        <v>2364</v>
      </c>
      <c r="C1274" s="1524" t="s">
        <v>2878</v>
      </c>
      <c r="D1274" s="1524"/>
      <c r="E1274" s="1524"/>
      <c r="F1274" s="1524"/>
      <c r="G1274" s="1524"/>
      <c r="H1274" s="1524"/>
      <c r="I1274" s="1524"/>
      <c r="J1274" s="1524"/>
      <c r="K1274" s="1524"/>
      <c r="L1274" s="1524"/>
      <c r="M1274" s="1526"/>
      <c r="O1274" s="1627" t="s">
        <v>2364</v>
      </c>
      <c r="P1274" s="1578" t="str">
        <f>'Part VIII-Threshold Criteria'!P116</f>
        <v>Yes</v>
      </c>
      <c r="Q1274" s="1578"/>
    </row>
    <row r="1275" spans="1:22" ht="12.75" customHeight="1">
      <c r="A1275" s="1631"/>
      <c r="B1275" s="1635" t="s">
        <v>1548</v>
      </c>
      <c r="C1275" s="1583" t="s">
        <v>2688</v>
      </c>
      <c r="D1275" s="1583"/>
      <c r="E1275" s="1583"/>
      <c r="F1275" s="1583"/>
      <c r="G1275" s="1583"/>
      <c r="H1275" s="1583"/>
      <c r="I1275" s="1583"/>
      <c r="J1275" s="1583"/>
      <c r="K1275" s="1583"/>
      <c r="L1275" s="1583"/>
      <c r="M1275" s="1583"/>
      <c r="N1275" s="1583"/>
      <c r="O1275" s="1627" t="s">
        <v>1548</v>
      </c>
      <c r="P1275" s="1631">
        <f>'Part VIII-Threshold Criteria'!P117</f>
        <v>0</v>
      </c>
      <c r="Q1275" s="1631"/>
      <c r="R1275" s="1596"/>
      <c r="S1275" s="1596"/>
      <c r="T1275" s="1596"/>
      <c r="U1275" s="1596"/>
      <c r="V1275" s="1596"/>
    </row>
    <row r="1276" spans="1:22">
      <c r="A1276" s="1620" t="s">
        <v>748</v>
      </c>
      <c r="B1276" s="457" t="s">
        <v>146</v>
      </c>
      <c r="D1276" s="457"/>
      <c r="E1276" s="457"/>
      <c r="F1276" s="457"/>
      <c r="G1276" s="457"/>
      <c r="H1276" s="457"/>
      <c r="I1276" s="457"/>
      <c r="J1276" s="457"/>
      <c r="K1276" s="457"/>
      <c r="L1276" s="457"/>
      <c r="M1276" s="457"/>
      <c r="O1276" s="1620" t="s">
        <v>748</v>
      </c>
      <c r="P1276" s="1578">
        <f>'Part VIII-Threshold Criteria'!P118</f>
        <v>0</v>
      </c>
      <c r="Q1276" s="1578"/>
    </row>
    <row r="1277" spans="1:22">
      <c r="A1277" s="1620" t="s">
        <v>2114</v>
      </c>
      <c r="B1277" s="457" t="s">
        <v>1427</v>
      </c>
      <c r="D1277" s="457"/>
      <c r="E1277" s="457"/>
      <c r="G1277" s="457"/>
      <c r="I1277" s="457"/>
      <c r="K1277" s="457"/>
      <c r="L1277" s="1524"/>
      <c r="M1277" s="1524"/>
      <c r="N1277" s="1524"/>
      <c r="O1277" s="1620" t="s">
        <v>2114</v>
      </c>
      <c r="P1277" s="1524"/>
      <c r="Q1277" s="1524"/>
    </row>
    <row r="1278" spans="1:22">
      <c r="B1278" s="1524" t="s">
        <v>1736</v>
      </c>
      <c r="C1278" s="457" t="s">
        <v>1428</v>
      </c>
      <c r="E1278" s="457"/>
      <c r="F1278" s="457"/>
      <c r="G1278" s="457"/>
      <c r="H1278" s="457"/>
      <c r="I1278" s="457"/>
      <c r="J1278" s="457"/>
      <c r="K1278" s="457"/>
      <c r="L1278" s="1524"/>
      <c r="M1278" s="1524"/>
      <c r="O1278" s="1620" t="s">
        <v>1736</v>
      </c>
      <c r="P1278" s="1578" t="str">
        <f>'Part VIII-Threshold Criteria'!P120</f>
        <v>No</v>
      </c>
      <c r="Q1278" s="1578"/>
    </row>
    <row r="1279" spans="1:22">
      <c r="B1279" s="1524" t="s">
        <v>1737</v>
      </c>
      <c r="C1279" s="457" t="s">
        <v>1429</v>
      </c>
      <c r="E1279" s="457"/>
      <c r="F1279" s="457"/>
      <c r="G1279" s="457"/>
      <c r="H1279" s="457"/>
      <c r="I1279" s="457"/>
      <c r="J1279" s="457"/>
      <c r="K1279" s="457"/>
      <c r="L1279" s="1524"/>
      <c r="M1279" s="1524"/>
      <c r="O1279" s="1620" t="s">
        <v>1737</v>
      </c>
      <c r="P1279" s="1578" t="str">
        <f>'Part VIII-Threshold Criteria'!P121</f>
        <v>No</v>
      </c>
      <c r="Q1279" s="1578"/>
    </row>
    <row r="1280" spans="1:22">
      <c r="B1280" s="1524" t="s">
        <v>1738</v>
      </c>
      <c r="C1280" s="457" t="s">
        <v>1430</v>
      </c>
      <c r="E1280" s="457"/>
      <c r="F1280" s="457"/>
      <c r="G1280" s="457"/>
      <c r="H1280" s="457"/>
      <c r="I1280" s="457"/>
      <c r="J1280" s="457"/>
      <c r="K1280" s="457"/>
      <c r="L1280" s="1524"/>
      <c r="M1280" s="1524"/>
      <c r="O1280" s="1620" t="s">
        <v>1738</v>
      </c>
      <c r="P1280" s="1578" t="str">
        <f>'Part VIII-Threshold Criteria'!P122</f>
        <v>No</v>
      </c>
      <c r="Q1280" s="1578"/>
    </row>
    <row r="1281" spans="1:22">
      <c r="B1281" s="1525" t="s">
        <v>3751</v>
      </c>
      <c r="D1281" s="1525"/>
      <c r="E1281" s="1525"/>
      <c r="F1281" s="1525"/>
      <c r="G1281" s="1525"/>
      <c r="H1281" s="1524"/>
      <c r="I1281" s="1578"/>
      <c r="J1281" s="1578"/>
      <c r="K1281" s="1578"/>
      <c r="L1281" s="1316"/>
      <c r="M1281" s="1316"/>
      <c r="N1281" s="1316"/>
      <c r="O1281" s="1316"/>
      <c r="P1281" s="1316"/>
      <c r="Q1281" s="1316"/>
    </row>
    <row r="1282" spans="1:22" ht="91.8">
      <c r="A1282" s="1583" t="str">
        <f>'Part VIII-Threshold Criteria'!A124</f>
        <v>Project does not involve HOME funds. There is no identity of interest between buyer and seller.</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1865</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771</v>
      </c>
      <c r="B1285" s="1630" t="s">
        <v>2654</v>
      </c>
      <c r="C1285" s="1524"/>
      <c r="D1285" s="1582"/>
      <c r="E1285" s="1582"/>
      <c r="F1285" s="1582"/>
      <c r="G1285" s="1582"/>
      <c r="H1285" s="1582"/>
      <c r="I1285" s="1582"/>
      <c r="J1285" s="1582"/>
      <c r="K1285" s="1582"/>
      <c r="L1285" s="1582"/>
      <c r="M1285" s="1582"/>
      <c r="O1285" s="2382" t="s">
        <v>1866</v>
      </c>
      <c r="P1285" s="1317"/>
      <c r="Q1285" s="1317"/>
    </row>
    <row r="1287" spans="1:22">
      <c r="A1287" s="1620" t="s">
        <v>1982</v>
      </c>
      <c r="B1287" s="457" t="s">
        <v>3634</v>
      </c>
      <c r="D1287" s="1550"/>
      <c r="E1287" s="1550"/>
      <c r="F1287" s="1550"/>
      <c r="G1287" s="1550"/>
      <c r="H1287" s="1550"/>
      <c r="I1287" s="1314"/>
      <c r="J1287" s="1314"/>
      <c r="K1287" s="1620" t="s">
        <v>1982</v>
      </c>
      <c r="L1287" s="1317" t="str">
        <f>'Part VIII-Threshold Criteria'!L129</f>
        <v>GIBCO Environmental LLC</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1984</v>
      </c>
      <c r="B1288" s="457" t="s">
        <v>1537</v>
      </c>
      <c r="D1288" s="1550"/>
      <c r="E1288" s="1550"/>
      <c r="F1288" s="1550"/>
      <c r="G1288" s="1550"/>
      <c r="H1288" s="1550"/>
      <c r="I1288" s="1314"/>
      <c r="J1288" s="1314"/>
      <c r="K1288" s="1550"/>
      <c r="L1288" s="1517"/>
      <c r="O1288" s="1620" t="s">
        <v>1984</v>
      </c>
      <c r="P1288" s="1578" t="str">
        <f>'Part VIII-Threshold Criteria'!P130</f>
        <v>No</v>
      </c>
      <c r="Q1288" s="1578"/>
    </row>
    <row r="1289" spans="1:22">
      <c r="A1289" s="1620" t="s">
        <v>748</v>
      </c>
      <c r="B1289" s="457" t="s">
        <v>151</v>
      </c>
      <c r="D1289" s="1550"/>
      <c r="E1289" s="1550"/>
      <c r="F1289" s="1550"/>
      <c r="G1289" s="1550"/>
      <c r="H1289" s="1550"/>
      <c r="I1289" s="1314"/>
      <c r="J1289" s="1314"/>
      <c r="K1289" s="1517"/>
      <c r="L1289" s="1517"/>
      <c r="O1289" s="1620" t="s">
        <v>748</v>
      </c>
      <c r="P1289" s="1578" t="str">
        <f>'Part VIII-Threshold Criteria'!P131</f>
        <v>Yes</v>
      </c>
      <c r="Q1289" s="1578"/>
    </row>
    <row r="1290" spans="1:22">
      <c r="A1290" s="1620"/>
      <c r="B1290" s="1524" t="s">
        <v>1736</v>
      </c>
      <c r="C1290" s="457" t="s">
        <v>2687</v>
      </c>
      <c r="E1290" s="1550"/>
      <c r="F1290" s="1550"/>
      <c r="G1290" s="1550"/>
      <c r="H1290" s="1550"/>
      <c r="I1290" s="1314"/>
      <c r="J1290" s="1314"/>
      <c r="K1290" s="1620" t="s">
        <v>1736</v>
      </c>
      <c r="L1290" s="1317" t="str">
        <f>'Part VIII-Threshold Criteria'!L132</f>
        <v>GIBCO Environmental LLC</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1737</v>
      </c>
      <c r="C1291" s="457" t="s">
        <v>3471</v>
      </c>
      <c r="E1291" s="1314"/>
      <c r="F1291" s="1314"/>
      <c r="G1291" s="1314"/>
      <c r="H1291" s="457"/>
      <c r="I1291" s="1314"/>
      <c r="J1291" s="1314"/>
      <c r="K1291" s="1550"/>
      <c r="L1291" s="1517"/>
      <c r="M1291" s="1517"/>
      <c r="O1291" s="1620" t="s">
        <v>1737</v>
      </c>
      <c r="P1291" s="1578">
        <f>'Part VIII-Threshold Criteria'!P133</f>
        <v>64.258499999999998</v>
      </c>
      <c r="Q1291" s="1578"/>
    </row>
    <row r="1292" spans="1:22">
      <c r="A1292" s="1511"/>
      <c r="B1292" s="1524" t="s">
        <v>1738</v>
      </c>
      <c r="C1292" s="457" t="s">
        <v>4744</v>
      </c>
      <c r="E1292" s="1314"/>
      <c r="F1292" s="1314"/>
      <c r="G1292" s="1314"/>
      <c r="H1292" s="457"/>
      <c r="I1292" s="1314"/>
      <c r="J1292" s="1314"/>
      <c r="K1292" s="1550"/>
      <c r="L1292" s="1517"/>
      <c r="M1292" s="1517"/>
      <c r="O1292" s="1620" t="s">
        <v>1738</v>
      </c>
      <c r="P1292" s="1578" t="str">
        <f>'Part VIII-Threshold Criteria'!P134</f>
        <v>NA</v>
      </c>
      <c r="Q1292" s="1578"/>
    </row>
    <row r="1293" spans="1:22">
      <c r="A1293" s="1620" t="s">
        <v>2114</v>
      </c>
      <c r="B1293" s="457" t="s">
        <v>1259</v>
      </c>
      <c r="D1293" s="1550"/>
      <c r="E1293" s="1550"/>
      <c r="F1293" s="1550"/>
      <c r="G1293" s="1550"/>
      <c r="H1293" s="1550"/>
      <c r="I1293" s="1314"/>
      <c r="J1293" s="1314"/>
      <c r="K1293" s="1550"/>
      <c r="L1293" s="1517"/>
      <c r="M1293" s="1517"/>
      <c r="N1293" s="1517"/>
      <c r="O1293" s="1620" t="s">
        <v>2114</v>
      </c>
    </row>
    <row r="1294" spans="1:22">
      <c r="A1294" s="1620"/>
      <c r="B1294" s="1524" t="s">
        <v>1736</v>
      </c>
      <c r="C1294" s="457" t="s">
        <v>149</v>
      </c>
      <c r="E1294" s="1550"/>
      <c r="F1294" s="1550"/>
      <c r="G1294" s="1550"/>
      <c r="H1294" s="1550"/>
      <c r="I1294" s="1314"/>
      <c r="J1294" s="1314"/>
      <c r="K1294" s="1550"/>
      <c r="L1294" s="1517"/>
      <c r="M1294" s="1517"/>
      <c r="O1294" s="1620" t="s">
        <v>1736</v>
      </c>
      <c r="P1294" s="1578" t="str">
        <f>'Part VIII-Threshold Criteria'!P136</f>
        <v>No</v>
      </c>
      <c r="Q1294" s="1578"/>
    </row>
    <row r="1295" spans="1:22">
      <c r="A1295" s="1620"/>
      <c r="B1295" s="1524" t="s">
        <v>1737</v>
      </c>
      <c r="C1295" s="457" t="s">
        <v>1260</v>
      </c>
      <c r="E1295" s="1550"/>
      <c r="F1295" s="1550"/>
      <c r="G1295" s="1550"/>
      <c r="H1295" s="1314"/>
      <c r="I1295" s="1314"/>
      <c r="J1295" s="1314"/>
      <c r="K1295" s="1550"/>
      <c r="L1295" s="1517"/>
      <c r="M1295" s="1517"/>
      <c r="O1295" s="1620" t="s">
        <v>1737</v>
      </c>
      <c r="P1295" s="1578" t="str">
        <f>'Part VIII-Threshold Criteria'!P137</f>
        <v>No</v>
      </c>
      <c r="Q1295" s="1578"/>
    </row>
    <row r="1296" spans="1:22">
      <c r="A1296" s="1620"/>
      <c r="B1296" s="1524"/>
      <c r="C1296" s="457" t="s">
        <v>2631</v>
      </c>
      <c r="E1296" s="1620" t="s">
        <v>2434</v>
      </c>
      <c r="F1296" s="457" t="s">
        <v>2632</v>
      </c>
      <c r="G1296" s="1314"/>
      <c r="H1296" s="457"/>
      <c r="I1296" s="1314"/>
      <c r="J1296" s="1314"/>
      <c r="K1296" s="1550"/>
      <c r="L1296" s="1517"/>
      <c r="M1296" s="1517"/>
      <c r="O1296" s="1620" t="s">
        <v>2434</v>
      </c>
      <c r="P1296" s="2397">
        <f>'Part VIII-Threshold Criteria'!P138</f>
        <v>0</v>
      </c>
      <c r="Q1296" s="2397"/>
    </row>
    <row r="1297" spans="1:17">
      <c r="A1297" s="1620"/>
      <c r="B1297" s="1524"/>
      <c r="E1297" s="1620" t="s">
        <v>2435</v>
      </c>
      <c r="F1297" s="457" t="s">
        <v>2633</v>
      </c>
      <c r="G1297" s="1314"/>
      <c r="H1297" s="457"/>
      <c r="I1297" s="1314"/>
      <c r="J1297" s="1314"/>
      <c r="K1297" s="1550"/>
      <c r="L1297" s="1517"/>
      <c r="M1297" s="1517"/>
      <c r="O1297" s="1620" t="s">
        <v>2435</v>
      </c>
      <c r="P1297" s="1578">
        <f>'Part VIII-Threshold Criteria'!P139</f>
        <v>0</v>
      </c>
      <c r="Q1297" s="1578"/>
    </row>
    <row r="1298" spans="1:17">
      <c r="A1298" s="1620"/>
      <c r="B1298" s="1524"/>
      <c r="E1298" s="1620" t="s">
        <v>2436</v>
      </c>
      <c r="F1298" s="457" t="s">
        <v>2634</v>
      </c>
      <c r="G1298" s="1314"/>
      <c r="H1298" s="457"/>
      <c r="I1298" s="1314"/>
      <c r="J1298" s="1314"/>
      <c r="K1298" s="1550"/>
      <c r="L1298" s="1517"/>
      <c r="M1298" s="1517"/>
      <c r="O1298" s="1620" t="s">
        <v>2436</v>
      </c>
      <c r="P1298" s="1578">
        <f>'Part VIII-Threshold Criteria'!P140</f>
        <v>0</v>
      </c>
      <c r="Q1298" s="1578"/>
    </row>
    <row r="1299" spans="1:17">
      <c r="A1299" s="1620"/>
      <c r="B1299" s="1524" t="s">
        <v>1738</v>
      </c>
      <c r="C1299" s="457" t="s">
        <v>1261</v>
      </c>
      <c r="E1299" s="1550"/>
      <c r="F1299" s="1550"/>
      <c r="G1299" s="1550"/>
      <c r="H1299" s="457"/>
      <c r="I1299" s="1314"/>
      <c r="J1299" s="1314"/>
      <c r="K1299" s="1550"/>
      <c r="L1299" s="1517"/>
      <c r="M1299" s="1517"/>
      <c r="O1299" s="1620" t="s">
        <v>1738</v>
      </c>
      <c r="P1299" s="1578" t="str">
        <f>'Part VIII-Threshold Criteria'!P141</f>
        <v>No</v>
      </c>
      <c r="Q1299" s="1578"/>
    </row>
    <row r="1300" spans="1:17">
      <c r="A1300" s="1620"/>
      <c r="B1300" s="1620"/>
      <c r="C1300" s="457" t="s">
        <v>2631</v>
      </c>
      <c r="E1300" s="1620" t="s">
        <v>2434</v>
      </c>
      <c r="F1300" s="457" t="s">
        <v>2635</v>
      </c>
      <c r="G1300" s="1314"/>
      <c r="H1300" s="457"/>
      <c r="I1300" s="1314"/>
      <c r="J1300" s="1314"/>
      <c r="K1300" s="1550"/>
      <c r="L1300" s="1517"/>
      <c r="O1300" s="1620" t="s">
        <v>2434</v>
      </c>
      <c r="P1300" s="2397">
        <f>'Part VIII-Threshold Criteria'!P142</f>
        <v>0</v>
      </c>
      <c r="Q1300" s="2397"/>
    </row>
    <row r="1301" spans="1:17">
      <c r="A1301" s="1620"/>
      <c r="B1301" s="1620"/>
      <c r="E1301" s="1620" t="s">
        <v>2435</v>
      </c>
      <c r="F1301" s="457" t="s">
        <v>2636</v>
      </c>
      <c r="G1301" s="1314"/>
      <c r="H1301" s="457"/>
      <c r="I1301" s="1314"/>
      <c r="J1301" s="1314"/>
      <c r="O1301" s="1620" t="s">
        <v>2435</v>
      </c>
      <c r="P1301" s="1578">
        <f>'Part VIII-Threshold Criteria'!P143</f>
        <v>0</v>
      </c>
      <c r="Q1301" s="1578"/>
    </row>
    <row r="1302" spans="1:17">
      <c r="A1302" s="1620"/>
      <c r="B1302" s="1620"/>
      <c r="E1302" s="1620" t="s">
        <v>2436</v>
      </c>
      <c r="F1302" s="457" t="s">
        <v>2634</v>
      </c>
      <c r="G1302" s="1314"/>
      <c r="H1302" s="457"/>
      <c r="I1302" s="1314"/>
      <c r="J1302" s="1314"/>
      <c r="O1302" s="1620" t="s">
        <v>2436</v>
      </c>
      <c r="P1302" s="1578">
        <f>'Part VIII-Threshold Criteria'!P144</f>
        <v>0</v>
      </c>
      <c r="Q1302" s="1578"/>
    </row>
    <row r="1303" spans="1:17">
      <c r="A1303" s="1620" t="s">
        <v>1734</v>
      </c>
      <c r="B1303" s="1524" t="s">
        <v>2413</v>
      </c>
      <c r="D1303" s="1550"/>
      <c r="E1303" s="1550"/>
      <c r="F1303" s="1550"/>
      <c r="G1303" s="1550"/>
      <c r="H1303" s="1550"/>
      <c r="I1303" s="1314"/>
      <c r="J1303" s="1314"/>
      <c r="K1303" s="1550"/>
      <c r="L1303" s="1517"/>
      <c r="M1303" s="1517"/>
      <c r="N1303" s="1517"/>
      <c r="O1303" s="1517"/>
      <c r="P1303" s="1517"/>
      <c r="Q1303" s="1517"/>
    </row>
    <row r="1304" spans="1:17">
      <c r="B1304" s="1524" t="s">
        <v>1736</v>
      </c>
      <c r="C1304" s="457" t="s">
        <v>2494</v>
      </c>
      <c r="E1304" s="1550"/>
      <c r="F1304" s="1578" t="str">
        <f>'Part VIII-Threshold Criteria'!F146</f>
        <v>No</v>
      </c>
      <c r="G1304" s="1578"/>
      <c r="H1304" s="1620" t="s">
        <v>4980</v>
      </c>
      <c r="I1304" s="1051" t="s">
        <v>2639</v>
      </c>
      <c r="L1304" s="1578" t="str">
        <f>'Part VIII-Threshold Criteria'!L146</f>
        <v>No</v>
      </c>
      <c r="M1304" s="1578"/>
      <c r="N1304" s="1620" t="s">
        <v>4984</v>
      </c>
      <c r="O1304" s="457" t="s">
        <v>1551</v>
      </c>
      <c r="P1304" s="1578" t="str">
        <f>'Part VIII-Threshold Criteria'!P146</f>
        <v>No</v>
      </c>
      <c r="Q1304" s="1578"/>
    </row>
    <row r="1305" spans="1:17">
      <c r="A1305" s="457"/>
      <c r="B1305" s="1524" t="s">
        <v>1737</v>
      </c>
      <c r="C1305" s="457" t="s">
        <v>2801</v>
      </c>
      <c r="E1305" s="1550"/>
      <c r="F1305" s="1578" t="str">
        <f>'Part VIII-Threshold Criteria'!F147</f>
        <v>No</v>
      </c>
      <c r="G1305" s="1578"/>
      <c r="H1305" s="1620" t="s">
        <v>4981</v>
      </c>
      <c r="I1305" s="1051" t="s">
        <v>2640</v>
      </c>
      <c r="L1305" s="1578" t="str">
        <f>'Part VIII-Threshold Criteria'!L147</f>
        <v>No</v>
      </c>
      <c r="M1305" s="1578"/>
      <c r="N1305" s="1620" t="s">
        <v>4985</v>
      </c>
      <c r="O1305" s="457" t="s">
        <v>1550</v>
      </c>
      <c r="P1305" s="1578" t="str">
        <f>'Part VIII-Threshold Criteria'!P147</f>
        <v>No</v>
      </c>
      <c r="Q1305" s="1578"/>
    </row>
    <row r="1306" spans="1:17">
      <c r="A1306" s="457"/>
      <c r="B1306" s="1524" t="s">
        <v>1738</v>
      </c>
      <c r="C1306" s="457" t="s">
        <v>2638</v>
      </c>
      <c r="E1306" s="1550"/>
      <c r="F1306" s="1578" t="str">
        <f>'Part VIII-Threshold Criteria'!F148</f>
        <v>No</v>
      </c>
      <c r="G1306" s="1578"/>
      <c r="H1306" s="1620" t="s">
        <v>4982</v>
      </c>
      <c r="I1306" s="1051" t="s">
        <v>3843</v>
      </c>
      <c r="L1306" s="1578" t="str">
        <f>'Part VIII-Threshold Criteria'!L148</f>
        <v>No</v>
      </c>
      <c r="M1306" s="1578"/>
      <c r="N1306" s="1620" t="s">
        <v>4986</v>
      </c>
      <c r="O1306" s="457" t="s">
        <v>1552</v>
      </c>
      <c r="P1306" s="1578" t="str">
        <f>'Part VIII-Threshold Criteria'!P148</f>
        <v>No</v>
      </c>
      <c r="Q1306" s="1578"/>
    </row>
    <row r="1307" spans="1:17">
      <c r="A1307" s="457"/>
      <c r="B1307" s="1524" t="s">
        <v>2364</v>
      </c>
      <c r="C1307" s="457" t="s">
        <v>2804</v>
      </c>
      <c r="E1307" s="1550"/>
      <c r="F1307" s="1578" t="str">
        <f>'Part VIII-Threshold Criteria'!F149</f>
        <v>No</v>
      </c>
      <c r="G1307" s="1578"/>
      <c r="H1307" s="1620" t="s">
        <v>4983</v>
      </c>
      <c r="I1307" s="457" t="s">
        <v>2800</v>
      </c>
      <c r="L1307" s="1578" t="str">
        <f>'Part VIII-Threshold Criteria'!L149</f>
        <v>No</v>
      </c>
      <c r="M1307" s="1578"/>
      <c r="O1307" s="1620"/>
    </row>
    <row r="1308" spans="1:17">
      <c r="A1308" s="457"/>
      <c r="B1308" s="1524" t="s">
        <v>2892</v>
      </c>
      <c r="C1308" s="457" t="s">
        <v>2802</v>
      </c>
      <c r="E1308" s="1550"/>
      <c r="F1308" s="1550"/>
      <c r="G1308" s="1550"/>
      <c r="H1308" s="1550"/>
      <c r="I1308" s="1550"/>
      <c r="J1308" s="1550"/>
      <c r="K1308" s="1550"/>
      <c r="L1308" s="1550"/>
      <c r="M1308" s="457"/>
      <c r="O1308" s="1620"/>
      <c r="P1308" s="1620"/>
    </row>
    <row r="1309" spans="1:17">
      <c r="A1309" s="457"/>
      <c r="C1309" s="1550" t="str">
        <f>'Part VIII-Threshold Criteria'!C151</f>
        <v>None</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1735</v>
      </c>
      <c r="B1310" s="457" t="s">
        <v>3568</v>
      </c>
      <c r="D1310" s="1550"/>
      <c r="E1310" s="1550"/>
      <c r="F1310" s="1550"/>
      <c r="G1310" s="1550"/>
      <c r="H1310" s="1550"/>
      <c r="I1310" s="1314"/>
      <c r="J1310" s="1314"/>
      <c r="K1310" s="1550"/>
      <c r="L1310" s="1550"/>
      <c r="M1310" s="1517"/>
    </row>
    <row r="1311" spans="1:17">
      <c r="A1311" s="1314"/>
      <c r="B1311" s="1524" t="s">
        <v>1736</v>
      </c>
      <c r="C1311" s="457" t="s">
        <v>2805</v>
      </c>
      <c r="E1311" s="1550"/>
      <c r="F1311" s="1550"/>
      <c r="G1311" s="1550"/>
      <c r="H1311" s="1550"/>
      <c r="O1311" s="1620" t="s">
        <v>1736</v>
      </c>
      <c r="P1311" s="1578">
        <f>'Part VIII-Threshold Criteria'!P153</f>
        <v>0</v>
      </c>
      <c r="Q1311" s="1578"/>
    </row>
    <row r="1312" spans="1:17">
      <c r="A1312" s="1578"/>
      <c r="B1312" s="1524" t="s">
        <v>1737</v>
      </c>
      <c r="C1312" s="457" t="s">
        <v>489</v>
      </c>
      <c r="E1312" s="457"/>
      <c r="F1312" s="457"/>
      <c r="G1312" s="457"/>
      <c r="H1312" s="457"/>
      <c r="I1312" s="1314"/>
      <c r="J1312" s="1314"/>
      <c r="K1312" s="457"/>
      <c r="L1312" s="457"/>
      <c r="M1312" s="457"/>
      <c r="O1312" s="1620" t="s">
        <v>1737</v>
      </c>
      <c r="P1312" s="1578">
        <f>'Part VIII-Threshold Criteria'!P154</f>
        <v>0</v>
      </c>
      <c r="Q1312" s="1578"/>
    </row>
    <row r="1313" spans="1:22">
      <c r="A1313" s="1578"/>
      <c r="B1313" s="1524" t="s">
        <v>1738</v>
      </c>
      <c r="C1313" s="457" t="s">
        <v>680</v>
      </c>
      <c r="E1313" s="457"/>
      <c r="F1313" s="457"/>
      <c r="G1313" s="457"/>
      <c r="H1313" s="457"/>
      <c r="I1313" s="1314"/>
      <c r="J1313" s="1314"/>
      <c r="K1313" s="457"/>
      <c r="L1313" s="457"/>
      <c r="M1313" s="457"/>
      <c r="O1313" s="1620" t="s">
        <v>1738</v>
      </c>
      <c r="P1313" s="1578">
        <f>'Part VIII-Threshold Criteria'!P155</f>
        <v>0</v>
      </c>
      <c r="Q1313" s="1578"/>
    </row>
    <row r="1314" spans="1:22">
      <c r="A1314" s="1578"/>
      <c r="B1314" s="1524" t="s">
        <v>2364</v>
      </c>
      <c r="C1314" s="457" t="s">
        <v>4962</v>
      </c>
      <c r="E1314" s="457"/>
      <c r="F1314" s="457"/>
      <c r="G1314" s="457"/>
      <c r="H1314" s="457"/>
      <c r="I1314" s="1314"/>
      <c r="J1314" s="1314"/>
      <c r="K1314" s="457"/>
      <c r="L1314" s="457"/>
      <c r="M1314" s="457"/>
      <c r="O1314" s="1620" t="s">
        <v>1738</v>
      </c>
      <c r="P1314" s="1578">
        <f>'Part VIII-Threshold Criteria'!P156</f>
        <v>0</v>
      </c>
      <c r="Q1314" s="1578"/>
    </row>
    <row r="1315" spans="1:22">
      <c r="A1315" s="1051" t="s">
        <v>3461</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1946</v>
      </c>
      <c r="B1316" s="1583" t="s">
        <v>4537</v>
      </c>
      <c r="C1316" s="1583"/>
      <c r="D1316" s="1583"/>
      <c r="E1316" s="1583"/>
      <c r="F1316" s="1583"/>
      <c r="G1316" s="1583"/>
      <c r="H1316" s="1583"/>
      <c r="I1316" s="1583"/>
      <c r="J1316" s="1583"/>
      <c r="K1316" s="1583"/>
      <c r="L1316" s="1583"/>
      <c r="M1316" s="1620" t="s">
        <v>1946</v>
      </c>
      <c r="N1316" s="1604" t="str">
        <f>'Part VIII-Threshold Criteria'!N158</f>
        <v>&lt;&lt;Select&gt;&gt;</v>
      </c>
      <c r="O1316" s="1604">
        <f>'Part VIII-Threshold Criteria'!O158</f>
        <v>0</v>
      </c>
      <c r="P1316" s="1604" t="s">
        <v>1770</v>
      </c>
      <c r="Q1316" s="1604"/>
      <c r="R1316" s="1314"/>
      <c r="S1316" s="1314"/>
      <c r="T1316" s="1314"/>
      <c r="U1316" s="1314"/>
      <c r="V1316" s="1314"/>
    </row>
    <row r="1317" spans="1:22">
      <c r="B1317" s="1525" t="s">
        <v>3751</v>
      </c>
      <c r="D1317" s="1525"/>
      <c r="E1317" s="1525"/>
      <c r="F1317" s="1525"/>
      <c r="G1317" s="1525"/>
      <c r="H1317" s="1524"/>
      <c r="I1317" s="1578"/>
      <c r="J1317" s="1578"/>
      <c r="K1317" s="1578"/>
      <c r="L1317" s="1316"/>
      <c r="M1317" s="1316"/>
      <c r="N1317" s="1316"/>
      <c r="O1317" s="1316"/>
      <c r="P1317" s="1316"/>
      <c r="Q1317" s="1316"/>
    </row>
    <row r="1318" spans="1:22" ht="265.2">
      <c r="A1318" s="1583" t="str">
        <f>'Part VIII-Threshold Criteria'!A160</f>
        <v>The Project will not involve HOME funds. The ESA does show wetlands adjacent to the complex, however, the fully developed site does not have all three of the required components to be a wetland. (statement from page 26 of the Phase I ESA for Woodstone Apartments II)</v>
      </c>
      <c r="B1318" s="1583"/>
      <c r="C1318" s="1583"/>
      <c r="D1318" s="1583"/>
      <c r="E1318" s="1583"/>
      <c r="F1318" s="1583"/>
      <c r="G1318" s="1583"/>
      <c r="H1318" s="1583"/>
      <c r="I1318" s="1583"/>
      <c r="J1318" s="1583"/>
      <c r="K1318" s="1583"/>
      <c r="L1318" s="1583"/>
      <c r="M1318" s="1583"/>
      <c r="N1318" s="1583"/>
      <c r="O1318" s="1583"/>
      <c r="P1318" s="1583"/>
      <c r="Q1318" s="1583"/>
      <c r="R1318" s="2384" t="s">
        <v>1253</v>
      </c>
      <c r="S1318" s="2384"/>
      <c r="U1318" s="1317"/>
      <c r="V1318" s="1317"/>
    </row>
    <row r="1319" spans="1:22" ht="15">
      <c r="R1319" s="2384"/>
      <c r="S1319" s="2384"/>
    </row>
    <row r="1320" spans="1:22">
      <c r="B1320" s="1580" t="s">
        <v>1865</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2655</v>
      </c>
      <c r="C1323" s="1630"/>
      <c r="D1323" s="1582"/>
      <c r="E1323" s="1582"/>
      <c r="F1323" s="1582"/>
      <c r="G1323" s="1582"/>
      <c r="H1323" s="1582"/>
      <c r="I1323" s="1582"/>
      <c r="J1323" s="1582"/>
      <c r="K1323" s="1582"/>
      <c r="O1323" s="2382" t="s">
        <v>1866</v>
      </c>
      <c r="P1323" s="1317"/>
      <c r="Q1323" s="1317"/>
    </row>
    <row r="1324" spans="1:22">
      <c r="A1324" s="1620" t="s">
        <v>1982</v>
      </c>
      <c r="B1324" s="457" t="s">
        <v>5087</v>
      </c>
      <c r="D1324" s="457"/>
      <c r="E1324" s="457"/>
      <c r="F1324" s="457"/>
      <c r="G1324" s="457"/>
      <c r="H1324" s="457" t="s">
        <v>2706</v>
      </c>
      <c r="K1324" s="2398">
        <f>'Part VIII-Threshold Criteria'!K166</f>
        <v>43830</v>
      </c>
      <c r="L1324" s="2398">
        <f>'Part VIII-Threshold Criteria'!L166</f>
        <v>0</v>
      </c>
      <c r="N1324" s="457"/>
      <c r="O1324" s="1620" t="s">
        <v>1982</v>
      </c>
      <c r="P1324" s="1578" t="str">
        <f>'Part VIII-Threshold Criteria'!P166</f>
        <v>Yes</v>
      </c>
      <c r="Q1324" s="1578"/>
    </row>
    <row r="1325" spans="1:22">
      <c r="A1325" s="1620" t="s">
        <v>1984</v>
      </c>
      <c r="B1325" s="1604" t="s">
        <v>150</v>
      </c>
      <c r="D1325" s="1604"/>
      <c r="E1325" s="1604"/>
      <c r="F1325" s="1604" t="str">
        <f>IF(N1325="Ground lease/Option","Ground lease/Option:","")</f>
        <v/>
      </c>
      <c r="H1325" s="1051" t="str">
        <f>IF(N1325="Ground lease/Option","Annual Pymt:","")</f>
        <v/>
      </c>
      <c r="I1325" s="1557" t="str">
        <f>IF(N1325="Ground lease/Option",'Part VI-Revenues &amp; Expenses'!$H$243,"")</f>
        <v/>
      </c>
      <c r="K1325" s="1636" t="str">
        <f>IF(N1325="Ground lease/Option","Term:","")</f>
        <v/>
      </c>
      <c r="L1325" s="1647" t="str">
        <f>IF(N1325="Ground lease/Option",'Part VI-Revenues &amp; Expenses'!$K$243,"")</f>
        <v/>
      </c>
      <c r="M1325" s="1620" t="s">
        <v>1984</v>
      </c>
      <c r="N1325" s="1638" t="str">
        <f>'Part VIII-Threshold Criteria'!N167</f>
        <v>Purchase Contract</v>
      </c>
      <c r="O1325" s="1638">
        <f>'Part VIII-Threshold Criteria'!O167</f>
        <v>0</v>
      </c>
      <c r="P1325" s="1638" t="s">
        <v>1770</v>
      </c>
      <c r="Q1325" s="1638"/>
    </row>
    <row r="1326" spans="1:22">
      <c r="A1326" s="1620" t="s">
        <v>748</v>
      </c>
      <c r="B1326" s="1604" t="s">
        <v>681</v>
      </c>
      <c r="D1326" s="1604"/>
      <c r="E1326" s="1604"/>
      <c r="F1326" s="1604"/>
      <c r="G1326" s="1604"/>
      <c r="H1326" s="1604"/>
      <c r="J1326" s="1620" t="s">
        <v>748</v>
      </c>
      <c r="K1326" s="457" t="str">
        <f>'Part VIII-Threshold Criteria'!K168</f>
        <v>Woodstone Apartments II,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3751</v>
      </c>
      <c r="D1327" s="1525"/>
      <c r="E1327" s="1525"/>
      <c r="F1327" s="1525"/>
      <c r="G1327" s="1525"/>
      <c r="H1327" s="1524"/>
      <c r="I1327" s="1578"/>
      <c r="J1327" s="1578"/>
      <c r="K1327" s="1578"/>
      <c r="L1327" s="1316"/>
      <c r="M1327" s="1316"/>
      <c r="N1327" s="1316"/>
      <c r="O1327" s="1316"/>
      <c r="P1327" s="1316"/>
      <c r="Q1327" s="1316"/>
    </row>
    <row r="1328" spans="1:22" ht="122.4">
      <c r="A1328" s="1583" t="str">
        <f>'Part VIII-Threshold Criteria'!A170</f>
        <v>The entity with site control is the owner of the project. The Option to Purchase is valid throught December 31, 2019 with an available extension.</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1865</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2656</v>
      </c>
      <c r="C1332" s="1630"/>
      <c r="D1332" s="1582"/>
      <c r="E1332" s="1582"/>
      <c r="F1332" s="1582"/>
      <c r="G1332" s="1582"/>
      <c r="H1332" s="1582"/>
      <c r="I1332" s="1582"/>
      <c r="J1332" s="1582"/>
      <c r="K1332" s="1582"/>
      <c r="L1332" s="1582"/>
      <c r="M1332" s="1582"/>
      <c r="O1332" s="2382" t="s">
        <v>1866</v>
      </c>
      <c r="P1332" s="1317"/>
      <c r="Q1332" s="1317"/>
    </row>
    <row r="1333" spans="1:22" ht="12.75" customHeight="1">
      <c r="A1333" s="1627" t="s">
        <v>1982</v>
      </c>
      <c r="B1333" s="1583" t="s">
        <v>3740</v>
      </c>
      <c r="C1333" s="1583"/>
      <c r="D1333" s="1583"/>
      <c r="E1333" s="1583"/>
      <c r="F1333" s="1583"/>
      <c r="G1333" s="1583"/>
      <c r="H1333" s="1583"/>
      <c r="I1333" s="1583"/>
      <c r="J1333" s="1583"/>
      <c r="K1333" s="1583"/>
      <c r="L1333" s="1583"/>
      <c r="M1333" s="1583"/>
      <c r="N1333" s="1583"/>
      <c r="O1333" s="1627" t="s">
        <v>1982</v>
      </c>
      <c r="P1333" s="1631" t="str">
        <f>'Part VIII-Threshold Criteria'!P175</f>
        <v>Yes</v>
      </c>
      <c r="Q1333" s="1631"/>
    </row>
    <row r="1334" spans="1:22" ht="12.75" customHeight="1">
      <c r="A1334" s="1627" t="s">
        <v>1984</v>
      </c>
      <c r="B1334" s="1583" t="s">
        <v>4761</v>
      </c>
      <c r="C1334" s="1583"/>
      <c r="D1334" s="1583"/>
      <c r="E1334" s="1583"/>
      <c r="F1334" s="1583"/>
      <c r="G1334" s="1583"/>
      <c r="H1334" s="1583"/>
      <c r="I1334" s="1583"/>
      <c r="J1334" s="1583"/>
      <c r="K1334" s="1583"/>
      <c r="L1334" s="1583"/>
      <c r="M1334" s="1583"/>
      <c r="N1334" s="1583"/>
      <c r="O1334" s="1627" t="s">
        <v>1984</v>
      </c>
      <c r="P1334" s="1631" t="str">
        <f>'Part VIII-Threshold Criteria'!P176</f>
        <v>N/Ap</v>
      </c>
      <c r="Q1334" s="1631"/>
    </row>
    <row r="1335" spans="1:22" ht="12.75" customHeight="1">
      <c r="A1335" s="1627" t="s">
        <v>748</v>
      </c>
      <c r="B1335" s="1583" t="s">
        <v>3741</v>
      </c>
      <c r="C1335" s="1583"/>
      <c r="D1335" s="1583"/>
      <c r="E1335" s="1583"/>
      <c r="F1335" s="1583"/>
      <c r="G1335" s="1583"/>
      <c r="H1335" s="1583"/>
      <c r="I1335" s="1583"/>
      <c r="J1335" s="1583"/>
      <c r="K1335" s="1583"/>
      <c r="L1335" s="1583"/>
      <c r="M1335" s="1583"/>
      <c r="N1335" s="1583"/>
      <c r="O1335" s="1627" t="s">
        <v>748</v>
      </c>
      <c r="P1335" s="1631" t="str">
        <f>'Part VIII-Threshold Criteria'!P177</f>
        <v>N/Ap</v>
      </c>
      <c r="Q1335" s="1631"/>
    </row>
    <row r="1336" spans="1:22" ht="12.75" customHeight="1">
      <c r="A1336" s="1627" t="s">
        <v>2114</v>
      </c>
      <c r="B1336" s="1583" t="s">
        <v>4907</v>
      </c>
      <c r="C1336" s="1583"/>
      <c r="D1336" s="1583"/>
      <c r="E1336" s="1583"/>
      <c r="F1336" s="1583"/>
      <c r="G1336" s="1583"/>
      <c r="H1336" s="1583"/>
      <c r="I1336" s="1583"/>
      <c r="J1336" s="1583"/>
      <c r="K1336" s="1583"/>
      <c r="L1336" s="1583"/>
      <c r="M1336" s="1583"/>
      <c r="N1336" s="1583"/>
      <c r="O1336" s="1627" t="s">
        <v>2114</v>
      </c>
      <c r="P1336" s="1631" t="str">
        <f>'Part VIII-Threshold Criteria'!P178</f>
        <v>N/Ap</v>
      </c>
      <c r="Q1336" s="1631"/>
    </row>
    <row r="1337" spans="1:22">
      <c r="B1337" s="1525" t="s">
        <v>3751</v>
      </c>
      <c r="D1337" s="1525"/>
      <c r="E1337" s="1525"/>
      <c r="F1337" s="1525"/>
      <c r="G1337" s="1525"/>
      <c r="H1337" s="1524"/>
      <c r="I1337" s="1578"/>
      <c r="J1337" s="1578"/>
      <c r="K1337" s="1578"/>
      <c r="L1337" s="1316"/>
      <c r="M1337" s="1316"/>
      <c r="N1337" s="1316"/>
      <c r="O1337" s="1316"/>
      <c r="P1337" s="1316"/>
      <c r="Q1337" s="1316"/>
    </row>
    <row r="1338" spans="1:22" ht="102">
      <c r="A1338" s="1583" t="str">
        <f>'Part VIII-Threshold Criteria'!A180</f>
        <v>Site accessed by existing paved streets- access and parking areas to be resurfaced as part of rehabilitation.</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1865</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2657</v>
      </c>
      <c r="C1342" s="1314"/>
      <c r="D1342" s="1314"/>
      <c r="O1342" s="2382" t="s">
        <v>1866</v>
      </c>
      <c r="P1342" s="1317"/>
      <c r="Q1342" s="1317"/>
    </row>
    <row r="1343" spans="1:22">
      <c r="A1343" s="1627" t="s">
        <v>1982</v>
      </c>
      <c r="B1343" s="1635" t="s">
        <v>468</v>
      </c>
      <c r="D1343" s="1635"/>
      <c r="E1343" s="1635"/>
      <c r="F1343" s="1635"/>
      <c r="G1343" s="1635"/>
      <c r="H1343" s="1635"/>
      <c r="I1343" s="1635"/>
      <c r="J1343" s="1635"/>
      <c r="K1343" s="1635"/>
      <c r="L1343" s="1635"/>
      <c r="M1343" s="1635"/>
      <c r="O1343" s="1627" t="s">
        <v>1982</v>
      </c>
      <c r="P1343" s="1578" t="str">
        <f>'Part VIII-Threshold Criteria'!P185</f>
        <v>Yes</v>
      </c>
      <c r="Q1343" s="1578"/>
    </row>
    <row r="1344" spans="1:22">
      <c r="A1344" s="1627" t="s">
        <v>1984</v>
      </c>
      <c r="B1344" s="1635" t="s">
        <v>2642</v>
      </c>
      <c r="D1344" s="1635"/>
      <c r="E1344" s="1635"/>
      <c r="F1344" s="1635"/>
      <c r="G1344" s="1635"/>
      <c r="H1344" s="1635"/>
      <c r="I1344" s="1635"/>
      <c r="J1344" s="1635"/>
      <c r="K1344" s="1635"/>
      <c r="L1344" s="1635"/>
      <c r="M1344" s="1635"/>
      <c r="O1344" s="1627" t="s">
        <v>1984</v>
      </c>
      <c r="P1344" s="1578" t="str">
        <f>'Part VIII-Threshold Criteria'!P186</f>
        <v>Yes</v>
      </c>
      <c r="Q1344" s="1578"/>
    </row>
    <row r="1345" spans="1:22">
      <c r="A1345" s="1627" t="s">
        <v>748</v>
      </c>
      <c r="B1345" s="1635" t="s">
        <v>2643</v>
      </c>
      <c r="D1345" s="1635"/>
      <c r="E1345" s="1635"/>
      <c r="F1345" s="1635"/>
      <c r="G1345" s="1635"/>
      <c r="H1345" s="1635"/>
      <c r="I1345" s="1635"/>
      <c r="J1345" s="1604" t="s">
        <v>4924</v>
      </c>
      <c r="L1345" s="1635"/>
      <c r="M1345" s="1635"/>
      <c r="O1345" s="1627" t="s">
        <v>748</v>
      </c>
      <c r="P1345" s="1578" t="str">
        <f>'Part VIII-Threshold Criteria'!P187</f>
        <v>Yes</v>
      </c>
      <c r="Q1345" s="1578"/>
    </row>
    <row r="1346" spans="1:22">
      <c r="B1346" s="1524" t="s">
        <v>1736</v>
      </c>
      <c r="C1346" s="1524" t="s">
        <v>2644</v>
      </c>
      <c r="G1346" s="1635"/>
      <c r="H1346" s="1635"/>
      <c r="J1346" s="1635"/>
      <c r="K1346" s="1635"/>
      <c r="L1346" s="1635"/>
      <c r="M1346" s="1635"/>
      <c r="O1346" s="1636" t="s">
        <v>1736</v>
      </c>
      <c r="P1346" s="1578" t="str">
        <f>'Part VIII-Threshold Criteria'!P188</f>
        <v>Yes</v>
      </c>
      <c r="Q1346" s="1578"/>
    </row>
    <row r="1347" spans="1:22">
      <c r="A1347" s="1604"/>
      <c r="B1347" s="1524" t="s">
        <v>1737</v>
      </c>
      <c r="C1347" s="1524" t="s">
        <v>4539</v>
      </c>
      <c r="G1347" s="1635"/>
      <c r="H1347" s="1635"/>
      <c r="I1347" s="1635"/>
      <c r="J1347" s="1635"/>
      <c r="K1347" s="1635"/>
      <c r="L1347" s="1635"/>
      <c r="M1347" s="1635"/>
      <c r="O1347" s="1636" t="s">
        <v>1737</v>
      </c>
      <c r="P1347" s="1578" t="str">
        <f>'Part VIII-Threshold Criteria'!P189</f>
        <v>Yes</v>
      </c>
      <c r="Q1347" s="1578"/>
    </row>
    <row r="1348" spans="1:22" ht="12.75" customHeight="1">
      <c r="A1348" s="1627"/>
      <c r="B1348" s="1635" t="s">
        <v>1738</v>
      </c>
      <c r="C1348" s="1583" t="s">
        <v>3742</v>
      </c>
      <c r="D1348" s="1583"/>
      <c r="E1348" s="1583"/>
      <c r="F1348" s="1583"/>
      <c r="G1348" s="1583"/>
      <c r="H1348" s="1583"/>
      <c r="I1348" s="1583"/>
      <c r="J1348" s="1583"/>
      <c r="K1348" s="1583"/>
      <c r="L1348" s="1583"/>
      <c r="M1348" s="1583"/>
      <c r="N1348" s="1583"/>
      <c r="O1348" s="1627" t="s">
        <v>1738</v>
      </c>
      <c r="P1348" s="1631" t="str">
        <f>'Part VIII-Threshold Criteria'!P190</f>
        <v>Yes</v>
      </c>
      <c r="Q1348" s="1631"/>
      <c r="R1348" s="1596"/>
      <c r="S1348" s="1596"/>
      <c r="T1348" s="1596"/>
      <c r="U1348" s="1596"/>
      <c r="V1348" s="1596"/>
    </row>
    <row r="1349" spans="1:22">
      <c r="A1349" s="1627"/>
      <c r="B1349" s="1524" t="s">
        <v>2364</v>
      </c>
      <c r="C1349" s="1524" t="s">
        <v>2646</v>
      </c>
      <c r="G1349" s="1635"/>
      <c r="H1349" s="1635"/>
      <c r="I1349" s="1635"/>
      <c r="J1349" s="1635"/>
      <c r="K1349" s="1635"/>
      <c r="L1349" s="1635"/>
      <c r="M1349" s="1635"/>
      <c r="O1349" s="1636" t="s">
        <v>2364</v>
      </c>
      <c r="P1349" s="1578" t="str">
        <f>'Part VIII-Threshold Criteria'!P191</f>
        <v>Yes</v>
      </c>
      <c r="Q1349" s="1578"/>
    </row>
    <row r="1350" spans="1:22" ht="12.75" customHeight="1">
      <c r="A1350" s="1627"/>
      <c r="B1350" s="1635" t="s">
        <v>1548</v>
      </c>
      <c r="C1350" s="1583" t="s">
        <v>2647</v>
      </c>
      <c r="D1350" s="1583"/>
      <c r="E1350" s="1583"/>
      <c r="F1350" s="1583"/>
      <c r="G1350" s="1583"/>
      <c r="H1350" s="1583"/>
      <c r="I1350" s="1583"/>
      <c r="J1350" s="1583"/>
      <c r="K1350" s="1583"/>
      <c r="L1350" s="1583"/>
      <c r="M1350" s="1583"/>
      <c r="N1350" s="1583"/>
      <c r="O1350" s="1627" t="s">
        <v>1548</v>
      </c>
      <c r="P1350" s="1631" t="str">
        <f>'Part VIII-Threshold Criteria'!P192</f>
        <v>N/Ap</v>
      </c>
      <c r="Q1350" s="1631"/>
      <c r="R1350" s="1596"/>
      <c r="S1350" s="1596"/>
      <c r="T1350" s="1596"/>
      <c r="U1350" s="1596"/>
      <c r="V1350" s="1596"/>
    </row>
    <row r="1351" spans="1:22" ht="12.75" customHeight="1">
      <c r="A1351" s="1627"/>
      <c r="B1351" s="1635" t="s">
        <v>1549</v>
      </c>
      <c r="C1351" s="1583" t="s">
        <v>3894</v>
      </c>
      <c r="D1351" s="1583"/>
      <c r="E1351" s="1583"/>
      <c r="F1351" s="1583"/>
      <c r="G1351" s="1583"/>
      <c r="H1351" s="1583"/>
      <c r="I1351" s="1583"/>
      <c r="J1351" s="1583"/>
      <c r="K1351" s="1583"/>
      <c r="L1351" s="1583"/>
      <c r="M1351" s="1583"/>
      <c r="N1351" s="1583"/>
      <c r="O1351" s="1627" t="s">
        <v>1549</v>
      </c>
      <c r="P1351" s="1631" t="str">
        <f>'Part VIII-Threshold Criteria'!P193</f>
        <v>N/Ap</v>
      </c>
      <c r="Q1351" s="1631"/>
      <c r="R1351" s="1596"/>
      <c r="S1351" s="1596"/>
      <c r="T1351" s="1596"/>
      <c r="U1351" s="1596"/>
      <c r="V1351" s="1596"/>
    </row>
    <row r="1352" spans="1:22" ht="12.75" customHeight="1">
      <c r="A1352" s="1627" t="s">
        <v>2114</v>
      </c>
      <c r="B1352" s="1583" t="s">
        <v>2648</v>
      </c>
      <c r="C1352" s="1583"/>
      <c r="D1352" s="1583"/>
      <c r="E1352" s="1583"/>
      <c r="F1352" s="1583"/>
      <c r="G1352" s="1583"/>
      <c r="H1352" s="1583"/>
      <c r="I1352" s="1583"/>
      <c r="J1352" s="1583"/>
      <c r="K1352" s="1583"/>
      <c r="L1352" s="1583"/>
      <c r="M1352" s="1583"/>
      <c r="N1352" s="1583"/>
      <c r="O1352" s="1627" t="s">
        <v>2114</v>
      </c>
      <c r="P1352" s="1631" t="str">
        <f>'Part VIII-Threshold Criteria'!P194</f>
        <v>Yes</v>
      </c>
      <c r="Q1352" s="1631"/>
    </row>
    <row r="1353" spans="1:22">
      <c r="A1353" s="1627" t="s">
        <v>1734</v>
      </c>
      <c r="B1353" s="1635" t="s">
        <v>2378</v>
      </c>
      <c r="D1353" s="1635"/>
      <c r="E1353" s="1635"/>
      <c r="F1353" s="1635"/>
      <c r="G1353" s="1635"/>
      <c r="H1353" s="1635"/>
      <c r="I1353" s="1635"/>
      <c r="J1353" s="1635"/>
      <c r="K1353" s="1635"/>
      <c r="L1353" s="1635"/>
      <c r="M1353" s="1635"/>
      <c r="O1353" s="1627" t="s">
        <v>1734</v>
      </c>
      <c r="P1353" s="1578" t="str">
        <f>'Part VIII-Threshold Criteria'!P195</f>
        <v>Yes</v>
      </c>
      <c r="Q1353" s="1578"/>
    </row>
    <row r="1354" spans="1:22">
      <c r="B1354" s="1525" t="s">
        <v>3751</v>
      </c>
      <c r="D1354" s="1525"/>
      <c r="E1354" s="1525"/>
      <c r="F1354" s="1525"/>
      <c r="G1354" s="1525"/>
      <c r="H1354" s="1524"/>
      <c r="I1354" s="1578"/>
      <c r="J1354" s="1578"/>
      <c r="K1354" s="1578"/>
      <c r="L1354" s="1316"/>
      <c r="M1354" s="1316"/>
      <c r="N1354" s="1316"/>
      <c r="O1354" s="1316"/>
      <c r="P1354" s="1316"/>
      <c r="Q1354" s="1316"/>
    </row>
    <row r="1355" spans="1:22" ht="142.80000000000001">
      <c r="A1355" s="1583" t="str">
        <f>'Part VIII-Threshold Criteria'!A197</f>
        <v xml:space="preserve">Complex is an existing complex that is 20 years old and complies with all current regulations. Plans for rehabilitation will also comply with all regulations. </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1865</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2658</v>
      </c>
      <c r="C1359" s="1630"/>
      <c r="D1359" s="1582"/>
      <c r="E1359" s="1637"/>
      <c r="F1359" s="1637"/>
      <c r="G1359" s="1582"/>
      <c r="J1359" s="1583"/>
      <c r="K1359" s="1583"/>
      <c r="L1359" s="1583"/>
      <c r="M1359" s="1583"/>
      <c r="N1359" s="1583"/>
      <c r="O1359" s="2382" t="s">
        <v>1866</v>
      </c>
      <c r="P1359" s="1317"/>
      <c r="Q1359" s="1317"/>
    </row>
    <row r="1360" spans="1:22" ht="12.75" customHeight="1">
      <c r="A1360" s="1550" t="s">
        <v>5078</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1736</v>
      </c>
      <c r="I1361" s="457" t="s">
        <v>152</v>
      </c>
      <c r="J1361" s="457">
        <f>'Part VIII-Threshold Criteria'!J203</f>
        <v>0</v>
      </c>
      <c r="K1361" s="457">
        <f>'Part VIII-Threshold Criteria'!K203</f>
        <v>0</v>
      </c>
      <c r="L1361" s="457">
        <f>'Part VIII-Threshold Criteria'!L203</f>
        <v>0</v>
      </c>
      <c r="M1361" s="457">
        <f>'Part VIII-Threshold Criteria'!M203</f>
        <v>0</v>
      </c>
      <c r="N1361" s="457">
        <f>'Part VIII-Threshold Criteria'!N203</f>
        <v>0</v>
      </c>
      <c r="O1361" s="1620" t="s">
        <v>1736</v>
      </c>
      <c r="P1361" s="1578" t="str">
        <f>'Part VIII-Threshold Criteria'!P203</f>
        <v>No</v>
      </c>
      <c r="Q1361" s="1578"/>
    </row>
    <row r="1362" spans="1:22">
      <c r="A1362" s="1511"/>
      <c r="B1362" s="1525" t="s">
        <v>3751</v>
      </c>
      <c r="C1362" s="1521"/>
      <c r="D1362" s="1521"/>
      <c r="E1362" s="1521"/>
      <c r="F1362" s="1521"/>
      <c r="H1362" s="1620" t="s">
        <v>1737</v>
      </c>
      <c r="I1362" s="457" t="s">
        <v>1595</v>
      </c>
      <c r="J1362" s="457" t="str">
        <f>'Part VIII-Threshold Criteria'!J204</f>
        <v>Sumter Elelctric Membership Corporation</v>
      </c>
      <c r="K1362" s="457">
        <f>'Part VIII-Threshold Criteria'!K204</f>
        <v>0</v>
      </c>
      <c r="L1362" s="457">
        <f>'Part VIII-Threshold Criteria'!L204</f>
        <v>0</v>
      </c>
      <c r="M1362" s="457">
        <f>'Part VIII-Threshold Criteria'!M204</f>
        <v>0</v>
      </c>
      <c r="N1362" s="457">
        <f>'Part VIII-Threshold Criteria'!N204</f>
        <v>0</v>
      </c>
      <c r="O1362" s="1620" t="s">
        <v>1737</v>
      </c>
      <c r="P1362" s="1578" t="str">
        <f>'Part VIII-Threshold Criteria'!P204</f>
        <v>Yes</v>
      </c>
      <c r="Q1362" s="1578"/>
    </row>
    <row r="1363" spans="1:22" ht="81.599999999999994">
      <c r="A1363" s="1583" t="str">
        <f>'Part VIII-Threshold Criteria'!A205</f>
        <v>Availability letter provided by the Corporation and included with the application.</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1865</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2659</v>
      </c>
      <c r="C1367" s="1314"/>
      <c r="D1367" s="457"/>
      <c r="E1367" s="457"/>
      <c r="F1367" s="457"/>
      <c r="G1367" s="1582"/>
      <c r="H1367" s="1582"/>
      <c r="I1367" s="1582"/>
      <c r="J1367" s="1582"/>
      <c r="K1367" s="1582"/>
      <c r="L1367" s="1582"/>
      <c r="M1367" s="1582"/>
      <c r="O1367" s="2382" t="s">
        <v>1866</v>
      </c>
      <c r="P1367" s="1317"/>
      <c r="Q1367" s="1317"/>
    </row>
    <row r="1368" spans="1:22" ht="12.75" customHeight="1">
      <c r="A1368" s="1627" t="s">
        <v>1982</v>
      </c>
      <c r="B1368" s="1583" t="s">
        <v>1848</v>
      </c>
      <c r="C1368" s="1583"/>
      <c r="D1368" s="1583"/>
      <c r="E1368" s="1583"/>
      <c r="F1368" s="1583"/>
      <c r="G1368" s="1583"/>
      <c r="H1368" s="1620" t="s">
        <v>1736</v>
      </c>
      <c r="I1368" s="457" t="s">
        <v>634</v>
      </c>
      <c r="J1368" s="457" t="str">
        <f>'Part VIII-Threshold Criteria'!J210</f>
        <v>City of Leesburg</v>
      </c>
      <c r="K1368" s="457">
        <f>'Part VIII-Threshold Criteria'!K210</f>
        <v>0</v>
      </c>
      <c r="L1368" s="457">
        <f>'Part VIII-Threshold Criteria'!L210</f>
        <v>0</v>
      </c>
      <c r="M1368" s="457">
        <f>'Part VIII-Threshold Criteria'!M210</f>
        <v>0</v>
      </c>
      <c r="N1368" s="457">
        <f>'Part VIII-Threshold Criteria'!N210</f>
        <v>0</v>
      </c>
      <c r="O1368" s="1627" t="s">
        <v>1485</v>
      </c>
      <c r="P1368" s="1578" t="str">
        <f>'Part VIII-Threshold Criteria'!P210</f>
        <v>Yes</v>
      </c>
      <c r="Q1368" s="1578"/>
    </row>
    <row r="1369" spans="1:22">
      <c r="A1369" s="1319"/>
      <c r="B1369" s="1583"/>
      <c r="C1369" s="1583"/>
      <c r="D1369" s="1583"/>
      <c r="E1369" s="1583"/>
      <c r="F1369" s="1583"/>
      <c r="G1369" s="1583"/>
      <c r="H1369" s="1620" t="s">
        <v>1737</v>
      </c>
      <c r="I1369" s="457" t="s">
        <v>116</v>
      </c>
      <c r="J1369" s="457" t="str">
        <f>'Part VIII-Threshold Criteria'!J211</f>
        <v>City of Leesburg</v>
      </c>
      <c r="K1369" s="457">
        <f>'Part VIII-Threshold Criteria'!K211</f>
        <v>0</v>
      </c>
      <c r="L1369" s="457">
        <f>'Part VIII-Threshold Criteria'!L211</f>
        <v>0</v>
      </c>
      <c r="M1369" s="457">
        <f>'Part VIII-Threshold Criteria'!M211</f>
        <v>0</v>
      </c>
      <c r="N1369" s="457">
        <f>'Part VIII-Threshold Criteria'!N211</f>
        <v>0</v>
      </c>
      <c r="O1369" s="1627" t="s">
        <v>1737</v>
      </c>
      <c r="P1369" s="1578" t="str">
        <f>'Part VIII-Threshold Criteria'!P211</f>
        <v>Yes</v>
      </c>
      <c r="Q1369" s="1578"/>
    </row>
    <row r="1370" spans="1:22">
      <c r="A1370" s="1627" t="s">
        <v>1984</v>
      </c>
      <c r="B1370" s="457" t="s">
        <v>3900</v>
      </c>
      <c r="C1370" s="1794"/>
      <c r="D1370" s="457"/>
      <c r="E1370" s="457"/>
      <c r="F1370" s="457"/>
      <c r="G1370" s="457"/>
      <c r="H1370" s="457"/>
      <c r="I1370" s="457"/>
      <c r="J1370" s="457"/>
      <c r="K1370" s="1314"/>
      <c r="L1370" s="457"/>
      <c r="M1370" s="457"/>
      <c r="N1370" s="1794"/>
      <c r="O1370" s="1620" t="s">
        <v>1984</v>
      </c>
      <c r="P1370" s="1578" t="str">
        <f>'Part VIII-Threshold Criteria'!P212</f>
        <v>No</v>
      </c>
      <c r="Q1370" s="1578"/>
    </row>
    <row r="1371" spans="1:22">
      <c r="A1371" s="1620" t="s">
        <v>748</v>
      </c>
      <c r="B1371" s="457" t="s">
        <v>3901</v>
      </c>
      <c r="D1371" s="457"/>
      <c r="E1371" s="457"/>
      <c r="F1371" s="457"/>
      <c r="G1371" s="457"/>
      <c r="H1371" s="457"/>
      <c r="I1371" s="457"/>
      <c r="J1371" s="457"/>
      <c r="K1371" s="1314"/>
      <c r="L1371" s="457"/>
      <c r="M1371" s="457"/>
      <c r="O1371" s="1620" t="s">
        <v>748</v>
      </c>
      <c r="P1371" s="1578" t="str">
        <f>'Part VIII-Threshold Criteria'!P213</f>
        <v>No</v>
      </c>
      <c r="Q1371" s="1578"/>
    </row>
    <row r="1372" spans="1:22">
      <c r="B1372" s="1525" t="s">
        <v>3751</v>
      </c>
      <c r="D1372" s="1525"/>
      <c r="E1372" s="1525"/>
      <c r="F1372" s="1525"/>
      <c r="G1372" s="1525"/>
      <c r="H1372" s="1524"/>
      <c r="I1372" s="1578"/>
      <c r="J1372" s="1578"/>
      <c r="K1372" s="1578"/>
      <c r="L1372" s="1316"/>
      <c r="M1372" s="1316"/>
      <c r="N1372" s="1316"/>
      <c r="O1372" s="1316"/>
      <c r="P1372" s="1316"/>
      <c r="Q1372" s="1316"/>
    </row>
    <row r="1373" spans="1:22" ht="173.4">
      <c r="A1373" s="1583" t="str">
        <f>'Part VIII-Threshold Criteria'!A215</f>
        <v xml:space="preserve">Evidence of easements and commitments as well as verification of annexation or improvements is not necessary for this project. The property is currently being served with adequate utilities. </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1865</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1725</v>
      </c>
      <c r="B1377" s="1630" t="s">
        <v>2660</v>
      </c>
      <c r="C1377" s="1524"/>
      <c r="D1377" s="1582"/>
      <c r="E1377" s="1582"/>
      <c r="F1377" s="1582"/>
      <c r="G1377" s="1582"/>
      <c r="H1377" s="1582"/>
      <c r="I1377" s="1582"/>
      <c r="J1377" s="1582"/>
      <c r="K1377" s="1582"/>
      <c r="L1377" s="1582"/>
      <c r="M1377" s="1582"/>
      <c r="O1377" s="2382" t="s">
        <v>1866</v>
      </c>
      <c r="P1377" s="1317"/>
      <c r="Q1377" s="1317"/>
    </row>
    <row r="1378" spans="1:22">
      <c r="B1378" s="1051" t="s">
        <v>1191</v>
      </c>
      <c r="N1378" s="1320"/>
      <c r="P1378" s="457" t="str">
        <f>'Part VIII-Threshold Criteria'!P220</f>
        <v>No</v>
      </c>
      <c r="Q1378" s="457"/>
    </row>
    <row r="1379" spans="1:22">
      <c r="A1379" s="1620" t="s">
        <v>1982</v>
      </c>
      <c r="B1379" s="457" t="s">
        <v>4540</v>
      </c>
      <c r="D1379" s="1314"/>
      <c r="E1379" s="1314"/>
      <c r="F1379" s="1314"/>
      <c r="G1379" s="1314"/>
      <c r="H1379" s="1314"/>
      <c r="I1379" s="1314"/>
      <c r="J1379" s="1314"/>
      <c r="K1379" s="1314"/>
      <c r="L1379" s="1314"/>
      <c r="M1379" s="1314"/>
      <c r="O1379" s="1620" t="s">
        <v>1982</v>
      </c>
      <c r="P1379" s="1578" t="str">
        <f>'Part VIII-Threshold Criteria'!P221</f>
        <v>Agree</v>
      </c>
      <c r="Q1379" s="1578"/>
    </row>
    <row r="1380" spans="1:22">
      <c r="A1380" s="1620"/>
      <c r="B1380" s="1524" t="s">
        <v>1736</v>
      </c>
      <c r="C1380" s="457" t="s">
        <v>1930</v>
      </c>
      <c r="E1380" s="457"/>
      <c r="F1380" s="457"/>
      <c r="G1380" s="457"/>
      <c r="H1380" s="457"/>
      <c r="I1380" s="1314"/>
      <c r="J1380" s="1620" t="s">
        <v>1485</v>
      </c>
      <c r="K1380" s="457" t="str">
        <f>'Part VIII-Threshold Criteria'!K222</f>
        <v>Building</v>
      </c>
      <c r="L1380" s="457">
        <f>'Part VIII-Threshold Criteria'!L222</f>
        <v>0</v>
      </c>
      <c r="Q1380" s="1578"/>
    </row>
    <row r="1381" spans="1:22">
      <c r="A1381" s="1620"/>
      <c r="B1381" s="1524" t="s">
        <v>1737</v>
      </c>
      <c r="C1381" s="1524" t="s">
        <v>4746</v>
      </c>
      <c r="E1381" s="1524"/>
      <c r="F1381" s="1524"/>
      <c r="G1381" s="1524"/>
      <c r="H1381" s="1524"/>
      <c r="I1381" s="1314"/>
      <c r="J1381" s="1620" t="s">
        <v>1486</v>
      </c>
      <c r="K1381" s="457" t="str">
        <f>'Part VIII-Threshold Criteria'!K223</f>
        <v>Gazebo</v>
      </c>
      <c r="L1381" s="457">
        <f>'Part VIII-Threshold Criteria'!L223</f>
        <v>0</v>
      </c>
      <c r="M1381" s="1738">
        <f>'Part VIII-Threshold Criteria'!M223</f>
        <v>0</v>
      </c>
      <c r="N1381" s="1738">
        <f>'Part VIII-Threshold Criteria'!N223</f>
        <v>0</v>
      </c>
      <c r="O1381" s="1738">
        <f>'Part VIII-Threshold Criteria'!O223</f>
        <v>0</v>
      </c>
      <c r="P1381" s="1738">
        <f>'Part VIII-Threshold Criteria'!P223</f>
        <v>0</v>
      </c>
      <c r="Q1381" s="1578"/>
    </row>
    <row r="1382" spans="1:22">
      <c r="A1382" s="1620"/>
      <c r="B1382" s="1524" t="s">
        <v>1738</v>
      </c>
      <c r="C1382" s="1524" t="s">
        <v>4749</v>
      </c>
      <c r="E1382" s="1524"/>
      <c r="F1382" s="1524"/>
      <c r="G1382" s="1524"/>
      <c r="H1382" s="1524"/>
      <c r="I1382" s="1314"/>
      <c r="J1382" s="1620" t="s">
        <v>1487</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2364</v>
      </c>
      <c r="C1383" s="1524" t="s">
        <v>4748</v>
      </c>
      <c r="E1383" s="1524"/>
      <c r="F1383" s="1524"/>
      <c r="G1383" s="1524"/>
      <c r="H1383" s="1524"/>
      <c r="I1383" s="1314"/>
      <c r="J1383" s="1620" t="s">
        <v>4747</v>
      </c>
      <c r="K1383" s="457" t="str">
        <f>'Part VIII-Threshold Criteria'!K225</f>
        <v>On-site laundry</v>
      </c>
      <c r="L1383" s="457">
        <f>'Part VIII-Threshold Criteria'!L225</f>
        <v>0</v>
      </c>
      <c r="M1383" s="457">
        <f>'Part VIII-Threshold Criteria'!M225</f>
        <v>0</v>
      </c>
      <c r="N1383" s="457">
        <f>'Part VIII-Threshold Criteria'!N225</f>
        <v>0</v>
      </c>
      <c r="Q1383" s="1578"/>
      <c r="R1383" s="1314"/>
    </row>
    <row r="1384" spans="1:22">
      <c r="A1384" s="1620" t="s">
        <v>1984</v>
      </c>
      <c r="B1384" s="457" t="s">
        <v>2508</v>
      </c>
      <c r="D1384" s="457"/>
      <c r="E1384" s="457"/>
      <c r="F1384" s="457"/>
      <c r="G1384" s="457"/>
      <c r="H1384" s="457"/>
      <c r="I1384" s="457"/>
      <c r="J1384" s="457"/>
      <c r="K1384" s="1314"/>
      <c r="L1384" s="1314"/>
      <c r="M1384" s="1314"/>
      <c r="N1384" s="1314"/>
      <c r="O1384" s="1620" t="s">
        <v>1984</v>
      </c>
      <c r="P1384" s="1578" t="str">
        <f>'Part VIII-Threshold Criteria'!P226</f>
        <v>Agree</v>
      </c>
      <c r="Q1384" s="1578"/>
    </row>
    <row r="1385" spans="1:22">
      <c r="A1385" s="1620"/>
      <c r="B1385" s="457" t="s">
        <v>5111</v>
      </c>
      <c r="D1385" s="457"/>
      <c r="E1385" s="457"/>
      <c r="F1385" s="457"/>
      <c r="G1385" s="457"/>
      <c r="H1385" s="457"/>
      <c r="I1385" s="457"/>
      <c r="J1385" s="457"/>
      <c r="K1385" s="1314"/>
      <c r="L1385" s="1314"/>
      <c r="M1385" s="1314"/>
      <c r="N1385" s="1620" t="s">
        <v>3603</v>
      </c>
      <c r="O1385" s="2399">
        <f>'Part VI-Revenues &amp; Expenses'!$O$67</f>
        <v>40</v>
      </c>
      <c r="P1385" s="1638" t="s">
        <v>4977</v>
      </c>
      <c r="Q1385" s="1638"/>
    </row>
    <row r="1386" spans="1:22">
      <c r="A1386" s="1620"/>
      <c r="B1386" s="1524" t="s">
        <v>1736</v>
      </c>
      <c r="C1386" s="457" t="s">
        <v>4978</v>
      </c>
      <c r="D1386" s="457"/>
      <c r="E1386" s="457"/>
      <c r="F1386" s="457"/>
      <c r="H1386" s="1620" t="s">
        <v>4979</v>
      </c>
      <c r="I1386" s="457" t="s">
        <v>5331</v>
      </c>
      <c r="M1386" s="1314"/>
      <c r="N1386" s="1314"/>
      <c r="O1386" s="1639"/>
      <c r="P1386" s="1781" t="s">
        <v>772</v>
      </c>
      <c r="Q1386" s="1781" t="s">
        <v>4976</v>
      </c>
    </row>
    <row r="1387" spans="1:22" ht="15" customHeight="1">
      <c r="A1387" s="1578"/>
      <c r="B1387" s="1620" t="s">
        <v>2115</v>
      </c>
      <c r="C1387" s="1583" t="str">
        <f>'Part VIII-Threshold Criteria'!C229</f>
        <v xml:space="preserve">Covered pavilion with picnic/BBQ facilities </v>
      </c>
      <c r="D1387" s="1583">
        <f>'Part VIII-Threshold Criteria'!D229</f>
        <v>0</v>
      </c>
      <c r="E1387" s="1583">
        <f>'Part VIII-Threshold Criteria'!E229</f>
        <v>0</v>
      </c>
      <c r="F1387" s="1583">
        <f>'Part VIII-Threshold Criteria'!F229</f>
        <v>0</v>
      </c>
      <c r="G1387" s="1583">
        <f>'Part VIII-Threshold Criteria'!G229</f>
        <v>0</v>
      </c>
      <c r="H1387" s="1620" t="s">
        <v>2115</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2116</v>
      </c>
      <c r="C1388" s="1583" t="str">
        <f>'Part VIII-Threshold Criteria'!C230</f>
        <v xml:space="preserve">Equipped Computer Center and WiFi </v>
      </c>
      <c r="D1388" s="1583">
        <f>'Part VIII-Threshold Criteria'!D230</f>
        <v>0</v>
      </c>
      <c r="E1388" s="1583">
        <f>'Part VIII-Threshold Criteria'!E230</f>
        <v>0</v>
      </c>
      <c r="F1388" s="1583">
        <f>'Part VIII-Threshold Criteria'!F230</f>
        <v>0</v>
      </c>
      <c r="G1388" s="1583">
        <f>'Part VIII-Threshold Criteria'!G230</f>
        <v>0</v>
      </c>
      <c r="H1388" s="1620" t="s">
        <v>2116</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1733</v>
      </c>
      <c r="C1389" s="1583">
        <f>'Part VIII-Threshold Criteria'!C231</f>
        <v>0</v>
      </c>
      <c r="D1389" s="1583">
        <f>'Part VIII-Threshold Criteria'!D231</f>
        <v>0</v>
      </c>
      <c r="E1389" s="1583">
        <f>'Part VIII-Threshold Criteria'!E231</f>
        <v>0</v>
      </c>
      <c r="F1389" s="1583">
        <f>'Part VIII-Threshold Criteria'!F231</f>
        <v>0</v>
      </c>
      <c r="G1389" s="1583">
        <f>'Part VIII-Threshold Criteria'!G231</f>
        <v>0</v>
      </c>
      <c r="H1389" s="1620" t="s">
        <v>1733</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4987</v>
      </c>
      <c r="C1390" s="1583">
        <f>'Part VIII-Threshold Criteria'!C232</f>
        <v>0</v>
      </c>
      <c r="D1390" s="1583">
        <f>'Part VIII-Threshold Criteria'!D232</f>
        <v>0</v>
      </c>
      <c r="E1390" s="1583">
        <f>'Part VIII-Threshold Criteria'!E232</f>
        <v>0</v>
      </c>
      <c r="F1390" s="1583">
        <f>'Part VIII-Threshold Criteria'!F232</f>
        <v>0</v>
      </c>
      <c r="G1390" s="1583">
        <f>'Part VIII-Threshold Criteria'!G232</f>
        <v>0</v>
      </c>
      <c r="H1390" s="1620" t="s">
        <v>4987</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748</v>
      </c>
      <c r="B1391" s="457" t="s">
        <v>1380</v>
      </c>
      <c r="C1391" s="457"/>
      <c r="D1391" s="1794"/>
      <c r="E1391" s="457"/>
      <c r="F1391" s="457"/>
      <c r="G1391" s="457"/>
      <c r="H1391" s="457"/>
      <c r="I1391" s="457"/>
      <c r="J1391" s="457"/>
      <c r="K1391" s="1314"/>
      <c r="L1391" s="457"/>
      <c r="M1391" s="457"/>
      <c r="N1391" s="1794"/>
      <c r="O1391" s="457" t="s">
        <v>748</v>
      </c>
      <c r="P1391" s="1578" t="str">
        <f>'Part VIII-Threshold Criteria'!P233</f>
        <v>Agree</v>
      </c>
      <c r="Q1391" s="1578"/>
    </row>
    <row r="1392" spans="1:22">
      <c r="A1392" s="1620"/>
      <c r="B1392" s="1524" t="s">
        <v>1736</v>
      </c>
      <c r="C1392" s="457" t="s">
        <v>3463</v>
      </c>
      <c r="E1392" s="457"/>
      <c r="F1392" s="457"/>
      <c r="L1392" s="1314"/>
      <c r="M1392" s="1314"/>
      <c r="O1392" s="1620" t="s">
        <v>1736</v>
      </c>
      <c r="P1392" s="1578" t="str">
        <f>'Part VIII-Threshold Criteria'!P234</f>
        <v>Yes</v>
      </c>
      <c r="Q1392" s="1578"/>
    </row>
    <row r="1393" spans="1:22">
      <c r="B1393" s="1524" t="s">
        <v>1737</v>
      </c>
      <c r="C1393" s="1524" t="s">
        <v>2806</v>
      </c>
      <c r="E1393" s="1524"/>
      <c r="F1393" s="1524"/>
      <c r="L1393" s="1314"/>
      <c r="M1393" s="1314"/>
      <c r="O1393" s="1620" t="s">
        <v>1737</v>
      </c>
      <c r="P1393" s="1578" t="str">
        <f>'Part VIII-Threshold Criteria'!P235</f>
        <v>Yes</v>
      </c>
      <c r="Q1393" s="1578"/>
    </row>
    <row r="1394" spans="1:22">
      <c r="B1394" s="1524" t="s">
        <v>1738</v>
      </c>
      <c r="C1394" s="1524" t="s">
        <v>2807</v>
      </c>
      <c r="E1394" s="1524"/>
      <c r="F1394" s="1524"/>
      <c r="G1394" s="1524"/>
      <c r="H1394" s="1524"/>
      <c r="I1394" s="1314"/>
      <c r="J1394" s="1314"/>
      <c r="K1394" s="1314"/>
      <c r="L1394" s="1314"/>
      <c r="M1394" s="1314"/>
      <c r="O1394" s="1620" t="s">
        <v>1738</v>
      </c>
      <c r="P1394" s="1578" t="str">
        <f>'Part VIII-Threshold Criteria'!P236</f>
        <v>Yes</v>
      </c>
      <c r="Q1394" s="1578"/>
    </row>
    <row r="1395" spans="1:22">
      <c r="A1395" s="1620"/>
      <c r="B1395" s="1524" t="s">
        <v>2364</v>
      </c>
      <c r="C1395" s="1524" t="s">
        <v>2808</v>
      </c>
      <c r="E1395" s="1524"/>
      <c r="F1395" s="1524"/>
      <c r="G1395" s="1524"/>
      <c r="H1395" s="1524"/>
      <c r="I1395" s="1314"/>
      <c r="J1395" s="1314"/>
      <c r="K1395" s="1314"/>
      <c r="L1395" s="1314"/>
      <c r="M1395" s="1314"/>
      <c r="O1395" s="1620" t="s">
        <v>2364</v>
      </c>
      <c r="P1395" s="1578" t="str">
        <f>'Part VIII-Threshold Criteria'!P237</f>
        <v>Yes</v>
      </c>
      <c r="Q1395" s="1578"/>
    </row>
    <row r="1396" spans="1:22">
      <c r="A1396" s="1620"/>
      <c r="B1396" s="1524" t="s">
        <v>1548</v>
      </c>
      <c r="C1396" s="1524" t="s">
        <v>2809</v>
      </c>
      <c r="E1396" s="1524"/>
      <c r="F1396" s="1524"/>
      <c r="G1396" s="1524"/>
      <c r="H1396" s="1524"/>
      <c r="I1396" s="1314"/>
      <c r="J1396" s="1314"/>
      <c r="K1396" s="1314"/>
      <c r="L1396" s="1314"/>
      <c r="M1396" s="1314"/>
      <c r="O1396" s="1620" t="s">
        <v>1548</v>
      </c>
      <c r="P1396" s="1578" t="str">
        <f>'Part VIII-Threshold Criteria'!P238</f>
        <v>Yes</v>
      </c>
      <c r="Q1396" s="1578"/>
    </row>
    <row r="1397" spans="1:22">
      <c r="A1397" s="1620"/>
      <c r="B1397" s="1524" t="s">
        <v>1549</v>
      </c>
      <c r="C1397" s="457" t="s">
        <v>774</v>
      </c>
      <c r="E1397" s="457"/>
      <c r="F1397" s="457"/>
      <c r="G1397" s="457"/>
      <c r="H1397" s="457"/>
      <c r="I1397" s="1314"/>
      <c r="J1397" s="1314"/>
      <c r="K1397" s="1314"/>
      <c r="L1397" s="1314"/>
      <c r="M1397" s="1314"/>
      <c r="O1397" s="1620" t="s">
        <v>2797</v>
      </c>
      <c r="P1397" s="1578" t="str">
        <f>'Part VIII-Threshold Criteria'!P239</f>
        <v>Yes</v>
      </c>
      <c r="Q1397" s="1578"/>
    </row>
    <row r="1398" spans="1:22">
      <c r="A1398" s="1620"/>
      <c r="B1398" s="1620"/>
      <c r="C1398" s="457" t="s">
        <v>1488</v>
      </c>
      <c r="E1398" s="457"/>
      <c r="F1398" s="457"/>
      <c r="G1398" s="457"/>
      <c r="H1398" s="457"/>
      <c r="I1398" s="1314"/>
      <c r="J1398" s="1314"/>
      <c r="K1398" s="1314"/>
      <c r="L1398" s="1314"/>
      <c r="M1398" s="1314"/>
      <c r="O1398" s="1620" t="s">
        <v>2798</v>
      </c>
      <c r="P1398" s="1578" t="str">
        <f>'Part VIII-Threshold Criteria'!P240</f>
        <v>No</v>
      </c>
      <c r="Q1398" s="1578"/>
    </row>
    <row r="1399" spans="1:22">
      <c r="A1399" s="1620" t="s">
        <v>2114</v>
      </c>
      <c r="B1399" s="457" t="s">
        <v>3660</v>
      </c>
      <c r="C1399" s="457"/>
      <c r="E1399" s="457"/>
      <c r="F1399" s="457"/>
      <c r="G1399" s="457"/>
      <c r="H1399" s="457"/>
      <c r="I1399" s="457"/>
      <c r="J1399" s="457"/>
      <c r="K1399" s="1314"/>
      <c r="M1399" s="1620" t="s">
        <v>4832</v>
      </c>
      <c r="N1399" s="1524" t="str">
        <f>'Part I-Project Information'!$H$82</f>
        <v>Family</v>
      </c>
      <c r="O1399" s="1620" t="s">
        <v>2114</v>
      </c>
      <c r="P1399" s="1578" t="str">
        <f>'Part VIII-Threshold Criteria'!P241</f>
        <v>N/A</v>
      </c>
      <c r="Q1399" s="1578"/>
    </row>
    <row r="1400" spans="1:22">
      <c r="B1400" s="1620" t="s">
        <v>1736</v>
      </c>
      <c r="C1400" s="457" t="s">
        <v>1254</v>
      </c>
      <c r="E1400" s="1314"/>
      <c r="F1400" s="1314"/>
      <c r="G1400" s="457"/>
      <c r="H1400" s="1524"/>
      <c r="I1400" s="1314"/>
      <c r="J1400" s="1524"/>
      <c r="K1400" s="1314"/>
      <c r="L1400" s="1524"/>
      <c r="M1400" s="1524"/>
      <c r="O1400" s="1620" t="s">
        <v>1736</v>
      </c>
      <c r="P1400" s="1578">
        <f>'Part VIII-Threshold Criteria'!P242</f>
        <v>0</v>
      </c>
      <c r="Q1400" s="1578"/>
    </row>
    <row r="1401" spans="1:22">
      <c r="B1401" s="1620" t="s">
        <v>1737</v>
      </c>
      <c r="C1401" s="457" t="s">
        <v>4762</v>
      </c>
      <c r="E1401" s="1314"/>
      <c r="F1401" s="1314"/>
      <c r="G1401" s="1524"/>
      <c r="H1401" s="1524"/>
      <c r="I1401" s="1314"/>
      <c r="J1401" s="1524"/>
      <c r="K1401" s="1314"/>
      <c r="L1401" s="1524"/>
      <c r="M1401" s="1524"/>
      <c r="O1401" s="1620" t="s">
        <v>1737</v>
      </c>
      <c r="P1401" s="1578">
        <f>'Part VIII-Threshold Criteria'!P243</f>
        <v>0</v>
      </c>
      <c r="Q1401" s="1578"/>
    </row>
    <row r="1402" spans="1:22">
      <c r="B1402" s="1525" t="s">
        <v>3751</v>
      </c>
      <c r="D1402" s="1525"/>
      <c r="E1402" s="1525"/>
      <c r="F1402" s="1525"/>
      <c r="G1402" s="1525"/>
      <c r="H1402" s="1524"/>
      <c r="I1402" s="1578"/>
      <c r="J1402" s="1578"/>
      <c r="K1402" s="1578"/>
      <c r="L1402" s="1316"/>
      <c r="M1402" s="1316"/>
      <c r="N1402" s="1316"/>
      <c r="O1402" s="1316"/>
      <c r="P1402" s="1316"/>
      <c r="Q1402" s="1316"/>
    </row>
    <row r="1403" spans="1:22" ht="51">
      <c r="A1403" s="1583" t="str">
        <f>'Part VIII-Threshold Criteria'!A245</f>
        <v>Project is a family property consisting of 40 units</v>
      </c>
      <c r="B1403" s="1583"/>
      <c r="C1403" s="1583"/>
      <c r="D1403" s="1583"/>
      <c r="E1403" s="1583"/>
      <c r="F1403" s="1583"/>
      <c r="G1403" s="1583"/>
      <c r="H1403" s="1583"/>
      <c r="I1403" s="1583"/>
      <c r="J1403" s="1583"/>
      <c r="K1403" s="1583"/>
      <c r="L1403" s="1583"/>
      <c r="M1403" s="1583"/>
      <c r="N1403" s="1583"/>
      <c r="O1403" s="1583"/>
      <c r="P1403" s="1583"/>
      <c r="Q1403" s="1583"/>
      <c r="R1403" s="2384" t="s">
        <v>1253</v>
      </c>
      <c r="S1403" s="2384"/>
      <c r="U1403" s="1317"/>
      <c r="V1403" s="1317"/>
    </row>
    <row r="1404" spans="1:22">
      <c r="A1404" s="1794"/>
      <c r="B1404" s="1580" t="s">
        <v>1865</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2780</v>
      </c>
      <c r="B1407" s="1314" t="s">
        <v>2661</v>
      </c>
      <c r="C1407" s="1314"/>
      <c r="D1407" s="457"/>
      <c r="E1407" s="457"/>
      <c r="F1407" s="457"/>
      <c r="G1407" s="457"/>
      <c r="H1407" s="1582"/>
      <c r="I1407" s="1582"/>
      <c r="J1407" s="1582"/>
      <c r="K1407" s="1582"/>
      <c r="L1407" s="1555"/>
      <c r="M1407" s="2400"/>
      <c r="O1407" s="2382" t="s">
        <v>1866</v>
      </c>
      <c r="P1407" s="1317"/>
      <c r="Q1407" s="1317"/>
    </row>
    <row r="1408" spans="1:22">
      <c r="A1408" s="1620" t="s">
        <v>1982</v>
      </c>
      <c r="B1408" s="457" t="s">
        <v>1267</v>
      </c>
      <c r="D1408" s="1314"/>
      <c r="E1408" s="457"/>
      <c r="F1408" s="457"/>
      <c r="J1408" s="1620" t="s">
        <v>1982</v>
      </c>
      <c r="K1408" s="457" t="str">
        <f>'Part VIII-Threshold Criteria'!K250</f>
        <v>Substantial Gut Rehab</v>
      </c>
      <c r="L1408" s="457">
        <f>'Part VIII-Threshold Criteria'!L250</f>
        <v>0</v>
      </c>
      <c r="M1408" s="457">
        <f>'Part VIII-Threshold Criteria'!M250</f>
        <v>0</v>
      </c>
      <c r="N1408" s="457">
        <f>'Part VIII-Threshold Criteria'!N250</f>
        <v>0</v>
      </c>
      <c r="O1408" s="457">
        <f>'Part VIII-Threshold Criteria'!O250</f>
        <v>0</v>
      </c>
      <c r="P1408" s="457" t="s">
        <v>1770</v>
      </c>
      <c r="Q1408" s="457"/>
    </row>
    <row r="1409" spans="1:17">
      <c r="A1409" s="1620" t="s">
        <v>1984</v>
      </c>
      <c r="B1409" s="457" t="s">
        <v>2810</v>
      </c>
      <c r="D1409" s="457"/>
      <c r="E1409" s="457"/>
      <c r="F1409" s="457"/>
      <c r="J1409" s="1620" t="s">
        <v>1984</v>
      </c>
      <c r="K1409" s="2401" t="str">
        <f>'Part VIII-Threshold Criteria'!K251</f>
        <v>GIBCO Environmental, LLC</v>
      </c>
      <c r="L1409" s="2401">
        <f>'Part VIII-Threshold Criteria'!L251</f>
        <v>0</v>
      </c>
      <c r="M1409" s="2401">
        <f>'Part VIII-Threshold Criteria'!M251</f>
        <v>0</v>
      </c>
      <c r="N1409" s="2401">
        <f>'Part VIII-Threshold Criteria'!N251</f>
        <v>0</v>
      </c>
      <c r="O1409" s="2401">
        <f>'Part VIII-Threshold Criteria'!O251</f>
        <v>0</v>
      </c>
      <c r="P1409" s="2401"/>
      <c r="Q1409" s="2401"/>
    </row>
    <row r="1410" spans="1:17">
      <c r="A1410" s="1620"/>
      <c r="B1410" s="457" t="s">
        <v>1944</v>
      </c>
      <c r="D1410" s="457"/>
      <c r="E1410" s="457"/>
      <c r="F1410" s="457"/>
      <c r="K1410" s="457" t="str">
        <f>'Part VIII-Threshold Criteria'!K252</f>
        <v>Jim Howell</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2542</v>
      </c>
      <c r="D1411" s="457"/>
      <c r="E1411" s="457"/>
      <c r="F1411" s="457"/>
      <c r="G1411" s="457"/>
      <c r="H1411" s="457"/>
      <c r="I1411" s="1314"/>
      <c r="J1411" s="1314"/>
      <c r="K1411" s="1794"/>
      <c r="L1411" s="1794"/>
      <c r="M1411" s="457"/>
      <c r="N1411" s="2402"/>
      <c r="O1411" s="457"/>
      <c r="P1411" s="457" t="str">
        <f>'Part VIII-Threshold Criteria'!P253</f>
        <v>Yes</v>
      </c>
      <c r="Q1411" s="457"/>
    </row>
    <row r="1412" spans="1:17">
      <c r="A1412" s="1620" t="s">
        <v>748</v>
      </c>
      <c r="B1412" s="457" t="s">
        <v>4908</v>
      </c>
      <c r="D1412" s="457"/>
      <c r="E1412" s="457"/>
      <c r="F1412" s="457"/>
      <c r="J1412" s="1620" t="s">
        <v>748</v>
      </c>
      <c r="K1412" s="2401">
        <f>'Part VIII-Threshold Criteria'!K254</f>
        <v>43592</v>
      </c>
      <c r="L1412" s="2401">
        <f>'Part VIII-Threshold Criteria'!L254</f>
        <v>0</v>
      </c>
      <c r="M1412" s="2401">
        <f>'Part VIII-Threshold Criteria'!M254</f>
        <v>0</v>
      </c>
      <c r="N1412" s="2401">
        <f>'Part VIII-Threshold Criteria'!N254</f>
        <v>0</v>
      </c>
      <c r="O1412" s="2401">
        <f>'Part VIII-Threshold Criteria'!O254</f>
        <v>0</v>
      </c>
      <c r="P1412" s="2401"/>
      <c r="Q1412" s="2401"/>
    </row>
    <row r="1413" spans="1:17">
      <c r="A1413" s="1620"/>
      <c r="B1413" s="457" t="s">
        <v>4768</v>
      </c>
      <c r="D1413" s="457"/>
      <c r="E1413" s="457"/>
      <c r="F1413" s="457"/>
    </row>
    <row r="1414" spans="1:17">
      <c r="A1414" s="1620"/>
      <c r="C1414" s="457" t="s">
        <v>4765</v>
      </c>
      <c r="D1414" s="457"/>
      <c r="E1414" s="457"/>
      <c r="F1414" s="457"/>
      <c r="K1414" s="457" t="s">
        <v>4764</v>
      </c>
      <c r="L1414" s="2395">
        <f>'Part VIII-Threshold Criteria'!L256</f>
        <v>0.2</v>
      </c>
      <c r="M1414" s="457"/>
      <c r="N1414" s="2402"/>
      <c r="O1414" s="2402"/>
      <c r="P1414" s="457" t="str">
        <f>'Part VIII-Threshold Criteria'!P256</f>
        <v>Yes</v>
      </c>
      <c r="Q1414" s="457"/>
    </row>
    <row r="1415" spans="1:17">
      <c r="A1415" s="1620"/>
      <c r="B1415" s="457"/>
      <c r="C1415" s="1051" t="s">
        <v>4766</v>
      </c>
      <c r="D1415" s="457"/>
      <c r="E1415" s="457"/>
      <c r="F1415" s="457"/>
      <c r="K1415" s="1620" t="s">
        <v>4767</v>
      </c>
      <c r="L1415" s="2403">
        <f>'Part VIII-Threshold Criteria'!L257</f>
        <v>0</v>
      </c>
      <c r="M1415" s="457"/>
      <c r="N1415" s="1640"/>
      <c r="O1415" s="1640"/>
      <c r="P1415" s="1578" t="str">
        <f>'Part VIII-Threshold Criteria'!P257</f>
        <v>No</v>
      </c>
      <c r="Q1415" s="1578"/>
    </row>
    <row r="1416" spans="1:17">
      <c r="A1416" s="1620"/>
      <c r="B1416" s="457" t="s">
        <v>4763</v>
      </c>
      <c r="D1416" s="457"/>
      <c r="E1416" s="457"/>
      <c r="F1416" s="457"/>
      <c r="K1416" s="457" t="str">
        <f>'Part VIII-Threshold Criteria'!K258</f>
        <v>Edward Foskey of Synergy Custom Services</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2114</v>
      </c>
      <c r="B1417" s="457" t="s">
        <v>3903</v>
      </c>
      <c r="D1417" s="457"/>
      <c r="E1417" s="457"/>
      <c r="F1417" s="457"/>
      <c r="G1417" s="457"/>
      <c r="H1417" s="457"/>
      <c r="I1417" s="1314"/>
      <c r="J1417" s="1314"/>
      <c r="K1417" s="1314"/>
      <c r="M1417" s="457"/>
      <c r="N1417" s="1640"/>
      <c r="O1417" s="1620" t="s">
        <v>2114</v>
      </c>
      <c r="P1417" s="1578" t="str">
        <f>'Part VIII-Threshold Criteria'!P259</f>
        <v>Yes</v>
      </c>
      <c r="Q1417" s="1578"/>
    </row>
    <row r="1418" spans="1:17" ht="12.75" customHeight="1">
      <c r="A1418" s="1620"/>
      <c r="B1418" s="1583" t="s">
        <v>3759</v>
      </c>
      <c r="C1418" s="1583"/>
      <c r="D1418" s="1583"/>
      <c r="E1418" s="1583"/>
      <c r="F1418" s="1583"/>
      <c r="G1418" s="1583"/>
      <c r="H1418" s="1051" t="s">
        <v>4112</v>
      </c>
      <c r="K1418" s="1314"/>
      <c r="L1418" s="1794"/>
      <c r="M1418" s="457"/>
      <c r="N1418" s="2402"/>
      <c r="O1418" s="457" t="s">
        <v>1736</v>
      </c>
      <c r="P1418" s="457" t="str">
        <f>'Part VIII-Threshold Criteria'!P260</f>
        <v>Yes</v>
      </c>
      <c r="Q1418" s="457"/>
    </row>
    <row r="1419" spans="1:17">
      <c r="A1419" s="1620"/>
      <c r="B1419" s="1583"/>
      <c r="C1419" s="1583"/>
      <c r="D1419" s="1583"/>
      <c r="E1419" s="1583"/>
      <c r="F1419" s="1583"/>
      <c r="G1419" s="1583"/>
      <c r="H1419" s="1051" t="s">
        <v>4113</v>
      </c>
      <c r="K1419" s="1314"/>
      <c r="M1419" s="457"/>
      <c r="N1419" s="1640"/>
      <c r="O1419" s="1620" t="s">
        <v>1737</v>
      </c>
      <c r="P1419" s="1578" t="str">
        <f>'Part VIII-Threshold Criteria'!P261</f>
        <v>Yes</v>
      </c>
      <c r="Q1419" s="1578"/>
    </row>
    <row r="1420" spans="1:17">
      <c r="A1420" s="1620"/>
      <c r="B1420" s="457"/>
      <c r="C1420" s="1794"/>
      <c r="D1420" s="457"/>
      <c r="E1420" s="457"/>
      <c r="F1420" s="457"/>
      <c r="G1420" s="457"/>
      <c r="H1420" s="1051" t="s">
        <v>4114</v>
      </c>
      <c r="K1420" s="1314"/>
      <c r="M1420" s="457"/>
      <c r="N1420" s="1640"/>
      <c r="O1420" s="1620" t="s">
        <v>1738</v>
      </c>
      <c r="P1420" s="1578" t="str">
        <f>'Part VIII-Threshold Criteria'!P262</f>
        <v>Yes</v>
      </c>
      <c r="Q1420" s="1578"/>
    </row>
    <row r="1421" spans="1:17">
      <c r="A1421" s="1620"/>
      <c r="B1421" s="457"/>
      <c r="C1421" s="1794"/>
      <c r="D1421" s="457"/>
      <c r="E1421" s="457"/>
      <c r="F1421" s="457"/>
      <c r="G1421" s="457"/>
      <c r="H1421" s="1051" t="s">
        <v>4115</v>
      </c>
      <c r="K1421" s="1314"/>
      <c r="M1421" s="457"/>
      <c r="N1421" s="1640"/>
      <c r="O1421" s="1620" t="s">
        <v>2364</v>
      </c>
      <c r="P1421" s="1578" t="str">
        <f>'Part VIII-Threshold Criteria'!P263</f>
        <v>Yes</v>
      </c>
      <c r="Q1421" s="1578"/>
    </row>
    <row r="1422" spans="1:17" ht="12.75" customHeight="1">
      <c r="B1422" s="1583" t="s">
        <v>5332</v>
      </c>
      <c r="C1422" s="1583"/>
      <c r="D1422" s="1583"/>
      <c r="E1422" s="1583"/>
      <c r="F1422" s="1583"/>
      <c r="G1422" s="1583"/>
      <c r="H1422" s="1583"/>
      <c r="I1422" s="1583"/>
      <c r="J1422" s="1583"/>
      <c r="K1422" s="1583"/>
      <c r="L1422" s="1583"/>
      <c r="M1422" s="1583"/>
      <c r="N1422" s="1583"/>
      <c r="O1422" s="1627"/>
      <c r="P1422" s="1631" t="str">
        <f>'Part VIII-Threshold Criteria'!P264</f>
        <v>Agree</v>
      </c>
      <c r="Q1422" s="1631"/>
    </row>
    <row r="1423" spans="1:17" ht="12.75" customHeight="1">
      <c r="A1423" s="1627" t="s">
        <v>1734</v>
      </c>
      <c r="B1423" s="1583" t="s">
        <v>5333</v>
      </c>
      <c r="C1423" s="1583"/>
      <c r="D1423" s="1583"/>
      <c r="E1423" s="1583"/>
      <c r="F1423" s="1583"/>
      <c r="G1423" s="1583"/>
      <c r="H1423" s="1583"/>
      <c r="I1423" s="1583"/>
      <c r="J1423" s="1583"/>
      <c r="K1423" s="1583"/>
      <c r="L1423" s="1583"/>
      <c r="M1423" s="1583"/>
      <c r="N1423" s="1583"/>
      <c r="O1423" s="1627" t="s">
        <v>1734</v>
      </c>
      <c r="P1423" s="1631" t="str">
        <f>'Part VIII-Threshold Criteria'!P265</f>
        <v>Agree</v>
      </c>
      <c r="Q1423" s="1631"/>
    </row>
    <row r="1424" spans="1:17" ht="12.75" customHeight="1">
      <c r="B1424" s="1583" t="s">
        <v>5112</v>
      </c>
      <c r="C1424" s="1583"/>
      <c r="D1424" s="1583"/>
      <c r="E1424" s="1583"/>
      <c r="F1424" s="1583"/>
      <c r="G1424" s="1583"/>
      <c r="H1424" s="1583"/>
      <c r="I1424" s="1583"/>
      <c r="J1424" s="1583"/>
      <c r="K1424" s="1583"/>
      <c r="L1424" s="1583"/>
      <c r="M1424" s="1583"/>
      <c r="N1424" s="1583"/>
      <c r="O1424" s="1627"/>
      <c r="P1424" s="1631" t="str">
        <f>'Part VIII-Threshold Criteria'!P266</f>
        <v>Agree</v>
      </c>
      <c r="Q1424" s="1631"/>
    </row>
    <row r="1425" spans="1:22">
      <c r="B1425" s="457" t="s">
        <v>1736</v>
      </c>
      <c r="C1425" s="457" t="s">
        <v>5079</v>
      </c>
      <c r="D1425" s="1794"/>
      <c r="E1425" s="457"/>
      <c r="F1425" s="457"/>
      <c r="G1425" s="1794"/>
      <c r="H1425" s="1794"/>
      <c r="I1425" s="1794"/>
      <c r="J1425" s="1794"/>
      <c r="K1425" s="1794"/>
      <c r="L1425" s="1314"/>
      <c r="M1425" s="1314"/>
      <c r="N1425" s="1794"/>
      <c r="O1425" s="1620" t="s">
        <v>1736</v>
      </c>
      <c r="P1425" s="1578" t="str">
        <f>'Part VIII-Threshold Criteria'!P267</f>
        <v>Yes</v>
      </c>
      <c r="Q1425" s="1578"/>
    </row>
    <row r="1426" spans="1:22">
      <c r="B1426" s="457"/>
      <c r="C1426" s="1794"/>
      <c r="D1426" s="1638" t="s">
        <v>3861</v>
      </c>
      <c r="E1426" s="457" t="str">
        <f>'Part VIII-Threshold Criteria'!E268</f>
        <v>Custom Relocation Specialists, LLC</v>
      </c>
      <c r="F1426" s="457">
        <f>'Part VIII-Threshold Criteria'!F268</f>
        <v>0</v>
      </c>
      <c r="G1426" s="457">
        <f>'Part VIII-Threshold Criteria'!G268</f>
        <v>0</v>
      </c>
      <c r="H1426" s="457" t="s">
        <v>4949</v>
      </c>
      <c r="I1426" s="457" t="str">
        <f>'Part VIII-Threshold Criteria'!I268</f>
        <v>Relocation Specialist</v>
      </c>
      <c r="J1426" s="457">
        <f>'Part VIII-Threshold Criteria'!J268</f>
        <v>0</v>
      </c>
      <c r="K1426" s="457">
        <f>'Part VIII-Threshold Criteria'!K268</f>
        <v>0</v>
      </c>
      <c r="L1426" s="457" t="s">
        <v>4950</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1737</v>
      </c>
      <c r="C1427" s="1524" t="s">
        <v>5080</v>
      </c>
      <c r="E1427" s="1524"/>
      <c r="F1427" s="1524"/>
      <c r="G1427" s="1524"/>
      <c r="H1427" s="1524"/>
      <c r="I1427" s="1314"/>
      <c r="J1427" s="1314"/>
      <c r="K1427" s="1314"/>
      <c r="L1427" s="1314"/>
      <c r="M1427" s="1314"/>
      <c r="O1427" s="1620" t="s">
        <v>1737</v>
      </c>
      <c r="P1427" s="1578" t="str">
        <f>'Part VIII-Threshold Criteria'!P269</f>
        <v>No</v>
      </c>
      <c r="Q1427" s="1578"/>
      <c r="S1427" s="1620"/>
      <c r="U1427" s="1604"/>
    </row>
    <row r="1428" spans="1:22">
      <c r="A1428" s="1620"/>
      <c r="B1428" s="1620"/>
      <c r="D1428" s="1051" t="s">
        <v>2300</v>
      </c>
      <c r="E1428" s="457">
        <f>'Part VIII-Threshold Criteria'!E270</f>
        <v>0</v>
      </c>
      <c r="F1428" s="457">
        <f>'Part VIII-Threshold Criteria'!F270</f>
        <v>0</v>
      </c>
      <c r="G1428" s="457">
        <f>'Part VIII-Threshold Criteria'!G270</f>
        <v>0</v>
      </c>
      <c r="H1428" s="457" t="s">
        <v>1799</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3751</v>
      </c>
      <c r="D1429" s="1525"/>
      <c r="E1429" s="1525"/>
      <c r="F1429" s="1525"/>
      <c r="G1429" s="1525"/>
      <c r="H1429" s="1524"/>
      <c r="I1429" s="1578"/>
      <c r="J1429" s="1578"/>
      <c r="K1429" s="1578"/>
      <c r="L1429" s="1316"/>
      <c r="M1429" s="1316"/>
      <c r="N1429" s="1316"/>
      <c r="O1429" s="1316"/>
      <c r="P1429" s="1316"/>
      <c r="Q1429" s="1316"/>
    </row>
    <row r="1430" spans="1:22" ht="81.599999999999994">
      <c r="A1430" s="1583" t="str">
        <f>'Part VIII-Threshold Criteria'!A272</f>
        <v>CRS as facilitator is experienced in all aspects of relocation including Resident Engagement.</v>
      </c>
      <c r="B1430" s="1583"/>
      <c r="C1430" s="1583"/>
      <c r="D1430" s="1583"/>
      <c r="E1430" s="1583"/>
      <c r="F1430" s="1583"/>
      <c r="G1430" s="1583"/>
      <c r="H1430" s="1583"/>
      <c r="I1430" s="1583"/>
      <c r="J1430" s="1583"/>
      <c r="K1430" s="1583"/>
      <c r="L1430" s="1583"/>
      <c r="M1430" s="1583"/>
      <c r="N1430" s="1583"/>
      <c r="O1430" s="1583"/>
      <c r="P1430" s="1583"/>
      <c r="Q1430" s="1583"/>
      <c r="R1430" s="2384" t="s">
        <v>1253</v>
      </c>
      <c r="S1430" s="2384"/>
      <c r="U1430" s="1317"/>
      <c r="V1430" s="1317"/>
    </row>
    <row r="1431" spans="1:22">
      <c r="B1431" s="1580" t="s">
        <v>1865</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2250</v>
      </c>
      <c r="B1434" s="1314" t="s">
        <v>2662</v>
      </c>
      <c r="C1434" s="1314"/>
      <c r="D1434" s="457"/>
      <c r="E1434" s="457"/>
      <c r="F1434" s="457"/>
      <c r="G1434" s="457"/>
      <c r="H1434" s="1583"/>
      <c r="I1434" s="1583"/>
      <c r="J1434" s="1583"/>
      <c r="K1434" s="1583"/>
      <c r="L1434" s="1583"/>
      <c r="M1434" s="1583"/>
      <c r="N1434" s="1794"/>
      <c r="O1434" s="1583" t="s">
        <v>1866</v>
      </c>
      <c r="P1434" s="1317"/>
      <c r="Q1434" s="1317"/>
    </row>
    <row r="1435" spans="1:22" ht="12.75" customHeight="1">
      <c r="A1435" s="1627" t="s">
        <v>1982</v>
      </c>
      <c r="B1435" s="1583" t="s">
        <v>4961</v>
      </c>
      <c r="C1435" s="1583"/>
      <c r="D1435" s="1583"/>
      <c r="E1435" s="1583"/>
      <c r="F1435" s="1583"/>
      <c r="G1435" s="1583"/>
      <c r="H1435" s="1583"/>
      <c r="I1435" s="1583"/>
      <c r="J1435" s="1583"/>
      <c r="K1435" s="1583"/>
      <c r="L1435" s="1583"/>
      <c r="M1435" s="1583"/>
      <c r="N1435" s="1583"/>
      <c r="O1435" s="1627" t="s">
        <v>1982</v>
      </c>
      <c r="P1435" s="1631" t="str">
        <f>'Part VIII-Threshold Criteria'!P277</f>
        <v>Yes</v>
      </c>
      <c r="Q1435" s="1631"/>
      <c r="R1435" s="1596"/>
      <c r="S1435" s="1596"/>
      <c r="T1435" s="1596"/>
      <c r="U1435" s="1596"/>
      <c r="V1435" s="1596"/>
    </row>
    <row r="1436" spans="1:22">
      <c r="A1436" s="1620"/>
      <c r="B1436" s="457" t="s">
        <v>3754</v>
      </c>
      <c r="D1436" s="457"/>
      <c r="E1436" s="457"/>
      <c r="F1436" s="457"/>
      <c r="G1436" s="457"/>
      <c r="H1436" s="457"/>
      <c r="I1436" s="457"/>
      <c r="J1436" s="457"/>
      <c r="K1436" s="457"/>
      <c r="L1436" s="457"/>
      <c r="M1436" s="457"/>
      <c r="O1436" s="1620"/>
      <c r="P1436" s="457" t="str">
        <f>'Part VIII-Threshold Criteria'!P278</f>
        <v>Yes</v>
      </c>
      <c r="Q1436" s="457"/>
    </row>
    <row r="1437" spans="1:22">
      <c r="A1437" s="1620" t="s">
        <v>1984</v>
      </c>
      <c r="B1437" s="457" t="s">
        <v>3755</v>
      </c>
      <c r="D1437" s="457"/>
      <c r="E1437" s="457"/>
      <c r="F1437" s="457"/>
      <c r="G1437" s="457"/>
      <c r="H1437" s="457"/>
      <c r="I1437" s="457"/>
      <c r="J1437" s="457"/>
      <c r="K1437" s="457"/>
      <c r="L1437" s="457"/>
      <c r="M1437" s="457"/>
      <c r="O1437" s="1620" t="s">
        <v>1984</v>
      </c>
      <c r="P1437" s="1578" t="str">
        <f>'Part VIII-Threshold Criteria'!P279</f>
        <v>Yes</v>
      </c>
      <c r="Q1437" s="1578"/>
    </row>
    <row r="1438" spans="1:22">
      <c r="A1438" s="1620" t="s">
        <v>748</v>
      </c>
      <c r="B1438" s="457" t="s">
        <v>4116</v>
      </c>
      <c r="C1438" s="1794"/>
      <c r="D1438" s="457"/>
      <c r="E1438" s="457"/>
      <c r="F1438" s="457"/>
      <c r="G1438" s="457"/>
      <c r="H1438" s="457"/>
      <c r="I1438" s="457"/>
      <c r="J1438" s="457"/>
      <c r="K1438" s="457"/>
      <c r="L1438" s="457"/>
      <c r="M1438" s="457"/>
      <c r="N1438" s="1794"/>
      <c r="O1438" s="1620" t="s">
        <v>748</v>
      </c>
      <c r="P1438" s="1578" t="str">
        <f>'Part VIII-Threshold Criteria'!P280</f>
        <v>Yes</v>
      </c>
      <c r="Q1438" s="1578"/>
    </row>
    <row r="1439" spans="1:22">
      <c r="A1439" s="1620"/>
      <c r="B1439" s="457" t="s">
        <v>3756</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2114</v>
      </c>
      <c r="B1440" s="1583" t="s">
        <v>4964</v>
      </c>
      <c r="C1440" s="1583"/>
      <c r="D1440" s="1583"/>
      <c r="E1440" s="1583"/>
      <c r="F1440" s="1583"/>
      <c r="G1440" s="1583"/>
      <c r="H1440" s="1583"/>
      <c r="I1440" s="1583"/>
      <c r="J1440" s="1583"/>
      <c r="K1440" s="1583"/>
      <c r="L1440" s="1583"/>
      <c r="M1440" s="1583"/>
      <c r="N1440" s="1583"/>
      <c r="O1440" s="1620" t="s">
        <v>2114</v>
      </c>
      <c r="P1440" s="1631" t="str">
        <f>'Part VIII-Threshold Criteria'!P282</f>
        <v>Yes</v>
      </c>
      <c r="Q1440" s="1631"/>
    </row>
    <row r="1441" spans="1:22">
      <c r="B1441" s="1525" t="s">
        <v>3751</v>
      </c>
      <c r="D1441" s="1525"/>
      <c r="E1441" s="1525"/>
      <c r="F1441" s="1525"/>
      <c r="G1441" s="1525"/>
      <c r="H1441" s="1524"/>
      <c r="I1441" s="1578"/>
      <c r="J1441" s="1578"/>
      <c r="K1441" s="1578"/>
      <c r="L1441" s="1316"/>
      <c r="M1441" s="1316"/>
      <c r="N1441" s="1316"/>
      <c r="O1441" s="1316"/>
      <c r="P1441" s="1316"/>
      <c r="Q1441" s="1316"/>
    </row>
    <row r="1442" spans="1:22" ht="91.8">
      <c r="A1442" s="1583" t="str">
        <f>'Part VIII-Threshold Criteria'!A284</f>
        <v xml:space="preserve">Aerial photos are taken from Google. Site photos and adjacent property photos were taken April 18, 2019. </v>
      </c>
      <c r="B1442" s="1583"/>
      <c r="C1442" s="1583"/>
      <c r="D1442" s="1583"/>
      <c r="E1442" s="1583"/>
      <c r="F1442" s="1583"/>
      <c r="G1442" s="1583"/>
      <c r="H1442" s="1583"/>
      <c r="I1442" s="1583"/>
      <c r="J1442" s="1583"/>
      <c r="K1442" s="1583"/>
      <c r="L1442" s="1583"/>
      <c r="M1442" s="1583"/>
      <c r="N1442" s="1583"/>
      <c r="O1442" s="1583"/>
      <c r="P1442" s="1583"/>
      <c r="Q1442" s="1583"/>
      <c r="R1442" s="2384" t="s">
        <v>1253</v>
      </c>
      <c r="S1442" s="2384"/>
      <c r="U1442" s="1317"/>
      <c r="V1442" s="1317"/>
    </row>
    <row r="1443" spans="1:22">
      <c r="B1443" s="1580" t="s">
        <v>1865</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4098</v>
      </c>
      <c r="B1446" s="1630" t="s">
        <v>2663</v>
      </c>
      <c r="C1446" s="1630"/>
      <c r="D1446" s="1582"/>
      <c r="E1446" s="1582"/>
      <c r="F1446" s="1582"/>
      <c r="G1446" s="1582"/>
      <c r="H1446" s="1582"/>
      <c r="I1446" s="1582"/>
      <c r="J1446" s="1582"/>
      <c r="K1446" s="1582"/>
      <c r="L1446" s="1582"/>
      <c r="M1446" s="1582"/>
      <c r="O1446" s="2382" t="s">
        <v>1866</v>
      </c>
      <c r="P1446" s="1317"/>
      <c r="Q1446" s="1317"/>
    </row>
    <row r="1447" spans="1:22" ht="12.75" customHeight="1">
      <c r="A1447" s="1604" t="s">
        <v>1982</v>
      </c>
      <c r="B1447" s="1583" t="s">
        <v>4963</v>
      </c>
      <c r="C1447" s="1583"/>
      <c r="D1447" s="1583"/>
      <c r="E1447" s="1583"/>
      <c r="F1447" s="1583"/>
      <c r="G1447" s="1583"/>
      <c r="H1447" s="1583"/>
      <c r="I1447" s="1583"/>
      <c r="J1447" s="1583"/>
      <c r="K1447" s="1583"/>
      <c r="L1447" s="1583"/>
      <c r="M1447" s="1583"/>
      <c r="N1447" s="1583"/>
      <c r="O1447" s="1604" t="s">
        <v>1982</v>
      </c>
      <c r="P1447" s="1604" t="str">
        <f>'Part VIII-Threshold Criteria'!P289</f>
        <v>Agree</v>
      </c>
      <c r="Q1447" s="1604"/>
      <c r="R1447" s="1596"/>
      <c r="S1447" s="1596"/>
      <c r="T1447" s="1596"/>
      <c r="U1447" s="1596"/>
      <c r="V1447" s="1596"/>
    </row>
    <row r="1448" spans="1:22" ht="12.75" customHeight="1">
      <c r="A1448" s="1627"/>
      <c r="B1448" s="1583" t="s">
        <v>2812</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c r="A1449" s="1511" t="s">
        <v>1984</v>
      </c>
      <c r="B1449" s="1317" t="s">
        <v>310</v>
      </c>
      <c r="D1449" s="1314"/>
      <c r="E1449" s="1314"/>
      <c r="J1449" s="1636" t="s">
        <v>4783</v>
      </c>
      <c r="K1449" s="1393" t="str">
        <f>'Part VIII-Threshold Criteria'!K291</f>
        <v>Earth Craft House Multifamily</v>
      </c>
      <c r="L1449" s="1393">
        <f>'Part VIII-Threshold Criteria'!L291</f>
        <v>0</v>
      </c>
      <c r="M1449" s="1393">
        <f>'Part VIII-Threshold Criteria'!M291</f>
        <v>0</v>
      </c>
      <c r="N1449" s="1393">
        <f>'Part VIII-Threshold Criteria'!N291</f>
        <v>0</v>
      </c>
      <c r="O1449" s="1620" t="s">
        <v>1984</v>
      </c>
      <c r="P1449" s="2404" t="str">
        <f>'Part VIII-Threshold Criteria'!P291</f>
        <v>Agree</v>
      </c>
      <c r="Q1449" s="2404"/>
      <c r="R1449" s="2405"/>
      <c r="S1449" s="1528"/>
    </row>
    <row r="1450" spans="1:22">
      <c r="A1450" s="1511"/>
      <c r="B1450" s="1317"/>
      <c r="C1450" s="1794"/>
      <c r="D1450" s="1314"/>
      <c r="E1450" s="1314"/>
      <c r="F1450" s="1794"/>
      <c r="G1450" s="1794"/>
      <c r="H1450" s="1794"/>
      <c r="I1450" s="1794"/>
      <c r="J1450" s="1638" t="s">
        <v>4965</v>
      </c>
      <c r="K1450" s="1393">
        <f>'Part VIII-Threshold Criteria'!K292</f>
        <v>0</v>
      </c>
      <c r="L1450" s="1393">
        <f>'Part VIII-Threshold Criteria'!L292</f>
        <v>0</v>
      </c>
      <c r="M1450" s="1393">
        <f>'Part VIII-Threshold Criteria'!M292</f>
        <v>0</v>
      </c>
      <c r="N1450" s="1393">
        <f>'Part VIII-Threshold Criteria'!N292</f>
        <v>0</v>
      </c>
      <c r="O1450" s="1620"/>
      <c r="P1450" s="1620"/>
      <c r="Q1450" s="1620"/>
      <c r="R1450" s="1620"/>
      <c r="S1450" s="1528"/>
    </row>
    <row r="1451" spans="1:22" ht="14.4">
      <c r="A1451" s="1314"/>
      <c r="B1451" s="1549" t="s">
        <v>3751</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183.6">
      <c r="A1452" s="1583" t="str">
        <f>'Part VIII-Threshold Criteria'!A294</f>
        <v>Renovation of the property will increase energy efficiency. Included in the rehab are new appliances, lighting fixtures, windows, and insulation, all of which will create a higher level of energy efficiency.</v>
      </c>
      <c r="B1452" s="1583"/>
      <c r="C1452" s="1583"/>
      <c r="D1452" s="1583"/>
      <c r="E1452" s="1583"/>
      <c r="F1452" s="1583"/>
      <c r="G1452" s="1583"/>
      <c r="H1452" s="1583"/>
      <c r="I1452" s="1583"/>
      <c r="J1452" s="1583"/>
      <c r="K1452" s="1583"/>
      <c r="L1452" s="1583"/>
      <c r="M1452" s="1583"/>
      <c r="N1452" s="1583"/>
      <c r="O1452" s="1583"/>
      <c r="P1452" s="1583"/>
      <c r="Q1452" s="1583"/>
      <c r="R1452" s="2384" t="s">
        <v>1253</v>
      </c>
      <c r="S1452" s="1659"/>
      <c r="T1452" s="1659"/>
      <c r="U1452" s="1659"/>
      <c r="V1452" s="1659"/>
    </row>
    <row r="1453" spans="1:22" ht="14.4">
      <c r="B1453" s="1580" t="s">
        <v>1865</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4.4">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4.4">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4099</v>
      </c>
      <c r="B1456" s="1630" t="s">
        <v>2664</v>
      </c>
      <c r="C1456" s="1637"/>
      <c r="D1456" s="1582"/>
      <c r="E1456" s="1582"/>
      <c r="F1456" s="1582"/>
      <c r="G1456" s="1582"/>
      <c r="H1456" s="1582"/>
      <c r="I1456" s="1582"/>
      <c r="J1456" s="1582"/>
      <c r="K1456" s="1582"/>
      <c r="L1456" s="1582"/>
      <c r="M1456" s="1582"/>
      <c r="O1456" s="2382" t="s">
        <v>1866</v>
      </c>
      <c r="P1456" s="1317"/>
      <c r="Q1456" s="1317"/>
    </row>
    <row r="1457" spans="1:22">
      <c r="A1457" s="1314" t="s">
        <v>1982</v>
      </c>
      <c r="B1457" s="1314" t="s">
        <v>4543</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1736</v>
      </c>
      <c r="C1458" s="1583" t="s">
        <v>3907</v>
      </c>
      <c r="D1458" s="1583"/>
      <c r="E1458" s="1583"/>
      <c r="F1458" s="1583"/>
      <c r="G1458" s="1583"/>
      <c r="H1458" s="1583"/>
      <c r="I1458" s="1583"/>
      <c r="J1458" s="1583"/>
      <c r="K1458" s="1583"/>
      <c r="L1458" s="1583"/>
      <c r="M1458" s="1583"/>
      <c r="N1458" s="1583"/>
      <c r="O1458" s="1627" t="s">
        <v>2724</v>
      </c>
      <c r="P1458" s="1631" t="str">
        <f>'Part VIII-Threshold Criteria'!P300</f>
        <v>Yes</v>
      </c>
      <c r="Q1458" s="1631"/>
    </row>
    <row r="1459" spans="1:22" ht="12.75" customHeight="1">
      <c r="A1459" s="1627"/>
      <c r="B1459" s="1635" t="s">
        <v>1737</v>
      </c>
      <c r="C1459" s="1583" t="s">
        <v>3908</v>
      </c>
      <c r="D1459" s="1583"/>
      <c r="E1459" s="1583"/>
      <c r="F1459" s="1583"/>
      <c r="G1459" s="1583"/>
      <c r="H1459" s="1583"/>
      <c r="I1459" s="1583"/>
      <c r="J1459" s="1583"/>
      <c r="K1459" s="1583"/>
      <c r="L1459" s="1583"/>
      <c r="M1459" s="1583"/>
      <c r="N1459" s="1583"/>
      <c r="O1459" s="1627" t="s">
        <v>1737</v>
      </c>
      <c r="P1459" s="1604" t="str">
        <f>'Part VIII-Threshold Criteria'!P301</f>
        <v>Yes</v>
      </c>
      <c r="Q1459" s="1604"/>
      <c r="R1459" s="1596"/>
      <c r="S1459" s="1596"/>
      <c r="T1459" s="1596"/>
      <c r="U1459" s="1596"/>
      <c r="V1459" s="1596"/>
    </row>
    <row r="1460" spans="1:22" ht="12.75" customHeight="1">
      <c r="A1460" s="1627"/>
      <c r="B1460" s="1635" t="s">
        <v>1738</v>
      </c>
      <c r="C1460" s="1583" t="s">
        <v>3906</v>
      </c>
      <c r="D1460" s="1583"/>
      <c r="E1460" s="1583"/>
      <c r="F1460" s="1583"/>
      <c r="G1460" s="1583"/>
      <c r="H1460" s="1583"/>
      <c r="I1460" s="1583"/>
      <c r="J1460" s="1583"/>
      <c r="K1460" s="1583"/>
      <c r="L1460" s="1583"/>
      <c r="M1460" s="1583"/>
      <c r="N1460" s="1583"/>
      <c r="O1460" s="1627" t="s">
        <v>1738</v>
      </c>
      <c r="P1460" s="1631" t="str">
        <f>'Part VIII-Threshold Criteria'!P302</f>
        <v>Yes</v>
      </c>
      <c r="Q1460" s="1631"/>
      <c r="R1460" s="1596"/>
      <c r="S1460" s="1596"/>
      <c r="T1460" s="1596"/>
      <c r="U1460" s="1596"/>
      <c r="V1460" s="1596"/>
    </row>
    <row r="1461" spans="1:22">
      <c r="A1461" s="1624" t="s">
        <v>1984</v>
      </c>
      <c r="B1461" s="1630" t="s">
        <v>3874</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1736</v>
      </c>
      <c r="C1462" s="1583" t="s">
        <v>5113</v>
      </c>
      <c r="D1462" s="1583"/>
      <c r="E1462" s="1583"/>
      <c r="F1462" s="1583"/>
      <c r="G1462" s="1583"/>
      <c r="H1462" s="1583"/>
      <c r="I1462" s="1604"/>
      <c r="J1462" s="1587" t="s">
        <v>3791</v>
      </c>
      <c r="K1462" s="1638"/>
      <c r="L1462" s="1638"/>
      <c r="M1462" s="1644" t="s">
        <v>3761</v>
      </c>
      <c r="N1462" s="1644"/>
      <c r="O1462" s="1314"/>
      <c r="P1462" s="1314"/>
      <c r="Q1462" s="1314"/>
      <c r="R1462" s="1314"/>
      <c r="S1462" s="1314"/>
      <c r="T1462" s="1314"/>
      <c r="U1462" s="1314"/>
      <c r="V1462" s="1314"/>
    </row>
    <row r="1463" spans="1:22" ht="13.8">
      <c r="A1463" s="1340"/>
      <c r="B1463" s="1337"/>
      <c r="C1463" s="1583"/>
      <c r="D1463" s="1583"/>
      <c r="E1463" s="1583"/>
      <c r="F1463" s="1583"/>
      <c r="G1463" s="1583"/>
      <c r="H1463" s="1583"/>
      <c r="I1463" s="1330"/>
      <c r="J1463" s="1638"/>
      <c r="K1463" s="1638"/>
      <c r="L1463" s="1638"/>
      <c r="M1463" s="457" t="s">
        <v>3762</v>
      </c>
      <c r="N1463" s="457" t="s">
        <v>3790</v>
      </c>
      <c r="O1463" s="1330"/>
      <c r="P1463" s="1343"/>
      <c r="Q1463" s="1330"/>
      <c r="R1463" s="1330"/>
      <c r="S1463" s="1330"/>
      <c r="T1463" s="1330"/>
      <c r="U1463" s="1330"/>
      <c r="V1463" s="1330"/>
    </row>
    <row r="1464" spans="1:22" ht="13.8">
      <c r="A1464" s="1340"/>
      <c r="B1464" s="1337"/>
      <c r="C1464" s="1583"/>
      <c r="D1464" s="1583"/>
      <c r="E1464" s="1583"/>
      <c r="F1464" s="1583"/>
      <c r="G1464" s="1583"/>
      <c r="H1464" s="1583"/>
      <c r="I1464" s="457" t="s">
        <v>4119</v>
      </c>
      <c r="J1464" s="1330"/>
      <c r="K1464" s="1846">
        <f>'Part VIII-Threshold Criteria'!K306</f>
        <v>4</v>
      </c>
      <c r="L1464" s="1337" t="str">
        <f>IF(K1464&lt;M1464,"Check!!!","")</f>
        <v/>
      </c>
      <c r="M1464" s="1692">
        <f>ROUNDUP('Part VI-Revenues &amp; Expenses'!$O$67*'Part VIII-Threshold Criteria'!N1464,0)</f>
        <v>0</v>
      </c>
      <c r="N1464" s="2406">
        <f>'DCA Underwriting Assumptions'!$Q$139</f>
        <v>0.05</v>
      </c>
      <c r="O1464" s="1620" t="s">
        <v>3636</v>
      </c>
      <c r="P1464" s="1578" t="str">
        <f>'Part VIII-Threshold Criteria'!P306</f>
        <v>Yes</v>
      </c>
      <c r="Q1464" s="1578"/>
      <c r="R1464" s="1330"/>
      <c r="S1464" s="1330"/>
      <c r="T1464" s="1330"/>
      <c r="U1464" s="1330"/>
      <c r="V1464" s="457"/>
    </row>
    <row r="1465" spans="1:22" ht="12.75" customHeight="1">
      <c r="A1465" s="1627"/>
      <c r="B1465" s="1635"/>
      <c r="C1465" s="1583" t="s">
        <v>5114</v>
      </c>
      <c r="D1465" s="1583"/>
      <c r="E1465" s="1583"/>
      <c r="F1465" s="1583"/>
      <c r="G1465" s="1583"/>
      <c r="H1465" s="1583"/>
      <c r="I1465" s="1647" t="s">
        <v>4120</v>
      </c>
      <c r="J1465" s="1330"/>
      <c r="K1465" s="2407">
        <f>'Part VIII-Threshold Criteria'!K307</f>
        <v>2</v>
      </c>
      <c r="L1465" s="1330" t="str">
        <f>IF(K1465&lt;M1465,"Check!!!","")</f>
        <v/>
      </c>
      <c r="M1465" s="2408">
        <f>ROUNDUP(K1464*'Part VIII-Threshold Criteria'!N1465,0)</f>
        <v>0</v>
      </c>
      <c r="N1465" s="2409">
        <f>'DCA Underwriting Assumptions'!$Q$140</f>
        <v>0.4</v>
      </c>
      <c r="O1465" s="1620" t="s">
        <v>2116</v>
      </c>
      <c r="P1465" s="1604" t="str">
        <f>'Part VIII-Threshold Criteria'!P307</f>
        <v>Yes</v>
      </c>
      <c r="Q1465" s="1604"/>
      <c r="R1465" s="1314"/>
      <c r="S1465" s="1314"/>
      <c r="T1465" s="1604"/>
      <c r="U1465" s="1604"/>
      <c r="V1465" s="1604"/>
    </row>
    <row r="1466" spans="1:22" ht="13.8">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1737</v>
      </c>
      <c r="C1467" s="1583" t="s">
        <v>5115</v>
      </c>
      <c r="D1467" s="1583"/>
      <c r="E1467" s="1583"/>
      <c r="F1467" s="1583"/>
      <c r="G1467" s="1583"/>
      <c r="H1467" s="1583"/>
      <c r="I1467" s="457" t="s">
        <v>4121</v>
      </c>
      <c r="J1467" s="1330"/>
      <c r="K1467" s="1846">
        <f>'Part VIII-Threshold Criteria'!K309</f>
        <v>1</v>
      </c>
      <c r="L1467" s="1337" t="str">
        <f>IF(K1467&lt;M1467,"Check!!!","")</f>
        <v/>
      </c>
      <c r="M1467" s="1692">
        <f>ROUNDUP('Part VI-Revenues &amp; Expenses'!$O$67*'Part VIII-Threshold Criteria'!N1467,0)</f>
        <v>0</v>
      </c>
      <c r="N1467" s="2406">
        <f>'DCA Underwriting Assumptions'!$Q$141</f>
        <v>0.02</v>
      </c>
      <c r="O1467" s="1620" t="s">
        <v>1737</v>
      </c>
      <c r="P1467" s="1578" t="str">
        <f>'Part VIII-Threshold Criteria'!P309</f>
        <v>Yes</v>
      </c>
      <c r="Q1467" s="1578"/>
      <c r="R1467" s="1314"/>
      <c r="S1467" s="1314"/>
      <c r="T1467" s="1604"/>
      <c r="U1467" s="1604"/>
      <c r="V1467" s="1604"/>
    </row>
    <row r="1468" spans="1:22" ht="13.8">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ht="13.8">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ht="13.8">
      <c r="A1470" s="1624" t="s">
        <v>748</v>
      </c>
      <c r="B1470" s="1630" t="s">
        <v>3875</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3638</v>
      </c>
      <c r="C1471" s="1583"/>
      <c r="D1471" s="1583"/>
      <c r="E1471" s="1583"/>
      <c r="F1471" s="1583"/>
      <c r="G1471" s="1583"/>
      <c r="H1471" s="1583"/>
      <c r="I1471" s="1583"/>
      <c r="J1471" s="1583"/>
      <c r="K1471" s="1583"/>
      <c r="L1471" s="1583"/>
      <c r="M1471" s="1583"/>
      <c r="N1471" s="1583"/>
      <c r="O1471" s="1627" t="s">
        <v>748</v>
      </c>
      <c r="P1471" s="1631" t="str">
        <f>'Part VIII-Threshold Criteria'!P313</f>
        <v>Yes</v>
      </c>
      <c r="Q1471" s="1631"/>
      <c r="R1471" s="1314"/>
      <c r="S1471" s="1314"/>
      <c r="T1471" s="1314"/>
      <c r="U1471" s="1314"/>
      <c r="V1471" s="1314"/>
    </row>
    <row r="1472" spans="1:22">
      <c r="A1472" s="1314"/>
      <c r="B1472" s="1604" t="s">
        <v>3639</v>
      </c>
      <c r="C1472" s="1314"/>
      <c r="D1472" s="1604"/>
      <c r="E1472" s="1604"/>
      <c r="F1472" s="1604"/>
      <c r="G1472" s="1604"/>
      <c r="H1472" s="1604"/>
      <c r="I1472" s="1604" t="s">
        <v>3760</v>
      </c>
      <c r="J1472" s="1604"/>
      <c r="K1472" s="1604"/>
      <c r="L1472" s="1604" t="str">
        <f>'Part VIII-Threshold Criteria'!L314</f>
        <v>Terracon- Melissa Middleton</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1736</v>
      </c>
      <c r="C1473" s="1583" t="s">
        <v>3637</v>
      </c>
      <c r="D1473" s="1583"/>
      <c r="E1473" s="1583"/>
      <c r="F1473" s="1583"/>
      <c r="G1473" s="1583"/>
      <c r="H1473" s="1583"/>
      <c r="I1473" s="1583"/>
      <c r="J1473" s="1583"/>
      <c r="K1473" s="1583"/>
      <c r="L1473" s="1583"/>
      <c r="M1473" s="1583"/>
      <c r="N1473" s="1583"/>
      <c r="O1473" s="1627" t="s">
        <v>3642</v>
      </c>
      <c r="P1473" s="1631" t="str">
        <f>'Part VIII-Threshold Criteria'!P315</f>
        <v>Yes</v>
      </c>
      <c r="Q1473" s="1631"/>
      <c r="R1473" s="1596"/>
      <c r="S1473" s="1596"/>
      <c r="T1473" s="1596"/>
      <c r="U1473" s="1596"/>
      <c r="V1473" s="1596"/>
    </row>
    <row r="1474" spans="1:22" ht="12.75" customHeight="1">
      <c r="A1474" s="1596"/>
      <c r="B1474" s="1604" t="s">
        <v>1737</v>
      </c>
      <c r="C1474" s="1583" t="s">
        <v>4909</v>
      </c>
      <c r="D1474" s="1583"/>
      <c r="E1474" s="1583"/>
      <c r="F1474" s="1583"/>
      <c r="G1474" s="1583"/>
      <c r="H1474" s="1583"/>
      <c r="I1474" s="1583"/>
      <c r="J1474" s="1583"/>
      <c r="K1474" s="1583"/>
      <c r="L1474" s="1583"/>
      <c r="M1474" s="1583"/>
      <c r="N1474" s="1583"/>
      <c r="O1474" s="1627" t="s">
        <v>3643</v>
      </c>
      <c r="P1474" s="1631" t="str">
        <f>'Part VIII-Threshold Criteria'!P316</f>
        <v>Yes</v>
      </c>
      <c r="Q1474" s="1631"/>
      <c r="R1474" s="1596"/>
      <c r="S1474" s="1596"/>
      <c r="T1474" s="1596"/>
      <c r="U1474" s="1596"/>
      <c r="V1474" s="1596"/>
    </row>
    <row r="1475" spans="1:22" ht="12.75" customHeight="1">
      <c r="A1475" s="1596"/>
      <c r="B1475" s="1635" t="s">
        <v>1738</v>
      </c>
      <c r="C1475" s="1583" t="s">
        <v>3640</v>
      </c>
      <c r="D1475" s="1583"/>
      <c r="E1475" s="1583"/>
      <c r="F1475" s="1583"/>
      <c r="G1475" s="1583"/>
      <c r="H1475" s="1583"/>
      <c r="I1475" s="1583"/>
      <c r="J1475" s="1583"/>
      <c r="K1475" s="1583"/>
      <c r="L1475" s="1583"/>
      <c r="M1475" s="1583"/>
      <c r="N1475" s="1583"/>
      <c r="O1475" s="1604" t="s">
        <v>3644</v>
      </c>
      <c r="P1475" s="1631" t="str">
        <f>'Part VIII-Threshold Criteria'!P317</f>
        <v>Yes</v>
      </c>
      <c r="Q1475" s="1631"/>
      <c r="R1475" s="1596"/>
      <c r="S1475" s="1596"/>
      <c r="T1475" s="1596"/>
      <c r="U1475" s="1596"/>
      <c r="V1475" s="1596"/>
    </row>
    <row r="1476" spans="1:22" ht="12.75" customHeight="1">
      <c r="A1476" s="1596"/>
      <c r="B1476" s="1635" t="s">
        <v>2364</v>
      </c>
      <c r="C1476" s="1583" t="s">
        <v>3641</v>
      </c>
      <c r="D1476" s="1583"/>
      <c r="E1476" s="1583"/>
      <c r="F1476" s="1583"/>
      <c r="G1476" s="1583"/>
      <c r="H1476" s="1583"/>
      <c r="I1476" s="1583"/>
      <c r="J1476" s="1583"/>
      <c r="K1476" s="1583"/>
      <c r="L1476" s="1583"/>
      <c r="M1476" s="1583"/>
      <c r="N1476" s="1583"/>
      <c r="O1476" s="1627" t="s">
        <v>3645</v>
      </c>
      <c r="P1476" s="1631" t="str">
        <f>'Part VIII-Threshold Criteria'!P318</f>
        <v>Yes</v>
      </c>
      <c r="Q1476" s="1631"/>
      <c r="R1476" s="1596"/>
      <c r="S1476" s="1596"/>
      <c r="T1476" s="1596"/>
      <c r="U1476" s="1596"/>
      <c r="V1476" s="1596"/>
    </row>
    <row r="1477" spans="1:22">
      <c r="B1477" s="1525" t="s">
        <v>3751</v>
      </c>
      <c r="C1477" s="1794"/>
      <c r="D1477" s="1549"/>
      <c r="E1477" s="1549"/>
      <c r="F1477" s="1549"/>
      <c r="G1477" s="1549"/>
      <c r="H1477" s="457"/>
      <c r="I1477" s="457"/>
      <c r="J1477" s="457"/>
      <c r="K1477" s="457"/>
      <c r="L1477" s="1317"/>
      <c r="M1477" s="1317"/>
      <c r="N1477" s="1317"/>
      <c r="O1477" s="1316"/>
      <c r="P1477" s="1316"/>
      <c r="Q1477" s="1316"/>
    </row>
    <row r="1478" spans="1:22" ht="224.4">
      <c r="A1478" s="1583" t="str">
        <f>'Part VIII-Threshold Criteria'!A320</f>
        <v>Plans for the rehabilitation of Woodstone Apartments include improvements to all accessibility features. Sidewalks, striping, parking, and equipment within the units will all be improved and updated to meet the highest standard of accessibility.</v>
      </c>
      <c r="B1478" s="1583"/>
      <c r="C1478" s="1583"/>
      <c r="D1478" s="1583"/>
      <c r="E1478" s="1583"/>
      <c r="F1478" s="1583"/>
      <c r="G1478" s="1583"/>
      <c r="H1478" s="1583"/>
      <c r="I1478" s="1583"/>
      <c r="J1478" s="1583"/>
      <c r="K1478" s="1583"/>
      <c r="L1478" s="1583"/>
      <c r="M1478" s="1583"/>
      <c r="N1478" s="1583"/>
      <c r="O1478" s="1583"/>
      <c r="P1478" s="1583"/>
      <c r="Q1478" s="1583"/>
      <c r="R1478" s="2384" t="s">
        <v>1253</v>
      </c>
      <c r="S1478" s="2384"/>
      <c r="U1478" s="1317"/>
      <c r="V1478" s="1317"/>
    </row>
    <row r="1479" spans="1:22">
      <c r="B1479" s="1580" t="s">
        <v>1865</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4097</v>
      </c>
      <c r="B1481" s="1314" t="s">
        <v>2665</v>
      </c>
      <c r="C1481" s="1314"/>
      <c r="D1481" s="1314"/>
      <c r="E1481" s="1314"/>
      <c r="F1481" s="1314"/>
      <c r="G1481" s="1314"/>
      <c r="H1481" s="1583"/>
      <c r="I1481" s="1583"/>
      <c r="J1481" s="1583"/>
      <c r="K1481" s="1583"/>
      <c r="L1481" s="1583"/>
      <c r="M1481" s="1583"/>
      <c r="N1481" s="1794"/>
      <c r="O1481" s="1583" t="s">
        <v>1866</v>
      </c>
      <c r="P1481" s="1317"/>
      <c r="Q1481" s="1317"/>
    </row>
    <row r="1482" spans="1:22">
      <c r="B1482" s="1051" t="s">
        <v>2251</v>
      </c>
      <c r="P1482" s="1578" t="str">
        <f>'Part VIII-Threshold Criteria'!P324</f>
        <v>Yes</v>
      </c>
      <c r="Q1482" s="1578"/>
    </row>
    <row r="1483" spans="1:22">
      <c r="A1483" s="1794"/>
      <c r="B1483" s="1604" t="s">
        <v>2210</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1982</v>
      </c>
      <c r="B1484" s="1524" t="s">
        <v>5116</v>
      </c>
      <c r="D1484" s="1524"/>
      <c r="E1484" s="1524"/>
      <c r="F1484" s="1524"/>
      <c r="G1484" s="1524"/>
      <c r="H1484" s="1524"/>
      <c r="I1484" s="1524"/>
      <c r="J1484" s="1524"/>
      <c r="K1484" s="1524"/>
      <c r="L1484" s="1524"/>
      <c r="M1484" s="1524"/>
      <c r="N1484" s="1627"/>
      <c r="P1484" s="1794"/>
      <c r="Q1484" s="1794"/>
    </row>
    <row r="1485" spans="1:22" ht="12.75" customHeight="1">
      <c r="B1485" s="1583" t="s">
        <v>2879</v>
      </c>
      <c r="C1485" s="1583"/>
      <c r="D1485" s="1583"/>
      <c r="E1485" s="1583"/>
      <c r="F1485" s="1583"/>
      <c r="G1485" s="1583"/>
      <c r="H1485" s="1583"/>
      <c r="I1485" s="1583"/>
      <c r="J1485" s="1583"/>
      <c r="K1485" s="1583"/>
      <c r="L1485" s="1583"/>
      <c r="M1485" s="1583"/>
      <c r="N1485" s="1583"/>
      <c r="O1485" s="1627" t="s">
        <v>1982</v>
      </c>
      <c r="P1485" s="1631" t="str">
        <f>'Part VIII-Threshold Criteria'!P327</f>
        <v>Yes</v>
      </c>
      <c r="Q1485" s="1631"/>
    </row>
    <row r="1486" spans="1:22">
      <c r="A1486" s="1627" t="s">
        <v>1984</v>
      </c>
      <c r="B1486" s="457" t="s">
        <v>460</v>
      </c>
      <c r="D1486" s="457"/>
      <c r="E1486" s="457"/>
      <c r="F1486" s="457"/>
      <c r="G1486" s="457"/>
      <c r="H1486" s="457"/>
      <c r="I1486" s="457"/>
      <c r="J1486" s="457"/>
      <c r="K1486" s="457"/>
      <c r="L1486" s="457"/>
      <c r="M1486" s="457"/>
      <c r="O1486" s="1627" t="s">
        <v>1984</v>
      </c>
      <c r="P1486" s="1316"/>
      <c r="Q1486" s="1316"/>
    </row>
    <row r="1487" spans="1:22" ht="12.75" customHeight="1">
      <c r="B1487" s="1635" t="s">
        <v>1736</v>
      </c>
      <c r="C1487" s="1604" t="s">
        <v>1130</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1736</v>
      </c>
      <c r="P1487" s="1631" t="str">
        <f>'Part VIII-Threshold Criteria'!P329</f>
        <v>Yes</v>
      </c>
      <c r="Q1487" s="1631"/>
    </row>
    <row r="1488" spans="1:22" ht="12.75" customHeight="1">
      <c r="B1488" s="1604" t="s">
        <v>1737</v>
      </c>
      <c r="C1488" s="1583" t="s">
        <v>1131</v>
      </c>
      <c r="D1488" s="1583"/>
      <c r="E1488" s="1583"/>
      <c r="F1488" s="1583"/>
      <c r="G1488" s="1573" t="str">
        <f>'Part VIII-Threshold Criteria'!G330</f>
        <v xml:space="preserve">Fiber cement siding or other 30 year warranty product installed on all exterior wall surfaces not already required to be brick </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1737</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748</v>
      </c>
      <c r="B1490" s="1583" t="s">
        <v>5117</v>
      </c>
      <c r="C1490" s="1583"/>
      <c r="D1490" s="1583"/>
      <c r="E1490" s="1583"/>
      <c r="F1490" s="1583"/>
      <c r="G1490" s="1583"/>
      <c r="H1490" s="1583"/>
      <c r="I1490" s="1583"/>
      <c r="J1490" s="1583"/>
      <c r="K1490" s="1583"/>
      <c r="L1490" s="1583"/>
      <c r="M1490" s="1583"/>
      <c r="N1490" s="1583"/>
      <c r="O1490" s="1636" t="s">
        <v>748</v>
      </c>
      <c r="P1490" s="1316"/>
      <c r="Q1490" s="1316"/>
      <c r="R1490" s="1596"/>
      <c r="S1490" s="1596"/>
      <c r="T1490" s="1596"/>
      <c r="U1490" s="1596"/>
      <c r="V1490" s="1596"/>
    </row>
    <row r="1491" spans="1:22" ht="61.2">
      <c r="A1491" s="1762"/>
      <c r="B1491" s="1635" t="s">
        <v>1736</v>
      </c>
      <c r="C1491" s="1583" t="str">
        <f>'Part VIII-Threshold Criteria'!C333</f>
        <v>Waiver for minumum countertop frontage: 3 bedroom kitchen</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1736</v>
      </c>
      <c r="P1491" s="1631" t="str">
        <f>'Part VIII-Threshold Criteria'!P333</f>
        <v>Yes</v>
      </c>
      <c r="Q1491" s="1631"/>
      <c r="R1491" s="1596"/>
      <c r="S1491" s="1596"/>
      <c r="T1491" s="1596"/>
      <c r="U1491" s="1596"/>
      <c r="V1491" s="1596"/>
    </row>
    <row r="1492" spans="1:22" ht="61.2">
      <c r="A1492" s="1762"/>
      <c r="B1492" s="1635" t="s">
        <v>1737</v>
      </c>
      <c r="C1492" s="1583" t="str">
        <f>'Part VIII-Threshold Criteria'!C334</f>
        <v>Waiver for minimum bedroom size: 2 and 3 bedroom units</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1737</v>
      </c>
      <c r="P1492" s="1631" t="str">
        <f>'Part VIII-Threshold Criteria'!P334</f>
        <v>Yes</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3751</v>
      </c>
      <c r="C1494" s="1794"/>
      <c r="D1494" s="1549"/>
      <c r="E1494" s="1549"/>
      <c r="F1494" s="1549"/>
      <c r="G1494" s="1549"/>
      <c r="H1494" s="457"/>
      <c r="I1494" s="457"/>
      <c r="J1494" s="457"/>
      <c r="K1494" s="457"/>
      <c r="L1494" s="1317"/>
      <c r="M1494" s="1317"/>
      <c r="N1494" s="1317"/>
      <c r="O1494" s="1316"/>
      <c r="P1494" s="1316"/>
      <c r="Q1494" s="1316"/>
    </row>
    <row r="1495" spans="1:22" ht="122.4">
      <c r="A1495" s="1583" t="str">
        <f>'Part VIII-Threshold Criteria'!A337</f>
        <v>An additional waiver for the covering of exposed stairs is also included. All Architectural Standards Waivers have been approved by DCA</v>
      </c>
      <c r="B1495" s="1583"/>
      <c r="C1495" s="1583"/>
      <c r="D1495" s="1583"/>
      <c r="E1495" s="1583"/>
      <c r="F1495" s="1583"/>
      <c r="G1495" s="1583"/>
      <c r="H1495" s="1583"/>
      <c r="I1495" s="1583"/>
      <c r="J1495" s="1583"/>
      <c r="K1495" s="1583"/>
      <c r="L1495" s="1583"/>
      <c r="M1495" s="1583"/>
      <c r="N1495" s="1583"/>
      <c r="O1495" s="1583"/>
      <c r="P1495" s="1583"/>
      <c r="Q1495" s="1583"/>
      <c r="R1495" s="1655" t="s">
        <v>1253</v>
      </c>
      <c r="S1495" s="1314"/>
      <c r="U1495" s="1317"/>
      <c r="V1495" s="1317"/>
    </row>
    <row r="1496" spans="1:22">
      <c r="B1496" s="1580" t="s">
        <v>1865</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4100</v>
      </c>
      <c r="B1498" s="1314" t="s">
        <v>4138</v>
      </c>
      <c r="C1498" s="1314"/>
      <c r="D1498" s="1583"/>
      <c r="E1498" s="1583"/>
      <c r="F1498" s="1583"/>
      <c r="G1498" s="1583"/>
      <c r="H1498" s="1583"/>
      <c r="I1498" s="1794"/>
      <c r="J1498" s="1794"/>
      <c r="K1498" s="1794"/>
      <c r="L1498" s="1794"/>
      <c r="M1498" s="1794"/>
      <c r="N1498" s="1794"/>
      <c r="O1498" s="1583" t="s">
        <v>1866</v>
      </c>
      <c r="P1498" s="1317"/>
      <c r="Q1498" s="1317"/>
    </row>
    <row r="1499" spans="1:22">
      <c r="A1499" s="1620" t="s">
        <v>1982</v>
      </c>
      <c r="B1499" s="1051" t="s">
        <v>4995</v>
      </c>
      <c r="O1499" s="1627" t="s">
        <v>1982</v>
      </c>
      <c r="P1499" s="1578" t="str">
        <f>'Part VIII-Threshold Criteria'!P341</f>
        <v>Yes</v>
      </c>
      <c r="Q1499" s="1578"/>
    </row>
    <row r="1500" spans="1:22">
      <c r="A1500" s="1604" t="s">
        <v>1984</v>
      </c>
      <c r="B1500" s="1638" t="s">
        <v>4086</v>
      </c>
      <c r="C1500" s="1794"/>
      <c r="D1500" s="1794"/>
      <c r="E1500" s="1794"/>
      <c r="F1500" s="1794"/>
      <c r="G1500" s="1794"/>
      <c r="H1500" s="1794"/>
      <c r="I1500" s="1794"/>
      <c r="J1500" s="1794"/>
      <c r="K1500" s="1794"/>
      <c r="L1500" s="1794"/>
      <c r="M1500" s="1794"/>
      <c r="N1500" s="1794"/>
      <c r="O1500" s="1604" t="s">
        <v>1984</v>
      </c>
      <c r="P1500" s="457" t="str">
        <f>'Part VIII-Threshold Criteria'!P342</f>
        <v>Yes</v>
      </c>
      <c r="Q1500" s="457"/>
    </row>
    <row r="1501" spans="1:22">
      <c r="A1501" s="1627" t="s">
        <v>748</v>
      </c>
      <c r="B1501" s="1051" t="s">
        <v>2349</v>
      </c>
      <c r="O1501" s="1627" t="s">
        <v>748</v>
      </c>
      <c r="P1501" s="457" t="str">
        <f>'Part VIII-Threshold Criteria'!P343</f>
        <v>No</v>
      </c>
      <c r="Q1501" s="457"/>
    </row>
    <row r="1502" spans="1:22">
      <c r="A1502" s="1620" t="s">
        <v>2114</v>
      </c>
      <c r="B1502" s="1051" t="s">
        <v>3839</v>
      </c>
      <c r="O1502" s="1620" t="s">
        <v>2114</v>
      </c>
      <c r="P1502" s="1578" t="str">
        <f>'Part VIII-Threshold Criteria'!P344</f>
        <v>No</v>
      </c>
      <c r="Q1502" s="1578"/>
    </row>
    <row r="1503" spans="1:22">
      <c r="A1503" s="1627" t="s">
        <v>1734</v>
      </c>
      <c r="B1503" s="1051" t="s">
        <v>2882</v>
      </c>
      <c r="N1503" s="1627" t="s">
        <v>1734</v>
      </c>
      <c r="O1503" s="1534" t="str">
        <f>'Part VIII-Threshold Criteria'!O345</f>
        <v>Certifying Developer</v>
      </c>
      <c r="P1503" s="1534">
        <f>'Part VIII-Threshold Criteria'!P345</f>
        <v>0</v>
      </c>
      <c r="Q1503" s="1534">
        <f>'Part VIII-Threshold Criteria'!Q345</f>
        <v>0</v>
      </c>
    </row>
    <row r="1504" spans="1:22">
      <c r="A1504" s="1627" t="s">
        <v>1735</v>
      </c>
      <c r="B1504" s="1051" t="s">
        <v>2350</v>
      </c>
      <c r="N1504" s="1627" t="s">
        <v>1735</v>
      </c>
      <c r="O1504" s="1534" t="s">
        <v>2883</v>
      </c>
      <c r="P1504" s="1534"/>
      <c r="Q1504" s="1534"/>
    </row>
    <row r="1505" spans="1:22">
      <c r="B1505" s="1525" t="s">
        <v>3751</v>
      </c>
      <c r="D1505" s="1525"/>
      <c r="E1505" s="1525"/>
      <c r="F1505" s="1525"/>
      <c r="G1505" s="1525"/>
      <c r="H1505" s="1524"/>
      <c r="I1505" s="1578"/>
      <c r="J1505" s="1578"/>
      <c r="K1505" s="1578"/>
      <c r="L1505" s="1316"/>
      <c r="M1505" s="1316"/>
      <c r="N1505" s="1316"/>
      <c r="O1505" s="1316"/>
      <c r="P1505" s="1316"/>
      <c r="Q1505" s="1316"/>
    </row>
    <row r="1506" spans="1:22" ht="173.4">
      <c r="A1506" s="1583" t="str">
        <f>'Part VIII-Threshold Criteria'!A348</f>
        <v>Olympia Construction, Inc. is the Certifying Entity for the project. The Determination Letter from DCA is included with the application. Olympia is considered qualified and in good standing.</v>
      </c>
      <c r="B1506" s="1583"/>
      <c r="C1506" s="1583"/>
      <c r="D1506" s="1583"/>
      <c r="E1506" s="1583"/>
      <c r="F1506" s="1583"/>
      <c r="G1506" s="1583"/>
      <c r="H1506" s="1583"/>
      <c r="I1506" s="1583"/>
      <c r="J1506" s="1583"/>
      <c r="K1506" s="1583"/>
      <c r="L1506" s="1583"/>
      <c r="M1506" s="1583"/>
      <c r="N1506" s="1583"/>
      <c r="O1506" s="1583"/>
      <c r="P1506" s="1583"/>
      <c r="Q1506" s="1583"/>
      <c r="R1506" s="2384" t="s">
        <v>1253</v>
      </c>
      <c r="S1506" s="2384"/>
      <c r="U1506" s="1317"/>
      <c r="V1506" s="1317"/>
    </row>
    <row r="1507" spans="1:22">
      <c r="B1507" s="1580" t="s">
        <v>1865</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4101</v>
      </c>
      <c r="B1509" s="1314" t="s">
        <v>2666</v>
      </c>
      <c r="C1509" s="1314"/>
      <c r="D1509" s="457"/>
      <c r="E1509" s="1583"/>
      <c r="F1509" s="1583"/>
      <c r="G1509" s="1583"/>
      <c r="H1509" s="1583"/>
      <c r="I1509" s="1583"/>
      <c r="J1509" s="1583"/>
      <c r="K1509" s="1583"/>
      <c r="L1509" s="1583"/>
      <c r="M1509" s="1583"/>
      <c r="N1509" s="1794"/>
      <c r="O1509" s="1583" t="s">
        <v>1866</v>
      </c>
      <c r="P1509" s="1317"/>
      <c r="Q1509" s="1317"/>
    </row>
    <row r="1510" spans="1:22">
      <c r="A1510" s="1627" t="s">
        <v>1982</v>
      </c>
      <c r="B1510" s="1604" t="s">
        <v>3654</v>
      </c>
      <c r="D1510" s="1604"/>
      <c r="E1510" s="1604"/>
      <c r="F1510" s="1604"/>
      <c r="G1510" s="1604"/>
      <c r="H1510" s="1604"/>
      <c r="I1510" s="1604"/>
      <c r="J1510" s="1604"/>
      <c r="K1510" s="1604"/>
      <c r="L1510" s="1604"/>
      <c r="M1510" s="1604"/>
      <c r="N1510" s="1604"/>
      <c r="O1510" s="1627" t="s">
        <v>1982</v>
      </c>
      <c r="P1510" s="1578" t="str">
        <f>'Part VIII-Threshold Criteria'!P352</f>
        <v>Yes</v>
      </c>
      <c r="Q1510" s="1578"/>
    </row>
    <row r="1511" spans="1:22">
      <c r="A1511" s="1604" t="s">
        <v>1984</v>
      </c>
      <c r="B1511" s="1604" t="s">
        <v>3848</v>
      </c>
      <c r="C1511" s="1794"/>
      <c r="D1511" s="1604"/>
      <c r="E1511" s="1604"/>
      <c r="F1511" s="1604"/>
      <c r="G1511" s="1604"/>
      <c r="H1511" s="1604"/>
      <c r="I1511" s="1604"/>
      <c r="J1511" s="1604"/>
      <c r="K1511" s="1604"/>
      <c r="L1511" s="1604"/>
      <c r="M1511" s="1604"/>
      <c r="N1511" s="1604"/>
      <c r="O1511" s="1604" t="s">
        <v>1984</v>
      </c>
      <c r="P1511" s="457" t="str">
        <f>'Part VIII-Threshold Criteria'!P353</f>
        <v>No</v>
      </c>
      <c r="Q1511" s="457"/>
    </row>
    <row r="1512" spans="1:22" ht="12.75" customHeight="1">
      <c r="A1512" s="1627" t="s">
        <v>748</v>
      </c>
      <c r="B1512" s="1583" t="s">
        <v>4087</v>
      </c>
      <c r="C1512" s="1583"/>
      <c r="D1512" s="1583"/>
      <c r="E1512" s="1583"/>
      <c r="F1512" s="1583"/>
      <c r="G1512" s="1583"/>
      <c r="H1512" s="1583"/>
      <c r="I1512" s="1583"/>
      <c r="J1512" s="1583"/>
      <c r="K1512" s="1583"/>
      <c r="L1512" s="1583"/>
      <c r="M1512" s="1583"/>
      <c r="N1512" s="1583"/>
      <c r="O1512" s="1627" t="s">
        <v>748</v>
      </c>
      <c r="P1512" s="457" t="str">
        <f>'Part VIII-Threshold Criteria'!P354</f>
        <v>Yes</v>
      </c>
      <c r="Q1512" s="457"/>
    </row>
    <row r="1513" spans="1:22">
      <c r="B1513" s="1525" t="s">
        <v>3751</v>
      </c>
      <c r="D1513" s="1525"/>
      <c r="E1513" s="1525"/>
      <c r="F1513" s="1525"/>
      <c r="G1513" s="1525"/>
      <c r="H1513" s="1524"/>
      <c r="I1513" s="1578"/>
      <c r="J1513" s="1578"/>
      <c r="K1513" s="1578"/>
      <c r="L1513" s="1316"/>
      <c r="M1513" s="1316"/>
      <c r="N1513" s="1316"/>
      <c r="O1513" s="1316"/>
      <c r="P1513" s="1316"/>
      <c r="Q1513" s="1316"/>
    </row>
    <row r="1514" spans="1:22" ht="173.4">
      <c r="A1514" s="1583" t="str">
        <f>'Part VIII-Threshold Criteria'!A356</f>
        <v>The Determination for this project is "Qualified" with Olympia Construction, Inc. as the Certifying Developer. No changes have been made to the development ownership/developer structure.</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1865</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4104</v>
      </c>
      <c r="B1518" s="1314" t="s">
        <v>4077</v>
      </c>
      <c r="C1518" s="1314"/>
      <c r="D1518" s="1314"/>
      <c r="E1518" s="1314"/>
      <c r="F1518" s="1314"/>
      <c r="G1518" s="1314"/>
      <c r="H1518" s="1582"/>
      <c r="I1518" s="1582"/>
      <c r="J1518" s="1582"/>
      <c r="K1518" s="1582"/>
      <c r="L1518" s="1582"/>
      <c r="M1518" s="1582"/>
      <c r="O1518" s="2382" t="s">
        <v>1866</v>
      </c>
      <c r="P1518" s="1317"/>
      <c r="Q1518" s="1317"/>
    </row>
    <row r="1519" spans="1:22">
      <c r="A1519" s="457" t="s">
        <v>1982</v>
      </c>
      <c r="B1519" s="457" t="s">
        <v>4078</v>
      </c>
      <c r="C1519" s="1794"/>
      <c r="D1519" s="1319"/>
      <c r="E1519" s="1319"/>
      <c r="F1519" s="1319"/>
      <c r="G1519" s="1319"/>
      <c r="H1519" s="457" t="s">
        <v>1982</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1984</v>
      </c>
      <c r="B1520" s="457" t="s">
        <v>4079</v>
      </c>
      <c r="D1520" s="1319"/>
      <c r="E1520" s="1319"/>
      <c r="F1520" s="1319"/>
      <c r="G1520" s="1319"/>
      <c r="H1520" s="1627" t="s">
        <v>1984</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748</v>
      </c>
      <c r="B1521" s="1550" t="s">
        <v>4069</v>
      </c>
      <c r="C1521" s="1550"/>
      <c r="D1521" s="1550"/>
      <c r="E1521" s="1550"/>
      <c r="F1521" s="1550"/>
      <c r="G1521" s="1550"/>
      <c r="H1521" s="1550"/>
      <c r="I1521" s="1550"/>
      <c r="J1521" s="1550"/>
      <c r="K1521" s="1550"/>
      <c r="L1521" s="1550"/>
      <c r="M1521" s="1550"/>
      <c r="N1521" s="1550"/>
      <c r="O1521" s="1627" t="s">
        <v>748</v>
      </c>
      <c r="P1521" s="1604">
        <f>'Part VIII-Threshold Criteria'!P363</f>
        <v>0</v>
      </c>
      <c r="Q1521" s="1604"/>
    </row>
    <row r="1522" spans="1:22" ht="12.75" customHeight="1">
      <c r="A1522" s="1627" t="s">
        <v>2114</v>
      </c>
      <c r="B1522" s="1583" t="s">
        <v>4070</v>
      </c>
      <c r="C1522" s="1583"/>
      <c r="D1522" s="1583"/>
      <c r="E1522" s="1583"/>
      <c r="F1522" s="1583"/>
      <c r="G1522" s="1583"/>
      <c r="H1522" s="1583"/>
      <c r="I1522" s="1583"/>
      <c r="J1522" s="1583"/>
      <c r="K1522" s="1583"/>
      <c r="L1522" s="1583"/>
      <c r="M1522" s="1583"/>
      <c r="N1522" s="1583"/>
      <c r="O1522" s="457" t="s">
        <v>2114</v>
      </c>
      <c r="P1522" s="1604">
        <f>'Part VIII-Threshold Criteria'!P364</f>
        <v>0</v>
      </c>
      <c r="Q1522" s="1631"/>
    </row>
    <row r="1523" spans="1:22">
      <c r="A1523" s="1627" t="s">
        <v>1734</v>
      </c>
      <c r="B1523" s="457" t="s">
        <v>4071</v>
      </c>
      <c r="D1523" s="457"/>
      <c r="E1523" s="457"/>
      <c r="F1523" s="457"/>
      <c r="G1523" s="457"/>
      <c r="H1523" s="457"/>
      <c r="I1523" s="457"/>
      <c r="J1523" s="457"/>
      <c r="K1523" s="457"/>
      <c r="L1523" s="457"/>
      <c r="M1523" s="457"/>
      <c r="N1523" s="1794"/>
      <c r="O1523" s="1604" t="s">
        <v>1734</v>
      </c>
      <c r="P1523" s="457">
        <f>'Part VIII-Threshold Criteria'!P365</f>
        <v>0</v>
      </c>
      <c r="Q1523" s="1578"/>
    </row>
    <row r="1524" spans="1:22" ht="12.75" customHeight="1">
      <c r="A1524" s="1627" t="s">
        <v>1735</v>
      </c>
      <c r="B1524" s="1583" t="s">
        <v>4072</v>
      </c>
      <c r="C1524" s="1583"/>
      <c r="D1524" s="1583"/>
      <c r="E1524" s="1583"/>
      <c r="F1524" s="1583"/>
      <c r="G1524" s="1583"/>
      <c r="H1524" s="1583"/>
      <c r="I1524" s="1583"/>
      <c r="J1524" s="1583"/>
      <c r="K1524" s="1583"/>
      <c r="L1524" s="1583"/>
      <c r="M1524" s="1583"/>
      <c r="N1524" s="1583"/>
      <c r="O1524" s="1627" t="s">
        <v>1735</v>
      </c>
      <c r="P1524" s="1631">
        <f>'Part VIII-Threshold Criteria'!P366</f>
        <v>0</v>
      </c>
      <c r="Q1524" s="1631"/>
      <c r="R1524" s="1596"/>
      <c r="S1524" s="1596"/>
      <c r="T1524" s="1596"/>
      <c r="U1524" s="1596"/>
      <c r="V1524" s="1596"/>
    </row>
    <row r="1525" spans="1:22">
      <c r="A1525" s="1627" t="s">
        <v>1946</v>
      </c>
      <c r="B1525" s="1604" t="s">
        <v>4073</v>
      </c>
      <c r="C1525" s="1596"/>
      <c r="D1525" s="1583"/>
      <c r="E1525" s="1583"/>
      <c r="F1525" s="1583"/>
      <c r="G1525" s="1583"/>
      <c r="H1525" s="1583"/>
      <c r="I1525" s="1583"/>
      <c r="J1525" s="1583"/>
      <c r="K1525" s="1583"/>
      <c r="L1525" s="1583"/>
      <c r="M1525" s="1583"/>
      <c r="N1525" s="1583"/>
      <c r="O1525" s="1627" t="s">
        <v>1946</v>
      </c>
      <c r="P1525" s="1631">
        <f>'Part VIII-Threshold Criteria'!P367</f>
        <v>0</v>
      </c>
      <c r="Q1525" s="1631"/>
      <c r="R1525" s="1596"/>
      <c r="S1525" s="1596"/>
      <c r="T1525" s="1596"/>
      <c r="U1525" s="1596"/>
      <c r="V1525" s="1596"/>
    </row>
    <row r="1526" spans="1:22">
      <c r="A1526" s="1596"/>
      <c r="B1526" s="1596"/>
      <c r="C1526" s="1635" t="s">
        <v>4549</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3368</v>
      </c>
      <c r="B1527" s="1583" t="s">
        <v>4074</v>
      </c>
      <c r="C1527" s="1583"/>
      <c r="D1527" s="1583"/>
      <c r="E1527" s="1583"/>
      <c r="F1527" s="1583"/>
      <c r="G1527" s="1583"/>
      <c r="H1527" s="1583"/>
      <c r="I1527" s="1583"/>
      <c r="J1527" s="1583"/>
      <c r="K1527" s="1583"/>
      <c r="L1527" s="1583"/>
      <c r="M1527" s="1583"/>
      <c r="N1527" s="1583"/>
      <c r="O1527" s="1627" t="s">
        <v>3368</v>
      </c>
      <c r="P1527" s="1631">
        <f>'Part VIII-Threshold Criteria'!P369</f>
        <v>0</v>
      </c>
      <c r="Q1527" s="1631"/>
    </row>
    <row r="1528" spans="1:22" ht="12.75" customHeight="1">
      <c r="A1528" s="1627" t="s">
        <v>615</v>
      </c>
      <c r="B1528" s="1583" t="s">
        <v>4075</v>
      </c>
      <c r="C1528" s="1583"/>
      <c r="D1528" s="1583"/>
      <c r="E1528" s="1583"/>
      <c r="F1528" s="1583"/>
      <c r="G1528" s="1583"/>
      <c r="H1528" s="1583"/>
      <c r="I1528" s="1583"/>
      <c r="J1528" s="1583"/>
      <c r="K1528" s="1583"/>
      <c r="L1528" s="1583"/>
      <c r="M1528" s="1583"/>
      <c r="N1528" s="1583"/>
      <c r="O1528" s="1627" t="s">
        <v>615</v>
      </c>
      <c r="P1528" s="1631">
        <f>'Part VIII-Threshold Criteria'!P370</f>
        <v>0</v>
      </c>
      <c r="Q1528" s="1631"/>
    </row>
    <row r="1529" spans="1:22">
      <c r="B1529" s="1525" t="s">
        <v>3751</v>
      </c>
      <c r="D1529" s="1525"/>
      <c r="E1529" s="1525"/>
      <c r="F1529" s="1525"/>
      <c r="G1529" s="1525"/>
      <c r="H1529" s="1524"/>
      <c r="I1529" s="1578"/>
      <c r="J1529" s="1578"/>
      <c r="K1529" s="1578"/>
      <c r="L1529" s="1316"/>
      <c r="M1529" s="1316"/>
      <c r="N1529" s="1316"/>
      <c r="O1529" s="1316"/>
      <c r="P1529" s="1316"/>
      <c r="Q1529" s="1316"/>
    </row>
    <row r="1530" spans="1:22" ht="71.400000000000006">
      <c r="A1530" s="1583" t="str">
        <f>'Part VIII-Threshold Criteria'!A372</f>
        <v xml:space="preserve">All entities are considered for-profit entities. This section does not apply. </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1865</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4105</v>
      </c>
      <c r="B1534" s="1314" t="s">
        <v>3911</v>
      </c>
      <c r="C1534" s="1314"/>
      <c r="D1534" s="1314"/>
      <c r="E1534" s="1314"/>
      <c r="F1534" s="1314"/>
      <c r="G1534" s="1314"/>
      <c r="H1534" s="1582"/>
      <c r="I1534" s="1582"/>
      <c r="J1534" s="1582"/>
      <c r="O1534" s="2382" t="s">
        <v>1866</v>
      </c>
      <c r="P1534" s="1317"/>
      <c r="Q1534" s="1317"/>
    </row>
    <row r="1535" spans="1:22">
      <c r="A1535" s="457" t="s">
        <v>1982</v>
      </c>
      <c r="B1535" s="457" t="s">
        <v>3913</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1736</v>
      </c>
      <c r="C1536" s="457" t="s">
        <v>4921</v>
      </c>
      <c r="D1536" s="457"/>
      <c r="E1536" s="457"/>
      <c r="F1536" s="457"/>
      <c r="G1536" s="1314"/>
      <c r="H1536" s="457" t="s">
        <v>616</v>
      </c>
      <c r="I1536" s="1314"/>
      <c r="J1536" s="457" t="str">
        <f>'Part VIII-Threshold Criteria'!J378</f>
        <v>Woodstone Apartments</v>
      </c>
      <c r="K1536" s="457">
        <f>'Part VIII-Threshold Criteria'!K378</f>
        <v>0</v>
      </c>
      <c r="L1536" s="457">
        <f>'Part VIII-Threshold Criteria'!L378</f>
        <v>0</v>
      </c>
      <c r="M1536" s="457">
        <f>'Part VIII-Threshold Criteria'!M378</f>
        <v>0</v>
      </c>
      <c r="N1536" s="457" t="s">
        <v>3912</v>
      </c>
      <c r="O1536" s="457"/>
      <c r="P1536" s="457" t="str">
        <f>'Part VIII-Threshold Criteria'!P378</f>
        <v>96-091</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4914</v>
      </c>
      <c r="I1537" s="1524"/>
      <c r="J1537" s="457" t="str">
        <f>'Part VIII-Threshold Criteria'!J379</f>
        <v>n/a</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1737</v>
      </c>
      <c r="C1538" s="457" t="s">
        <v>3914</v>
      </c>
      <c r="D1538" s="1314"/>
      <c r="E1538" s="1314"/>
      <c r="F1538" s="1314"/>
      <c r="G1538" s="1314"/>
      <c r="H1538" s="1314"/>
      <c r="I1538" s="1314"/>
      <c r="J1538" s="2410">
        <f>'Part VIII-Threshold Criteria'!J380</f>
        <v>36109</v>
      </c>
      <c r="K1538" s="2410">
        <f>'Part VIII-Threshold Criteria'!K380</f>
        <v>0</v>
      </c>
      <c r="L1538" s="1314"/>
      <c r="M1538" s="1314"/>
      <c r="N1538" s="1314"/>
      <c r="O1538" s="1620"/>
      <c r="P1538" s="1314"/>
      <c r="Q1538" s="1314"/>
      <c r="R1538" s="1314"/>
      <c r="S1538" s="1314"/>
      <c r="T1538" s="1314"/>
      <c r="U1538" s="1314"/>
      <c r="V1538" s="1314"/>
    </row>
    <row r="1539" spans="1:22">
      <c r="A1539" s="1620"/>
      <c r="B1539" s="1524" t="s">
        <v>1738</v>
      </c>
      <c r="C1539" s="457" t="s">
        <v>3915</v>
      </c>
      <c r="D1539" s="1314"/>
      <c r="E1539" s="1550"/>
      <c r="F1539" s="1314"/>
      <c r="G1539" s="1314"/>
      <c r="H1539" s="1314"/>
      <c r="I1539" s="1550"/>
      <c r="J1539" s="1550">
        <f>'Part I-Project Information'!K1198</f>
        <v>0</v>
      </c>
      <c r="K1539" s="1550"/>
      <c r="L1539" s="1550" t="s">
        <v>3916</v>
      </c>
      <c r="M1539" s="1550"/>
      <c r="N1539" s="1550"/>
      <c r="O1539" s="457" t="s">
        <v>1738</v>
      </c>
      <c r="P1539" s="457" t="str">
        <f>'Part VIII-Threshold Criteria'!P381</f>
        <v>Yes</v>
      </c>
      <c r="Q1539" s="457"/>
      <c r="R1539" s="1314"/>
      <c r="S1539" s="1314"/>
      <c r="T1539" s="1314"/>
      <c r="U1539" s="1314"/>
      <c r="V1539" s="1314"/>
    </row>
    <row r="1540" spans="1:22">
      <c r="A1540" s="1620"/>
      <c r="B1540" s="1524" t="s">
        <v>2364</v>
      </c>
      <c r="C1540" s="457" t="s">
        <v>4910</v>
      </c>
      <c r="D1540" s="1314"/>
      <c r="E1540" s="1550"/>
      <c r="F1540" s="1550"/>
      <c r="G1540" s="1550"/>
      <c r="H1540" s="457" t="s">
        <v>4911</v>
      </c>
      <c r="I1540" s="1550"/>
      <c r="J1540" s="1757">
        <f>'Part VIII-Threshold Criteria'!J382</f>
        <v>752783</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4912</v>
      </c>
      <c r="I1541" s="1550"/>
      <c r="J1541" s="457" t="str">
        <f>'Part VIII-Threshold Criteria'!J383</f>
        <v>Yes</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1548</v>
      </c>
      <c r="C1542" s="457" t="s">
        <v>3918</v>
      </c>
      <c r="D1542" s="1314"/>
      <c r="E1542" s="457"/>
      <c r="F1542" s="1757">
        <f>'Part IV-A-Uses of Funds'!J1331</f>
        <v>0</v>
      </c>
      <c r="G1542" s="1757"/>
      <c r="H1542" s="457" t="s">
        <v>3919</v>
      </c>
      <c r="I1542" s="457"/>
      <c r="J1542" s="457" t="str">
        <f>IF(F1542&gt;'DCA Underwriting Assumptions'!$Q$131, "Request exceeds DCA per project maximum for set aside!!!","")</f>
        <v/>
      </c>
      <c r="K1542" s="457"/>
      <c r="L1542" s="457"/>
      <c r="M1542" s="1314"/>
      <c r="N1542" s="1314"/>
      <c r="O1542" s="1620" t="s">
        <v>1548</v>
      </c>
      <c r="P1542" s="1578" t="str">
        <f>'Part VIII-Threshold Criteria'!P384</f>
        <v>Yes</v>
      </c>
      <c r="Q1542" s="1578"/>
      <c r="R1542" s="1314"/>
      <c r="S1542" s="1314"/>
      <c r="T1542" s="1314"/>
      <c r="U1542" s="1314"/>
      <c r="V1542" s="1314"/>
    </row>
    <row r="1543" spans="1:22">
      <c r="A1543" s="1620"/>
      <c r="B1543" s="1524" t="s">
        <v>1549</v>
      </c>
      <c r="C1543" s="457" t="s">
        <v>3921</v>
      </c>
      <c r="D1543" s="1314"/>
      <c r="E1543" s="457"/>
      <c r="F1543" s="457"/>
      <c r="G1543" s="457"/>
      <c r="H1543" s="457" t="s">
        <v>4913</v>
      </c>
      <c r="I1543" s="457"/>
      <c r="J1543" s="1757">
        <f>'Part VIII-Threshold Criteria'!J385</f>
        <v>368040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3923</v>
      </c>
      <c r="D1544" s="1314"/>
      <c r="E1544" s="1550"/>
      <c r="F1544" s="1550"/>
      <c r="G1544" s="1550"/>
      <c r="H1544" s="1550"/>
      <c r="I1544" s="1550"/>
      <c r="J1544" s="1550"/>
      <c r="K1544" s="1550"/>
      <c r="L1544" s="1550"/>
      <c r="M1544" s="1314"/>
      <c r="N1544" s="1314"/>
      <c r="O1544" s="1620" t="s">
        <v>98</v>
      </c>
      <c r="P1544" s="1578" t="str">
        <f>'Part VIII-Threshold Criteria'!P386</f>
        <v>Yes</v>
      </c>
      <c r="Q1544" s="1578"/>
      <c r="R1544" s="1314"/>
      <c r="S1544" s="1314"/>
      <c r="T1544" s="1314"/>
      <c r="U1544" s="1314"/>
      <c r="V1544" s="1314"/>
    </row>
    <row r="1545" spans="1:22">
      <c r="A1545" s="1620" t="s">
        <v>1984</v>
      </c>
      <c r="B1545" s="457" t="s">
        <v>3924</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1736</v>
      </c>
      <c r="C1546" s="1524" t="s">
        <v>4966</v>
      </c>
      <c r="D1546" s="1314"/>
      <c r="E1546" s="1517"/>
      <c r="F1546" s="1517"/>
      <c r="G1546" s="1517"/>
      <c r="H1546" s="1517"/>
      <c r="I1546" s="1314"/>
      <c r="J1546" s="1314"/>
      <c r="K1546" s="1314"/>
      <c r="L1546" s="1314"/>
      <c r="M1546" s="1314"/>
      <c r="N1546" s="1314"/>
      <c r="O1546" s="1314"/>
      <c r="P1546" s="1578" t="str">
        <f>'Part VIII-Threshold Criteria'!P388</f>
        <v>Yes</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3929</v>
      </c>
      <c r="K1547" s="457"/>
      <c r="L1547" s="457"/>
      <c r="M1547" s="457"/>
      <c r="N1547" s="1550" t="s">
        <v>3926</v>
      </c>
      <c r="O1547" s="1550"/>
      <c r="P1547" s="1314"/>
      <c r="Q1547" s="1314"/>
      <c r="R1547" s="1314"/>
      <c r="S1547" s="1314"/>
      <c r="T1547" s="1314"/>
      <c r="U1547" s="1314"/>
      <c r="V1547" s="1314"/>
    </row>
    <row r="1548" spans="1:22">
      <c r="A1548" s="1319"/>
      <c r="B1548" s="1524" t="s">
        <v>1737</v>
      </c>
      <c r="C1548" s="1524" t="s">
        <v>3925</v>
      </c>
      <c r="D1548" s="1314"/>
      <c r="E1548" s="1550"/>
      <c r="F1548" s="1550"/>
      <c r="G1548" s="1550"/>
      <c r="H1548" s="1550"/>
      <c r="I1548" s="1620" t="s">
        <v>1737</v>
      </c>
      <c r="J1548" s="1757">
        <f>'Part VIII-Threshold Criteria'!J390</f>
        <v>1038000</v>
      </c>
      <c r="K1548" s="1757">
        <f>'Part VIII-Threshold Criteria'!K390</f>
        <v>0</v>
      </c>
      <c r="L1548" s="1757"/>
      <c r="M1548" s="1757"/>
      <c r="N1548" s="1651">
        <f>IF(J1548="","",J1540/J1548)</f>
        <v>0.72522447013487479</v>
      </c>
      <c r="O1548" s="1651" t="str">
        <f>IF(L1548="","",L1540/L1548)</f>
        <v/>
      </c>
      <c r="P1548" s="1557">
        <f>'Part VIII-Threshold Criteria'!P390</f>
        <v>27.5</v>
      </c>
      <c r="Q1548" s="1557"/>
      <c r="R1548" s="1314"/>
      <c r="S1548" s="1314"/>
      <c r="T1548" s="1314"/>
      <c r="U1548" s="1314"/>
      <c r="V1548" s="1314"/>
    </row>
    <row r="1549" spans="1:22">
      <c r="A1549" s="1319"/>
      <c r="B1549" s="1524" t="s">
        <v>1738</v>
      </c>
      <c r="C1549" s="457" t="s">
        <v>3928</v>
      </c>
      <c r="D1549" s="1314"/>
      <c r="E1549" s="1550"/>
      <c r="F1549" s="1550"/>
      <c r="G1549" s="1550"/>
      <c r="H1549" s="1550"/>
      <c r="I1549" s="1314"/>
      <c r="J1549" s="1314"/>
      <c r="K1549" s="1314"/>
      <c r="L1549" s="1314"/>
      <c r="M1549" s="1314"/>
      <c r="N1549" s="1550"/>
      <c r="O1549" s="1620" t="s">
        <v>1738</v>
      </c>
      <c r="P1549" s="1557">
        <f>'Part VIII-Threshold Criteria'!P391</f>
        <v>1</v>
      </c>
      <c r="Q1549" s="1557"/>
      <c r="R1549" s="1314"/>
      <c r="S1549" s="1314"/>
      <c r="T1549" s="1314"/>
      <c r="U1549" s="1314"/>
      <c r="V1549" s="1314"/>
    </row>
    <row r="1550" spans="1:22">
      <c r="A1550" s="1314"/>
      <c r="B1550" s="1524" t="s">
        <v>2364</v>
      </c>
      <c r="C1550" s="457" t="s">
        <v>3930</v>
      </c>
      <c r="D1550" s="1314"/>
      <c r="E1550" s="1550"/>
      <c r="F1550" s="1550"/>
      <c r="G1550" s="1550"/>
      <c r="H1550" s="1550"/>
      <c r="I1550" s="1314"/>
      <c r="J1550" s="1314"/>
      <c r="K1550" s="1314"/>
      <c r="L1550" s="1314"/>
      <c r="M1550" s="1550"/>
      <c r="N1550" s="1550"/>
      <c r="O1550" s="1620" t="s">
        <v>2364</v>
      </c>
      <c r="P1550" s="1578" t="str">
        <f>'Part VIII-Threshold Criteria'!P392</f>
        <v>Yes</v>
      </c>
      <c r="Q1550" s="1578"/>
      <c r="R1550" s="1314"/>
      <c r="S1550" s="1314"/>
      <c r="T1550" s="1314"/>
      <c r="U1550" s="1314"/>
      <c r="V1550" s="1314"/>
    </row>
    <row r="1551" spans="1:22">
      <c r="B1551" s="1525" t="s">
        <v>3751</v>
      </c>
      <c r="D1551" s="1525"/>
      <c r="E1551" s="1525"/>
      <c r="F1551" s="1525"/>
      <c r="G1551" s="1525"/>
      <c r="H1551" s="1524"/>
      <c r="I1551" s="1578"/>
      <c r="J1551" s="457"/>
      <c r="K1551" s="457"/>
      <c r="L1551" s="1317"/>
      <c r="M1551" s="1317"/>
      <c r="N1551" s="1317"/>
      <c r="O1551" s="1317"/>
      <c r="P1551" s="1316"/>
      <c r="Q1551" s="1316"/>
    </row>
    <row r="1552" spans="1:22" ht="409.6">
      <c r="A1552" s="1583" t="str">
        <f>'Part VIII-Threshold Criteria'!A394</f>
        <v xml:space="preserve">In a letter from DCA: "The request for a Pre-Application Designation of the Rural HOME Preservation Set Aside by [Woodstone Apartments II] is Granted"
XXII. B. 3): The Project Team has only completed one successful deal under the Rural HOME Preservation Set Aside; however the Project Team has completed numerous successful Tax Credit deals with DCA as well as other state housing agencies. Applicant is unsure which number DCA requires for this item.  </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1865</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4106</v>
      </c>
      <c r="B1557" s="1314" t="s">
        <v>2683</v>
      </c>
      <c r="C1557" s="1314"/>
      <c r="D1557" s="1314"/>
      <c r="E1557" s="1314"/>
      <c r="F1557" s="1314"/>
      <c r="G1557" s="1314"/>
      <c r="H1557" s="1582"/>
      <c r="I1557" s="1582"/>
      <c r="J1557" s="1582"/>
      <c r="O1557" s="2382" t="s">
        <v>1866</v>
      </c>
      <c r="P1557" s="1317"/>
      <c r="Q1557" s="1317"/>
    </row>
    <row r="1558" spans="1:22">
      <c r="A1558" s="457" t="s">
        <v>1982</v>
      </c>
      <c r="B1558" s="457" t="s">
        <v>1033</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2670</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1984</v>
      </c>
      <c r="B1559" s="457" t="s">
        <v>3462</v>
      </c>
      <c r="D1559" s="457"/>
      <c r="E1559" s="457"/>
      <c r="F1559" s="457"/>
      <c r="G1559" s="457"/>
      <c r="H1559" s="457"/>
      <c r="I1559" s="457"/>
      <c r="J1559" s="457"/>
      <c r="K1559" s="457"/>
      <c r="L1559" s="1524"/>
      <c r="M1559" s="1524"/>
      <c r="O1559" s="1620" t="s">
        <v>1984</v>
      </c>
      <c r="P1559" s="1578">
        <f>'Part VIII-Threshold Criteria'!P401</f>
        <v>0</v>
      </c>
      <c r="Q1559" s="1578"/>
    </row>
    <row r="1560" spans="1:22" ht="12.75" customHeight="1">
      <c r="A1560" s="1627" t="s">
        <v>748</v>
      </c>
      <c r="B1560" s="1583" t="s">
        <v>3472</v>
      </c>
      <c r="C1560" s="1583"/>
      <c r="D1560" s="1583"/>
      <c r="E1560" s="1583"/>
      <c r="F1560" s="1583"/>
      <c r="G1560" s="1583"/>
      <c r="H1560" s="1583"/>
      <c r="I1560" s="1583"/>
      <c r="J1560" s="1583"/>
      <c r="K1560" s="1583"/>
      <c r="L1560" s="1583"/>
      <c r="M1560" s="1583"/>
      <c r="N1560" s="1583"/>
      <c r="O1560" s="1627" t="s">
        <v>748</v>
      </c>
      <c r="P1560" s="1631">
        <f>'Part VIII-Threshold Criteria'!P402</f>
        <v>0</v>
      </c>
      <c r="Q1560" s="1631"/>
    </row>
    <row r="1561" spans="1:22">
      <c r="A1561" s="1620" t="s">
        <v>2114</v>
      </c>
      <c r="B1561" s="1051" t="s">
        <v>3695</v>
      </c>
      <c r="G1561" s="1517"/>
      <c r="H1561" s="1517"/>
      <c r="I1561" s="1517"/>
      <c r="J1561" s="1524" t="s">
        <v>3696</v>
      </c>
      <c r="L1561" s="1517"/>
      <c r="M1561" s="2411">
        <f>'Part III-Sources of Funds'!H1163</f>
        <v>0</v>
      </c>
      <c r="N1561" s="2411"/>
      <c r="O1561" s="1620" t="s">
        <v>2114</v>
      </c>
      <c r="P1561" s="457">
        <f>'Part VIII-Threshold Criteria'!P403</f>
        <v>0</v>
      </c>
      <c r="Q1561" s="457"/>
    </row>
    <row r="1562" spans="1:22">
      <c r="B1562" s="1525" t="s">
        <v>3751</v>
      </c>
      <c r="D1562" s="1525"/>
      <c r="E1562" s="1549"/>
      <c r="F1562" s="1549"/>
      <c r="G1562" s="1549"/>
      <c r="H1562" s="457"/>
      <c r="I1562" s="457"/>
      <c r="J1562" s="457"/>
      <c r="K1562" s="457"/>
      <c r="L1562" s="1317"/>
      <c r="M1562" s="1317"/>
      <c r="N1562" s="1317"/>
      <c r="O1562" s="1317"/>
      <c r="P1562" s="1317"/>
      <c r="Q1562" s="1317"/>
    </row>
    <row r="1563" spans="1:22" ht="51">
      <c r="A1563" s="1583" t="str">
        <f>'Part VIII-Threshold Criteria'!A405</f>
        <v>Applicant is not applying under the CHDO Set Aside</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1865</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4107</v>
      </c>
      <c r="B1567" s="1314" t="s">
        <v>2667</v>
      </c>
      <c r="C1567" s="1314"/>
      <c r="D1567" s="1314"/>
      <c r="E1567" s="1583"/>
      <c r="F1567" s="1794"/>
      <c r="G1567" s="1604" t="s">
        <v>700</v>
      </c>
      <c r="H1567" s="1583"/>
      <c r="I1567" s="1583"/>
      <c r="J1567" s="1583"/>
      <c r="K1567" s="1583"/>
      <c r="L1567" s="1583"/>
      <c r="M1567" s="1583"/>
      <c r="N1567" s="1794"/>
      <c r="O1567" s="1583" t="s">
        <v>1866</v>
      </c>
      <c r="P1567" s="1317"/>
      <c r="Q1567" s="1317"/>
    </row>
    <row r="1568" spans="1:22">
      <c r="A1568" s="1620" t="s">
        <v>1982</v>
      </c>
      <c r="B1568" s="457" t="s">
        <v>2672</v>
      </c>
      <c r="D1568" s="1583"/>
      <c r="E1568" s="1583"/>
      <c r="H1568" s="1604"/>
      <c r="O1568" s="1620" t="s">
        <v>1982</v>
      </c>
      <c r="P1568" s="1578" t="str">
        <f>'Part VIII-Threshold Criteria'!P410</f>
        <v>Yes</v>
      </c>
      <c r="Q1568" s="1578"/>
    </row>
    <row r="1569" spans="1:22">
      <c r="A1569" s="457" t="s">
        <v>1984</v>
      </c>
      <c r="B1569" s="457" t="s">
        <v>3580</v>
      </c>
      <c r="C1569" s="1794"/>
      <c r="D1569" s="1583"/>
      <c r="E1569" s="1583"/>
      <c r="F1569" s="1794"/>
      <c r="G1569" s="1794"/>
      <c r="H1569" s="1794"/>
      <c r="I1569" s="1794"/>
      <c r="J1569" s="1794"/>
      <c r="K1569" s="1794"/>
      <c r="L1569" s="1794"/>
      <c r="M1569" s="1794"/>
      <c r="N1569" s="1794"/>
      <c r="O1569" s="457" t="s">
        <v>1984</v>
      </c>
      <c r="P1569" s="457" t="str">
        <f>'Part VIII-Threshold Criteria'!P411</f>
        <v>No</v>
      </c>
      <c r="Q1569" s="457"/>
    </row>
    <row r="1570" spans="1:22">
      <c r="A1570" s="1620" t="s">
        <v>748</v>
      </c>
      <c r="B1570" s="457" t="s">
        <v>4076</v>
      </c>
      <c r="D1570" s="1583"/>
      <c r="E1570" s="1583"/>
      <c r="O1570" s="1620" t="s">
        <v>748</v>
      </c>
      <c r="P1570" s="1578" t="str">
        <f>'Part VIII-Threshold Criteria'!P412</f>
        <v>No</v>
      </c>
      <c r="Q1570" s="1578"/>
    </row>
    <row r="1571" spans="1:22">
      <c r="A1571" s="1620" t="s">
        <v>2114</v>
      </c>
      <c r="B1571" s="457" t="s">
        <v>3581</v>
      </c>
      <c r="E1571" s="1604"/>
      <c r="O1571" s="1620" t="s">
        <v>2114</v>
      </c>
      <c r="P1571" s="457" t="str">
        <f>'Part VIII-Threshold Criteria'!P413</f>
        <v>No</v>
      </c>
      <c r="Q1571" s="457"/>
    </row>
    <row r="1572" spans="1:22">
      <c r="A1572" s="1620" t="s">
        <v>1734</v>
      </c>
      <c r="B1572" s="457" t="s">
        <v>2078</v>
      </c>
      <c r="E1572" s="1604"/>
      <c r="G1572" s="1620" t="s">
        <v>1734</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t="str">
        <f>'Part VIII-Threshold Criteria'!P414</f>
        <v>No</v>
      </c>
      <c r="Q1572" s="1578"/>
    </row>
    <row r="1573" spans="1:22">
      <c r="B1573" s="1525" t="s">
        <v>3751</v>
      </c>
      <c r="D1573" s="1525"/>
      <c r="E1573" s="1525"/>
      <c r="F1573" s="1525"/>
      <c r="G1573" s="1525"/>
      <c r="H1573" s="1524"/>
      <c r="I1573" s="1578"/>
      <c r="J1573" s="1578"/>
      <c r="K1573" s="1578"/>
      <c r="L1573" s="1316"/>
      <c r="M1573" s="1316"/>
      <c r="N1573" s="1316"/>
      <c r="O1573" s="1316"/>
      <c r="P1573" s="1316"/>
      <c r="Q1573" s="1316"/>
    </row>
    <row r="1574" spans="1:22" ht="183.6">
      <c r="A1574" s="1583" t="str">
        <f>'Part VIII-Threshold Criteria'!A416</f>
        <v xml:space="preserve">Evidence of Credit Eligibility for Acquisition can be found in the application. The applicant and all members of the ownership structure are qualified to participate in the Tax Credit Program. </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1865</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4108</v>
      </c>
      <c r="B1578" s="1314" t="s">
        <v>2668</v>
      </c>
      <c r="C1578" s="1314"/>
      <c r="D1578" s="1314"/>
      <c r="E1578" s="1314"/>
      <c r="F1578" s="1314"/>
      <c r="G1578" s="1314"/>
      <c r="H1578" s="1583"/>
      <c r="I1578" s="1583"/>
      <c r="J1578" s="1583"/>
      <c r="K1578" s="1583"/>
      <c r="L1578" s="1583"/>
      <c r="M1578" s="1583"/>
      <c r="N1578" s="1794"/>
      <c r="O1578" s="1583" t="s">
        <v>1866</v>
      </c>
      <c r="P1578" s="1317"/>
      <c r="Q1578" s="1317"/>
    </row>
    <row r="1579" spans="1:22">
      <c r="A1579" s="1620" t="s">
        <v>1982</v>
      </c>
      <c r="B1579" s="457" t="s">
        <v>751</v>
      </c>
      <c r="D1579" s="1314"/>
      <c r="E1579" s="1314"/>
      <c r="F1579" s="1314"/>
      <c r="G1579" s="1314"/>
      <c r="H1579" s="1314"/>
      <c r="I1579" s="1314"/>
      <c r="J1579" s="1314"/>
      <c r="K1579" s="1314"/>
      <c r="L1579" s="1314"/>
      <c r="M1579" s="1314"/>
      <c r="N1579" s="1314"/>
      <c r="O1579" s="1620" t="s">
        <v>1982</v>
      </c>
      <c r="P1579" s="1578" t="str">
        <f>'Part VIII-Threshold Criteria'!P421</f>
        <v>Yes</v>
      </c>
      <c r="Q1579" s="1578"/>
    </row>
    <row r="1580" spans="1:22">
      <c r="A1580" s="457" t="s">
        <v>1984</v>
      </c>
      <c r="B1580" s="457" t="s">
        <v>3474</v>
      </c>
      <c r="C1580" s="1794"/>
      <c r="D1580" s="1314"/>
      <c r="E1580" s="1314"/>
      <c r="F1580" s="1314"/>
      <c r="G1580" s="1314"/>
      <c r="H1580" s="1314"/>
      <c r="I1580" s="1314"/>
      <c r="J1580" s="1314"/>
      <c r="K1580" s="1314"/>
      <c r="L1580" s="1314"/>
      <c r="M1580" s="1314"/>
      <c r="N1580" s="1314"/>
      <c r="O1580" s="457" t="s">
        <v>1445</v>
      </c>
      <c r="P1580" s="457" t="str">
        <f>'Part VIII-Threshold Criteria'!P422</f>
        <v>No</v>
      </c>
      <c r="Q1580" s="457"/>
    </row>
    <row r="1581" spans="1:22">
      <c r="A1581" s="1620"/>
      <c r="C1581" s="457" t="s">
        <v>1482</v>
      </c>
      <c r="D1581" s="457"/>
      <c r="E1581" s="457"/>
      <c r="F1581" s="457"/>
      <c r="G1581" s="457"/>
      <c r="H1581" s="457"/>
      <c r="I1581" s="457"/>
      <c r="J1581" s="457"/>
      <c r="K1581" s="457"/>
      <c r="L1581" s="457"/>
      <c r="M1581" s="457"/>
      <c r="N1581" s="1314"/>
    </row>
    <row r="1582" spans="1:22">
      <c r="A1582" s="1620"/>
      <c r="B1582" s="457" t="s">
        <v>1737</v>
      </c>
      <c r="C1582" s="457" t="s">
        <v>3473</v>
      </c>
      <c r="E1582" s="457"/>
      <c r="F1582" s="457"/>
      <c r="G1582" s="457"/>
      <c r="H1582" s="457"/>
      <c r="I1582" s="457"/>
      <c r="J1582" s="457"/>
      <c r="K1582" s="457"/>
      <c r="L1582" s="457"/>
      <c r="M1582" s="457"/>
      <c r="N1582" s="1314"/>
      <c r="O1582" s="1620" t="s">
        <v>1737</v>
      </c>
      <c r="P1582" s="457">
        <f>'Part VIII-Threshold Criteria'!P424</f>
        <v>0</v>
      </c>
      <c r="Q1582" s="457"/>
    </row>
    <row r="1583" spans="1:22">
      <c r="A1583" s="1620"/>
      <c r="B1583" s="457" t="s">
        <v>3569</v>
      </c>
      <c r="C1583" s="457" t="s">
        <v>3570</v>
      </c>
      <c r="E1583" s="457"/>
      <c r="F1583" s="457"/>
      <c r="G1583" s="457"/>
      <c r="H1583" s="457"/>
      <c r="I1583" s="457"/>
      <c r="J1583" s="457"/>
      <c r="K1583" s="457"/>
      <c r="L1583" s="457"/>
      <c r="M1583" s="457"/>
      <c r="N1583" s="1314"/>
      <c r="O1583" s="1620" t="s">
        <v>1738</v>
      </c>
      <c r="P1583" s="1578" t="str">
        <f>'Part VIII-Threshold Criteria'!P425</f>
        <v>No</v>
      </c>
      <c r="Q1583" s="1578"/>
    </row>
    <row r="1584" spans="1:22">
      <c r="A1584" s="1620" t="s">
        <v>748</v>
      </c>
      <c r="B1584" s="457" t="s">
        <v>2200</v>
      </c>
      <c r="C1584" s="457"/>
      <c r="E1584" s="457"/>
      <c r="F1584" s="457"/>
      <c r="G1584" s="457"/>
      <c r="H1584" s="457"/>
      <c r="I1584" s="457"/>
      <c r="J1584" s="457"/>
      <c r="K1584" s="457"/>
      <c r="L1584" s="457"/>
      <c r="M1584" s="457"/>
      <c r="N1584" s="457"/>
      <c r="O1584" s="1620" t="s">
        <v>748</v>
      </c>
      <c r="P1584" s="1578" t="str">
        <f>'Part VIII-Threshold Criteria'!P426</f>
        <v>Yes</v>
      </c>
      <c r="Q1584" s="1578"/>
    </row>
    <row r="1585" spans="1:22" ht="12.75" customHeight="1">
      <c r="A1585" s="1620" t="s">
        <v>2114</v>
      </c>
      <c r="B1585" s="1583" t="s">
        <v>2813</v>
      </c>
      <c r="C1585" s="1583"/>
      <c r="D1585" s="1583"/>
      <c r="E1585" s="1583"/>
      <c r="F1585" s="1524"/>
      <c r="G1585" s="457" t="s">
        <v>2201</v>
      </c>
      <c r="J1585" s="1316">
        <f>'Part VIII-Threshold Criteria'!J427</f>
        <v>0</v>
      </c>
      <c r="K1585" s="1316"/>
      <c r="M1585" s="457" t="s">
        <v>2204</v>
      </c>
      <c r="P1585" s="1316">
        <f>'Part VIII-Threshold Criteria'!P427</f>
        <v>0</v>
      </c>
      <c r="Q1585" s="1316"/>
    </row>
    <row r="1586" spans="1:22">
      <c r="A1586" s="1620"/>
      <c r="B1586" s="1583"/>
      <c r="C1586" s="1583"/>
      <c r="D1586" s="1583"/>
      <c r="E1586" s="1583"/>
      <c r="F1586" s="1524"/>
      <c r="G1586" s="457" t="s">
        <v>2202</v>
      </c>
      <c r="J1586" s="1316">
        <f>'Part VIII-Threshold Criteria'!J428</f>
        <v>0</v>
      </c>
      <c r="K1586" s="1316"/>
      <c r="M1586" s="457" t="s">
        <v>2205</v>
      </c>
      <c r="P1586" s="1316">
        <f>'Part VIII-Threshold Criteria'!P428</f>
        <v>0</v>
      </c>
      <c r="Q1586" s="1316"/>
    </row>
    <row r="1587" spans="1:22">
      <c r="A1587" s="1620"/>
      <c r="B1587" s="1583"/>
      <c r="C1587" s="1583"/>
      <c r="D1587" s="1583"/>
      <c r="E1587" s="1583"/>
      <c r="F1587" s="1524"/>
      <c r="G1587" s="457" t="s">
        <v>2203</v>
      </c>
      <c r="J1587" s="1316">
        <f>'Part VIII-Threshold Criteria'!J429</f>
        <v>10</v>
      </c>
      <c r="K1587" s="1316"/>
      <c r="L1587" s="1524"/>
      <c r="M1587" s="1314"/>
      <c r="N1587" s="1620"/>
    </row>
    <row r="1588" spans="1:22">
      <c r="A1588" s="1620" t="s">
        <v>1734</v>
      </c>
      <c r="B1588" s="1524" t="s">
        <v>4928</v>
      </c>
      <c r="C1588" s="1524"/>
      <c r="E1588" s="1524"/>
      <c r="F1588" s="1524"/>
      <c r="G1588" s="1524"/>
      <c r="J1588" s="1314"/>
      <c r="K1588" s="1524"/>
      <c r="L1588" s="1524"/>
      <c r="M1588" s="1314"/>
      <c r="N1588" s="1620"/>
      <c r="P1588" s="1620"/>
      <c r="Q1588" s="1620"/>
    </row>
    <row r="1589" spans="1:22">
      <c r="A1589" s="1620"/>
      <c r="B1589" s="1638" t="s">
        <v>1736</v>
      </c>
      <c r="C1589" s="457" t="s">
        <v>4777</v>
      </c>
      <c r="D1589" s="1794"/>
      <c r="E1589" s="457"/>
      <c r="G1589" s="1051" t="s">
        <v>4772</v>
      </c>
      <c r="H1589" s="1524"/>
      <c r="I1589" s="1524"/>
      <c r="J1589" s="1578" t="str">
        <f>'Part VIII-Threshold Criteria'!J431</f>
        <v>Yes</v>
      </c>
      <c r="K1589" s="1578"/>
      <c r="L1589" s="1524"/>
      <c r="M1589" s="1051" t="s">
        <v>4775</v>
      </c>
    </row>
    <row r="1590" spans="1:22">
      <c r="A1590" s="1314"/>
      <c r="B1590" s="1794"/>
      <c r="C1590" s="1794"/>
      <c r="D1590" s="1794"/>
      <c r="E1590" s="1794"/>
      <c r="G1590" s="1051" t="s">
        <v>4773</v>
      </c>
      <c r="H1590" s="1524"/>
      <c r="I1590" s="1524"/>
      <c r="J1590" s="1578" t="str">
        <f>'Part VIII-Threshold Criteria'!J432</f>
        <v>Yes</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4774</v>
      </c>
      <c r="H1591" s="1524"/>
      <c r="J1591" s="1578" t="str">
        <f>'Part VIII-Threshold Criteria'!J433</f>
        <v>Yes</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1737</v>
      </c>
      <c r="C1592" s="1524" t="s">
        <v>4776</v>
      </c>
      <c r="E1592" s="1524"/>
      <c r="F1592" s="1524"/>
      <c r="L1592" s="1524"/>
      <c r="M1592" s="1524"/>
      <c r="O1592" s="1620" t="s">
        <v>1737</v>
      </c>
      <c r="P1592" s="1578" t="str">
        <f>'Part VIII-Threshold Criteria'!P434</f>
        <v>Third-party</v>
      </c>
      <c r="Q1592" s="1578" t="s">
        <v>1770</v>
      </c>
    </row>
    <row r="1593" spans="1:22">
      <c r="A1593" s="1314"/>
      <c r="C1593" s="1051" t="s">
        <v>2434</v>
      </c>
      <c r="D1593" s="1051" t="s">
        <v>4784</v>
      </c>
      <c r="E1593" s="1524"/>
      <c r="F1593" s="1524"/>
      <c r="G1593" s="457" t="str">
        <f>'Part VIII-Threshold Criteria'!G435</f>
        <v>Custom Relocation Specialists, LLC</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2435</v>
      </c>
      <c r="D1594" s="1051" t="s">
        <v>4785</v>
      </c>
      <c r="E1594" s="1524"/>
      <c r="F1594" s="1636"/>
      <c r="G1594" s="457" t="str">
        <f>'Part VIII-Threshold Criteria'!G436</f>
        <v>Relocation specialist</v>
      </c>
      <c r="H1594" s="457">
        <f>'Part VIII-Threshold Criteria'!H436</f>
        <v>0</v>
      </c>
      <c r="I1594" s="457">
        <f>'Part VIII-Threshold Criteria'!I436</f>
        <v>0</v>
      </c>
      <c r="J1594" s="1051" t="s">
        <v>4786</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4989</v>
      </c>
      <c r="E1595" s="1524"/>
      <c r="F1595" s="1524"/>
      <c r="G1595" s="1524"/>
      <c r="H1595" s="1524"/>
      <c r="I1595" s="1524"/>
      <c r="J1595" s="1524"/>
      <c r="K1595" s="1524"/>
      <c r="L1595" s="1524"/>
      <c r="M1595" s="457"/>
      <c r="N1595" s="457"/>
      <c r="O1595" s="457"/>
      <c r="P1595" s="457"/>
      <c r="Q1595" s="457"/>
    </row>
    <row r="1596" spans="1:22" ht="142.80000000000001">
      <c r="B1596" s="1573" t="str">
        <f>'Part VIII-Threshold Criteria'!B438</f>
        <v xml:space="preserve">Custom Relocation Specialists, LLC boasts a thorough resume with more than 50 properties served. They are highly experienced in the relocation process, including requirements set forth by multiple state housing agencies as well as HUD.  </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2384" t="s">
        <v>4778</v>
      </c>
      <c r="U1596" s="1317"/>
      <c r="V1596" s="1317"/>
    </row>
    <row r="1597" spans="1:22">
      <c r="B1597" s="1525" t="s">
        <v>3751</v>
      </c>
      <c r="D1597" s="1525"/>
      <c r="E1597" s="1525"/>
      <c r="F1597" s="1525"/>
      <c r="G1597" s="1549"/>
      <c r="H1597" s="457"/>
      <c r="I1597" s="457"/>
      <c r="J1597" s="457"/>
      <c r="K1597" s="457"/>
    </row>
    <row r="1598" spans="1:22" ht="193.8">
      <c r="A1598" s="1583" t="str">
        <f>'Part VIII-Threshold Criteria'!A440</f>
        <v>Temporary relocation will occur, but there will be no displacement of tenants. There are several vacancies at Woodstone Apartments II which will be utilized for relocating residents during the substantial rehabilitation.</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1865</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4109</v>
      </c>
      <c r="B1602" s="1314" t="s">
        <v>2814</v>
      </c>
      <c r="C1602" s="1314"/>
      <c r="D1602" s="457"/>
      <c r="E1602" s="1583"/>
      <c r="F1602" s="1583"/>
      <c r="G1602" s="1583"/>
      <c r="H1602" s="1583"/>
      <c r="I1602" s="1794"/>
      <c r="J1602" s="1794"/>
      <c r="K1602" s="1794"/>
      <c r="L1602" s="1794"/>
      <c r="M1602" s="1794"/>
      <c r="N1602" s="1794"/>
      <c r="O1602" s="1583" t="s">
        <v>1866</v>
      </c>
      <c r="P1602" s="1317"/>
      <c r="Q1602" s="1317"/>
    </row>
    <row r="1603" spans="1:22">
      <c r="B1603" s="457" t="s">
        <v>5046</v>
      </c>
      <c r="C1603" s="1314"/>
      <c r="D1603" s="457"/>
      <c r="E1603" s="1582"/>
      <c r="F1603" s="1582"/>
      <c r="G1603" s="1582"/>
      <c r="H1603" s="1582"/>
    </row>
    <row r="1604" spans="1:22" ht="12.75" customHeight="1">
      <c r="A1604" s="1604" t="s">
        <v>1982</v>
      </c>
      <c r="B1604" s="1583" t="s">
        <v>3934</v>
      </c>
      <c r="C1604" s="1583"/>
      <c r="D1604" s="1583"/>
      <c r="E1604" s="1583"/>
      <c r="F1604" s="1583"/>
      <c r="G1604" s="1583"/>
      <c r="H1604" s="1583"/>
      <c r="I1604" s="1583"/>
      <c r="J1604" s="1583"/>
      <c r="K1604" s="1583"/>
      <c r="L1604" s="1583"/>
      <c r="M1604" s="1583"/>
      <c r="N1604" s="1583"/>
      <c r="O1604" s="1604" t="s">
        <v>1982</v>
      </c>
      <c r="P1604" s="1604" t="str">
        <f>'Part VIII-Threshold Criteria'!P446</f>
        <v>Agree</v>
      </c>
      <c r="Q1604" s="1604"/>
      <c r="R1604" s="1596"/>
      <c r="S1604" s="1596"/>
      <c r="T1604" s="1596"/>
      <c r="U1604" s="1596"/>
      <c r="V1604" s="1596"/>
    </row>
    <row r="1605" spans="1:22" ht="12.75" customHeight="1">
      <c r="A1605" s="1627" t="s">
        <v>1984</v>
      </c>
      <c r="B1605" s="1583" t="s">
        <v>3932</v>
      </c>
      <c r="C1605" s="1583"/>
      <c r="D1605" s="1583"/>
      <c r="E1605" s="1583"/>
      <c r="F1605" s="1583"/>
      <c r="G1605" s="1583"/>
      <c r="H1605" s="1583"/>
      <c r="I1605" s="1583"/>
      <c r="J1605" s="1583"/>
      <c r="K1605" s="1583"/>
      <c r="L1605" s="1583"/>
      <c r="M1605" s="1583"/>
      <c r="N1605" s="1583"/>
      <c r="O1605" s="1627" t="s">
        <v>1984</v>
      </c>
      <c r="P1605" s="1631" t="str">
        <f>'Part VIII-Threshold Criteria'!P447</f>
        <v>Agree</v>
      </c>
      <c r="Q1605" s="1631"/>
      <c r="R1605" s="1596"/>
      <c r="S1605" s="1596"/>
      <c r="T1605" s="1596"/>
      <c r="U1605" s="1596"/>
      <c r="V1605" s="1596"/>
    </row>
    <row r="1606" spans="1:22" ht="12.75" customHeight="1">
      <c r="A1606" s="1596"/>
      <c r="B1606" s="1635" t="s">
        <v>1736</v>
      </c>
      <c r="C1606" s="1583" t="s">
        <v>4990</v>
      </c>
      <c r="D1606" s="1583"/>
      <c r="E1606" s="1583"/>
      <c r="F1606" s="1583"/>
      <c r="G1606" s="1583"/>
      <c r="H1606" s="1583"/>
      <c r="I1606" s="1583"/>
      <c r="J1606" s="1583"/>
      <c r="K1606" s="1583"/>
      <c r="L1606" s="1583"/>
      <c r="M1606" s="1583"/>
      <c r="N1606" s="1583"/>
      <c r="O1606" s="1627" t="s">
        <v>1736</v>
      </c>
      <c r="P1606" s="1604" t="str">
        <f>'Part VIII-Threshold Criteria'!P448</f>
        <v>Agree</v>
      </c>
      <c r="Q1606" s="1604"/>
      <c r="R1606" s="1596"/>
      <c r="S1606" s="1596"/>
      <c r="T1606" s="1596"/>
      <c r="U1606" s="1596"/>
      <c r="V1606" s="1596"/>
    </row>
    <row r="1607" spans="1:22">
      <c r="A1607" s="1314"/>
      <c r="B1607" s="1635" t="s">
        <v>1737</v>
      </c>
      <c r="C1607" s="457" t="s">
        <v>4991</v>
      </c>
      <c r="D1607" s="1550"/>
      <c r="E1607" s="1550"/>
      <c r="F1607" s="1550"/>
      <c r="G1607" s="1550"/>
      <c r="H1607" s="1550"/>
      <c r="I1607" s="1550"/>
      <c r="J1607" s="1550"/>
      <c r="K1607" s="1550"/>
      <c r="L1607" s="1550"/>
      <c r="M1607" s="1550"/>
      <c r="N1607" s="1550"/>
      <c r="O1607" s="1620" t="s">
        <v>1737</v>
      </c>
      <c r="P1607" s="1578" t="str">
        <f>'Part VIII-Threshold Criteria'!P449</f>
        <v>Agree</v>
      </c>
      <c r="Q1607" s="1578"/>
      <c r="R1607" s="1314"/>
      <c r="S1607" s="1314"/>
      <c r="T1607" s="1314"/>
      <c r="U1607" s="1314"/>
      <c r="V1607" s="1314"/>
    </row>
    <row r="1608" spans="1:22" ht="12.75" customHeight="1">
      <c r="A1608" s="1596"/>
      <c r="B1608" s="1604" t="s">
        <v>1738</v>
      </c>
      <c r="C1608" s="1583" t="s">
        <v>4992</v>
      </c>
      <c r="D1608" s="1583"/>
      <c r="E1608" s="1583"/>
      <c r="F1608" s="1583"/>
      <c r="G1608" s="1583"/>
      <c r="H1608" s="1583"/>
      <c r="I1608" s="1583"/>
      <c r="J1608" s="1583"/>
      <c r="K1608" s="1583"/>
      <c r="L1608" s="1583"/>
      <c r="M1608" s="1583"/>
      <c r="N1608" s="1583"/>
      <c r="O1608" s="1627" t="s">
        <v>1738</v>
      </c>
      <c r="P1608" s="1631" t="str">
        <f>'Part VIII-Threshold Criteria'!P450</f>
        <v>Agree</v>
      </c>
      <c r="Q1608" s="1631"/>
      <c r="R1608" s="1596"/>
      <c r="S1608" s="1596"/>
      <c r="T1608" s="1596"/>
      <c r="U1608" s="1596"/>
      <c r="V1608" s="1596"/>
    </row>
    <row r="1609" spans="1:22" ht="12.75" customHeight="1">
      <c r="A1609" s="1596"/>
      <c r="B1609" s="1604" t="s">
        <v>2364</v>
      </c>
      <c r="C1609" s="1583" t="s">
        <v>4993</v>
      </c>
      <c r="D1609" s="1583"/>
      <c r="E1609" s="1583"/>
      <c r="F1609" s="1583"/>
      <c r="G1609" s="1583"/>
      <c r="H1609" s="1583"/>
      <c r="I1609" s="1583"/>
      <c r="J1609" s="1583"/>
      <c r="K1609" s="1583"/>
      <c r="L1609" s="1583"/>
      <c r="M1609" s="1583"/>
      <c r="N1609" s="1583"/>
      <c r="O1609" s="1627" t="s">
        <v>2364</v>
      </c>
      <c r="P1609" s="1631" t="str">
        <f>'Part VIII-Threshold Criteria'!P451</f>
        <v>Agree</v>
      </c>
      <c r="Q1609" s="1631"/>
      <c r="R1609" s="1596"/>
      <c r="S1609" s="1596"/>
      <c r="T1609" s="1596"/>
      <c r="U1609" s="1596"/>
      <c r="V1609" s="1596"/>
    </row>
    <row r="1610" spans="1:22" ht="12.75" customHeight="1">
      <c r="A1610" s="1627" t="s">
        <v>748</v>
      </c>
      <c r="B1610" s="1583" t="s">
        <v>3938</v>
      </c>
      <c r="C1610" s="1583"/>
      <c r="D1610" s="1583"/>
      <c r="E1610" s="1583"/>
      <c r="F1610" s="1583"/>
      <c r="G1610" s="1583"/>
      <c r="H1610" s="1583"/>
      <c r="I1610" s="1583"/>
      <c r="J1610" s="1583"/>
      <c r="K1610" s="1583"/>
      <c r="L1610" s="1583"/>
      <c r="M1610" s="1583"/>
      <c r="N1610" s="1583"/>
      <c r="O1610" s="1627" t="s">
        <v>748</v>
      </c>
      <c r="P1610" s="1631" t="str">
        <f>'Part VIII-Threshold Criteria'!P452</f>
        <v>Agree</v>
      </c>
      <c r="Q1610" s="1631"/>
      <c r="R1610" s="1596"/>
      <c r="S1610" s="1596"/>
      <c r="T1610" s="1596"/>
      <c r="U1610" s="1596"/>
      <c r="V1610" s="1596"/>
    </row>
    <row r="1611" spans="1:22" ht="12.75" customHeight="1">
      <c r="A1611" s="1627" t="s">
        <v>2114</v>
      </c>
      <c r="B1611" s="1583" t="s">
        <v>3939</v>
      </c>
      <c r="C1611" s="1583"/>
      <c r="D1611" s="1583"/>
      <c r="E1611" s="1583"/>
      <c r="F1611" s="1583"/>
      <c r="G1611" s="1583"/>
      <c r="H1611" s="1583"/>
      <c r="I1611" s="1583"/>
      <c r="J1611" s="1583"/>
      <c r="K1611" s="1583"/>
      <c r="L1611" s="1583"/>
      <c r="M1611" s="1583"/>
      <c r="N1611" s="1583"/>
      <c r="O1611" s="1627" t="s">
        <v>2114</v>
      </c>
      <c r="P1611" s="1631" t="str">
        <f>'Part VIII-Threshold Criteria'!P453</f>
        <v>Agree</v>
      </c>
      <c r="Q1611" s="1631"/>
      <c r="R1611" s="1596"/>
      <c r="S1611" s="1596"/>
      <c r="T1611" s="1596"/>
      <c r="U1611" s="1596"/>
      <c r="V1611" s="1596"/>
    </row>
    <row r="1612" spans="1:22" ht="12.75" customHeight="1">
      <c r="A1612" s="1627" t="s">
        <v>1734</v>
      </c>
      <c r="B1612" s="1583" t="s">
        <v>3940</v>
      </c>
      <c r="C1612" s="1583"/>
      <c r="D1612" s="1583"/>
      <c r="E1612" s="1583"/>
      <c r="F1612" s="1583"/>
      <c r="G1612" s="1583"/>
      <c r="H1612" s="1583"/>
      <c r="I1612" s="1583"/>
      <c r="J1612" s="1583"/>
      <c r="K1612" s="1583"/>
      <c r="L1612" s="1583"/>
      <c r="M1612" s="1583"/>
      <c r="N1612" s="1583"/>
      <c r="O1612" s="1627" t="s">
        <v>1734</v>
      </c>
      <c r="P1612" s="1631" t="str">
        <f>'Part VIII-Threshold Criteria'!P454</f>
        <v>Agree</v>
      </c>
      <c r="Q1612" s="1631"/>
      <c r="R1612" s="1596"/>
      <c r="S1612" s="1596"/>
      <c r="T1612" s="1596"/>
      <c r="U1612" s="1596"/>
      <c r="V1612" s="1596"/>
    </row>
    <row r="1613" spans="1:22" ht="12.75" customHeight="1">
      <c r="A1613" s="1627" t="s">
        <v>1735</v>
      </c>
      <c r="B1613" s="1583" t="s">
        <v>3475</v>
      </c>
      <c r="C1613" s="1583"/>
      <c r="D1613" s="1583"/>
      <c r="E1613" s="1583"/>
      <c r="F1613" s="1583"/>
      <c r="G1613" s="1583"/>
      <c r="H1613" s="1583"/>
      <c r="I1613" s="1583"/>
      <c r="J1613" s="1583"/>
      <c r="K1613" s="1583"/>
      <c r="L1613" s="1583"/>
      <c r="M1613" s="1583"/>
      <c r="N1613" s="1583"/>
      <c r="O1613" s="1627" t="s">
        <v>1735</v>
      </c>
      <c r="P1613" s="1631" t="str">
        <f>'Part VIII-Threshold Criteria'!P455</f>
        <v>Agree</v>
      </c>
      <c r="Q1613" s="1631"/>
      <c r="R1613" s="1596"/>
      <c r="S1613" s="1596"/>
      <c r="T1613" s="1596"/>
      <c r="U1613" s="1596"/>
      <c r="V1613" s="1596"/>
    </row>
    <row r="1614" spans="1:22">
      <c r="B1614" s="1549" t="s">
        <v>3751</v>
      </c>
      <c r="C1614" s="1794"/>
      <c r="D1614" s="1549"/>
      <c r="E1614" s="1549"/>
      <c r="F1614" s="1549"/>
      <c r="G1614" s="1549"/>
      <c r="H1614" s="457"/>
      <c r="I1614" s="457"/>
      <c r="J1614" s="457"/>
      <c r="K1614" s="457"/>
      <c r="L1614" s="1317"/>
      <c r="M1614" s="1317"/>
      <c r="N1614" s="1317"/>
      <c r="O1614" s="1316"/>
      <c r="P1614" s="1316"/>
      <c r="Q1614" s="1316"/>
    </row>
    <row r="1615" spans="1:22" ht="316.2">
      <c r="A1615" s="1583" t="str">
        <f>'Part VIII-Threshold Criteria'!A457</f>
        <v>The Management Agent has highly trained individuals in its employ who regulate more than 90 properties throughout the southeast. Olympia Management, Inc. is more than qualified and experienced in the AFFH policies and requirements. Applicant will provide all above listed documentation as well as any additional documentation DCA requests.</v>
      </c>
      <c r="B1615" s="1583"/>
      <c r="C1615" s="1583"/>
      <c r="D1615" s="1583"/>
      <c r="E1615" s="1583"/>
      <c r="F1615" s="1583"/>
      <c r="G1615" s="1583"/>
      <c r="H1615" s="1583"/>
      <c r="I1615" s="1583"/>
      <c r="J1615" s="1583"/>
      <c r="K1615" s="1583"/>
      <c r="L1615" s="1583"/>
      <c r="M1615" s="1583"/>
      <c r="N1615" s="1583"/>
      <c r="O1615" s="1583"/>
      <c r="P1615" s="1583"/>
      <c r="Q1615" s="1583"/>
      <c r="R1615" s="2384" t="s">
        <v>1253</v>
      </c>
      <c r="S1615" s="2384"/>
      <c r="U1615" s="1317"/>
      <c r="V1615" s="1317"/>
    </row>
    <row r="1616" spans="1:22">
      <c r="B1616" s="1580" t="s">
        <v>1865</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4.4">
      <c r="A1619" s="1314" t="s">
        <v>4787</v>
      </c>
      <c r="B1619" s="1689"/>
      <c r="C1619" s="1314" t="s">
        <v>2718</v>
      </c>
      <c r="D1619" s="1638"/>
      <c r="E1619" s="457"/>
      <c r="F1619" s="1689"/>
      <c r="G1619" s="1689"/>
      <c r="H1619" s="1689"/>
      <c r="I1619" s="1689"/>
      <c r="J1619" s="1549"/>
      <c r="K1619" s="1689"/>
      <c r="L1619" s="1689"/>
      <c r="M1619" s="1314"/>
      <c r="N1619" s="1314"/>
      <c r="O1619" s="1583" t="s">
        <v>1866</v>
      </c>
      <c r="P1619" s="1317"/>
      <c r="Q1619" s="1317"/>
      <c r="R1619" s="1659"/>
      <c r="S1619" s="1659"/>
      <c r="T1619" s="1659"/>
      <c r="U1619" s="1659"/>
      <c r="V1619" s="1659"/>
    </row>
    <row r="1620" spans="1:22">
      <c r="A1620" s="1051"/>
      <c r="B1620" s="1051" t="s">
        <v>4795</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4796</v>
      </c>
      <c r="C1621" s="1638"/>
      <c r="D1621" s="1638"/>
      <c r="E1621" s="1638"/>
      <c r="F1621" s="1638"/>
      <c r="G1621" s="1638"/>
      <c r="H1621" s="1638"/>
      <c r="I1621" s="1638"/>
      <c r="J1621" s="1638"/>
      <c r="K1621" s="1638"/>
      <c r="L1621" s="1638"/>
      <c r="M1621" s="1638"/>
      <c r="N1621" s="1638"/>
      <c r="O1621" s="1638"/>
      <c r="P1621" s="457" t="str">
        <f>'Part VIII-Threshold Criteria'!P463</f>
        <v>N/a</v>
      </c>
      <c r="Q1621" s="457"/>
    </row>
    <row r="1622" spans="1:22" ht="14.4">
      <c r="A1622" s="1620" t="s">
        <v>1982</v>
      </c>
      <c r="B1622" s="457" t="s">
        <v>4788</v>
      </c>
      <c r="C1622" s="1659"/>
      <c r="D1622" s="1314"/>
      <c r="E1622" s="1314"/>
      <c r="F1622" s="1314"/>
      <c r="G1622" s="1659"/>
      <c r="H1622" s="1659"/>
      <c r="I1622" s="1659"/>
      <c r="J1622" s="1659"/>
      <c r="K1622" s="1659"/>
      <c r="L1622" s="1659"/>
      <c r="M1622" s="1659"/>
      <c r="N1622" s="1659"/>
      <c r="O1622" s="1620" t="s">
        <v>1982</v>
      </c>
      <c r="P1622" s="1659"/>
      <c r="Q1622" s="1659"/>
      <c r="R1622" s="1659"/>
      <c r="S1622" s="1659"/>
      <c r="T1622" s="1659"/>
      <c r="U1622" s="1659"/>
      <c r="V1622" s="1659"/>
    </row>
    <row r="1623" spans="1:22" ht="15.75" customHeight="1">
      <c r="A1623" s="1627"/>
      <c r="B1623" s="1704" t="s">
        <v>1985</v>
      </c>
      <c r="C1623" s="1583" t="s">
        <v>4915</v>
      </c>
      <c r="D1623" s="1583"/>
      <c r="E1623" s="1583"/>
      <c r="F1623" s="1583"/>
      <c r="G1623" s="1583"/>
      <c r="H1623" s="1583"/>
      <c r="I1623" s="1583"/>
      <c r="J1623" s="1583"/>
      <c r="K1623" s="1550" t="s">
        <v>5041</v>
      </c>
      <c r="L1623" s="1524" t="s">
        <v>4790</v>
      </c>
      <c r="M1623" s="1676"/>
      <c r="N1623" s="1506">
        <f>ROUNDUP('Part VI-Revenues &amp; Expenses'!$O$63*0.1,0)</f>
        <v>4</v>
      </c>
      <c r="O1623" s="1684" t="s">
        <v>1985</v>
      </c>
      <c r="P1623" s="1604" t="str">
        <f>'Part VIII-Threshold Criteria'!P465</f>
        <v>Agree</v>
      </c>
      <c r="Q1623" s="1604"/>
      <c r="R1623" s="1468"/>
      <c r="S1623" s="1468"/>
      <c r="T1623" s="1711"/>
      <c r="U1623" s="1711"/>
      <c r="V1623" s="1711"/>
    </row>
    <row r="1624" spans="1:22" ht="14.4">
      <c r="A1624" s="1627"/>
      <c r="B1624" s="1704"/>
      <c r="C1624" s="1583"/>
      <c r="D1624" s="1583"/>
      <c r="E1624" s="1583"/>
      <c r="F1624" s="1583"/>
      <c r="G1624" s="1583"/>
      <c r="H1624" s="1583"/>
      <c r="I1624" s="1583"/>
      <c r="J1624" s="1583"/>
      <c r="K1624" s="1550"/>
      <c r="L1624" s="1524" t="s">
        <v>5042</v>
      </c>
      <c r="M1624" s="1676"/>
      <c r="N1624" s="1506">
        <f>'Part VI-Revenues &amp; Expenses'!$O$63</f>
        <v>39</v>
      </c>
      <c r="O1624" s="1711"/>
      <c r="P1624" s="1604">
        <f>'Part VIII-Threshold Criteria'!P466</f>
        <v>0</v>
      </c>
      <c r="Q1624" s="1604"/>
      <c r="R1624" s="1468"/>
      <c r="S1624" s="1468"/>
      <c r="T1624" s="1711"/>
      <c r="U1624" s="1711"/>
      <c r="V1624" s="1711"/>
    </row>
    <row r="1625" spans="1:22" ht="14.4">
      <c r="A1625" s="1627"/>
      <c r="B1625" s="1704"/>
      <c r="C1625" s="1583"/>
      <c r="D1625" s="1583"/>
      <c r="E1625" s="1583"/>
      <c r="F1625" s="1583"/>
      <c r="G1625" s="1583"/>
      <c r="H1625" s="1583"/>
      <c r="I1625" s="1583"/>
      <c r="J1625" s="1583"/>
      <c r="K1625" s="2412">
        <f>'Part VI-Revenues &amp; Expenses'!$O$88</f>
        <v>0</v>
      </c>
      <c r="L1625" s="1524" t="s">
        <v>4792</v>
      </c>
      <c r="M1625" s="1676"/>
      <c r="N1625" s="1506">
        <f>'Part VI-Revenues &amp; Expenses'!$O$67</f>
        <v>40</v>
      </c>
      <c r="O1625" s="1711"/>
      <c r="P1625" s="1604">
        <f>'Part VIII-Threshold Criteria'!P467</f>
        <v>0</v>
      </c>
      <c r="Q1625" s="1604"/>
      <c r="R1625" s="1711"/>
      <c r="S1625" s="1711"/>
      <c r="T1625" s="1711"/>
      <c r="U1625" s="1711"/>
      <c r="V1625" s="1711"/>
    </row>
    <row r="1626" spans="1:22" ht="12.75" customHeight="1">
      <c r="A1626" s="1638"/>
      <c r="B1626" s="1704" t="s">
        <v>1987</v>
      </c>
      <c r="C1626" s="1583" t="s">
        <v>4916</v>
      </c>
      <c r="D1626" s="1583"/>
      <c r="E1626" s="1583"/>
      <c r="F1626" s="1583"/>
      <c r="G1626" s="1583"/>
      <c r="H1626" s="1583"/>
      <c r="I1626" s="1583"/>
      <c r="J1626" s="1583"/>
      <c r="K1626" s="1583"/>
      <c r="L1626" s="1583"/>
      <c r="M1626" s="1583"/>
      <c r="N1626" s="1604"/>
      <c r="O1626" s="1684" t="s">
        <v>1987</v>
      </c>
      <c r="P1626" s="1631" t="str">
        <f>'Part VIII-Threshold Criteria'!P468</f>
        <v>Yes</v>
      </c>
      <c r="Q1626" s="1631"/>
      <c r="R1626" s="1604"/>
      <c r="S1626" s="1604"/>
      <c r="T1626" s="1604"/>
      <c r="U1626" s="1604"/>
      <c r="V1626" s="1604"/>
    </row>
    <row r="1627" spans="1:22" ht="15.75" customHeight="1">
      <c r="A1627" s="1638"/>
      <c r="B1627" s="1704" t="s">
        <v>2533</v>
      </c>
      <c r="C1627" s="1583" t="s">
        <v>4917</v>
      </c>
      <c r="D1627" s="1583"/>
      <c r="E1627" s="1583"/>
      <c r="F1627" s="1583"/>
      <c r="G1627" s="1583"/>
      <c r="H1627" s="1583"/>
      <c r="I1627" s="1583"/>
      <c r="J1627" s="1550" t="s">
        <v>4793</v>
      </c>
      <c r="K1627" s="2413">
        <f>'Part VI-Revenues &amp; Expenses'!$O$103</f>
        <v>0</v>
      </c>
      <c r="L1627" s="1524" t="s">
        <v>4791</v>
      </c>
      <c r="M1627" s="1676"/>
      <c r="N1627" s="1506">
        <f>ROUNDUP(N1625*0.1,0)</f>
        <v>4</v>
      </c>
      <c r="O1627" s="1684" t="s">
        <v>2533</v>
      </c>
      <c r="P1627" s="1604" t="str">
        <f>'Part VIII-Threshold Criteria'!P469</f>
        <v>N/a</v>
      </c>
      <c r="Q1627" s="1604"/>
      <c r="R1627" s="1468"/>
      <c r="S1627" s="1468"/>
      <c r="T1627" s="1604"/>
      <c r="U1627" s="1604"/>
      <c r="V1627" s="1604"/>
    </row>
    <row r="1628" spans="1:22">
      <c r="A1628" s="1638"/>
      <c r="B1628" s="1704"/>
      <c r="C1628" s="1583"/>
      <c r="D1628" s="1583"/>
      <c r="E1628" s="1583"/>
      <c r="F1628" s="1583"/>
      <c r="G1628" s="1583"/>
      <c r="H1628" s="1583"/>
      <c r="I1628" s="1583"/>
      <c r="J1628" s="1550" t="s">
        <v>4794</v>
      </c>
      <c r="K1628" s="2414">
        <f>IF(N1625=0,"",K1627/N1625)</f>
        <v>0</v>
      </c>
      <c r="L1628" s="1524" t="s">
        <v>5040</v>
      </c>
      <c r="M1628" s="457"/>
      <c r="N1628" s="1507">
        <f>'Part VI-Revenues &amp; Expenses'!$K$67/'Part VI-Revenues &amp; Expenses'!$O$67</f>
        <v>0.3</v>
      </c>
      <c r="O1628" s="1684" t="str">
        <f>IF(AND(N1628&lt;0.1,P1627="Yes"), "Check!","")</f>
        <v/>
      </c>
      <c r="P1628" s="1604">
        <f>'Part VIII-Threshold Criteria'!P470</f>
        <v>0</v>
      </c>
      <c r="Q1628" s="1604"/>
      <c r="R1628" s="1468"/>
      <c r="S1628" s="1468"/>
      <c r="T1628" s="1604"/>
      <c r="U1628" s="1604"/>
      <c r="V1628" s="1604"/>
    </row>
    <row r="1629" spans="1:22" ht="14.4">
      <c r="A1629" s="1620" t="s">
        <v>1984</v>
      </c>
      <c r="B1629" s="457" t="s">
        <v>4918</v>
      </c>
      <c r="C1629" s="1689"/>
      <c r="D1629" s="457"/>
      <c r="E1629" s="1689"/>
      <c r="F1629" s="1689"/>
      <c r="G1629" s="457"/>
      <c r="H1629" s="1689"/>
      <c r="I1629" s="1689"/>
      <c r="J1629" s="1689"/>
      <c r="K1629" s="1659"/>
      <c r="L1629" s="1659"/>
      <c r="M1629" s="1313"/>
      <c r="N1629" s="1659"/>
      <c r="O1629" s="1659"/>
      <c r="P1629" s="1689"/>
      <c r="Q1629" s="1689"/>
      <c r="R1629" s="2415"/>
      <c r="S1629" s="1659"/>
      <c r="T1629" s="1659"/>
      <c r="U1629" s="1659"/>
      <c r="V1629" s="1659"/>
    </row>
    <row r="1630" spans="1:22" ht="15" customHeight="1">
      <c r="A1630" s="1627"/>
      <c r="B1630" s="1583" t="s">
        <v>4919</v>
      </c>
      <c r="C1630" s="1583"/>
      <c r="D1630" s="1583"/>
      <c r="E1630" s="1583"/>
      <c r="F1630" s="1583"/>
      <c r="G1630" s="1583"/>
      <c r="H1630" s="1583"/>
      <c r="I1630" s="1583"/>
      <c r="J1630" s="1583"/>
      <c r="K1630" s="1583"/>
      <c r="L1630" s="1583"/>
      <c r="M1630" s="1583"/>
      <c r="N1630" s="1583"/>
      <c r="O1630" s="1627" t="s">
        <v>1984</v>
      </c>
      <c r="P1630" s="1631" t="str">
        <f>'Part VIII-Threshold Criteria'!P472</f>
        <v>Disagree</v>
      </c>
      <c r="Q1630" s="1631"/>
      <c r="R1630" s="2416"/>
      <c r="S1630" s="1711"/>
      <c r="T1630" s="1711"/>
      <c r="U1630" s="1711"/>
      <c r="V1630" s="1711"/>
    </row>
    <row r="1631" spans="1:22" ht="14.4">
      <c r="A1631" s="1314"/>
      <c r="B1631" s="1525" t="s">
        <v>3751</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163.19999999999999">
      <c r="A1632" s="1583" t="str">
        <f>'Part VIII-Threshold Criteria'!A474</f>
        <v xml:space="preserve">Applicant agrees to assist DCA in obtaining housing for individuals in need of Integrated Supportive Housing. There is no current rental assistance contract or subsidy for the property. </v>
      </c>
      <c r="B1632" s="1583"/>
      <c r="C1632" s="1583"/>
      <c r="D1632" s="1583"/>
      <c r="E1632" s="1583"/>
      <c r="F1632" s="1583"/>
      <c r="G1632" s="1583"/>
      <c r="H1632" s="1583"/>
      <c r="I1632" s="1583"/>
      <c r="J1632" s="1583"/>
      <c r="K1632" s="1583"/>
      <c r="L1632" s="1583"/>
      <c r="M1632" s="1583"/>
      <c r="N1632" s="1583"/>
      <c r="O1632" s="1583"/>
      <c r="P1632" s="1583"/>
      <c r="Q1632" s="1583"/>
      <c r="R1632" s="2384" t="s">
        <v>1253</v>
      </c>
      <c r="S1632" s="1659"/>
      <c r="T1632" s="1659"/>
      <c r="U1632" s="1659"/>
      <c r="V1632" s="1659"/>
    </row>
    <row r="1633" spans="1:22" ht="14.4">
      <c r="A1633" s="1659"/>
      <c r="B1633" s="1580" t="s">
        <v>1865</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4.4">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4789</v>
      </c>
      <c r="B1636" s="1314"/>
      <c r="C1636" s="1314" t="s">
        <v>2669</v>
      </c>
      <c r="D1636" s="457"/>
      <c r="E1636" s="1582"/>
      <c r="F1636" s="1582"/>
      <c r="G1636" s="1582"/>
      <c r="H1636" s="1582"/>
      <c r="I1636" s="1582"/>
      <c r="J1636" s="1582"/>
      <c r="K1636" s="1582"/>
      <c r="L1636" s="1582"/>
      <c r="M1636" s="1582"/>
      <c r="O1636" s="2382" t="s">
        <v>1866</v>
      </c>
      <c r="P1636" s="1317"/>
      <c r="Q1636" s="1317"/>
    </row>
    <row r="1637" spans="1:22">
      <c r="A1637" s="1314"/>
      <c r="B1637" s="1549" t="s">
        <v>3751</v>
      </c>
      <c r="C1637" s="1794"/>
      <c r="D1637" s="1549"/>
      <c r="E1637" s="1549"/>
      <c r="F1637" s="1549"/>
      <c r="G1637" s="1549"/>
      <c r="H1637" s="457"/>
      <c r="I1637" s="457"/>
      <c r="J1637" s="457"/>
      <c r="K1637" s="457"/>
      <c r="L1637" s="1317"/>
      <c r="M1637" s="1317"/>
      <c r="N1637" s="1317"/>
      <c r="O1637" s="1317"/>
      <c r="P1637" s="1317"/>
      <c r="Q1637" s="1317"/>
    </row>
    <row r="1638" spans="1:22" ht="409.6">
      <c r="A1638" s="1583" t="str">
        <f>'Part VIII-Threshold Criteria'!A480</f>
        <v xml:space="preserve">All members of the Development Team are committed to producing the most quality, energy-efficient, and economical project possible. Costs are kept to a minimum as each part of the development is reviewed for cost-effectiveness. After a stringent review of available products, materials and services are selected based on their superior quality, durability, and economic properties. Members of the Development Team have extensive experience in providing quality, safe, energy-efficient, affordable housing for communities throughout the southeast. </v>
      </c>
      <c r="B1638" s="1583"/>
      <c r="C1638" s="1583"/>
      <c r="D1638" s="1583"/>
      <c r="E1638" s="1583"/>
      <c r="F1638" s="1583"/>
      <c r="G1638" s="1583"/>
      <c r="H1638" s="1583"/>
      <c r="I1638" s="1583"/>
      <c r="J1638" s="1583"/>
      <c r="K1638" s="1583"/>
      <c r="L1638" s="1583"/>
      <c r="M1638" s="1583"/>
      <c r="N1638" s="1583"/>
      <c r="O1638" s="1583"/>
      <c r="P1638" s="1583"/>
      <c r="Q1638" s="1583"/>
      <c r="R1638" s="2384" t="s">
        <v>1253</v>
      </c>
      <c r="S1638" s="2384"/>
      <c r="U1638" s="1317"/>
      <c r="V1638" s="1317"/>
    </row>
    <row r="1639" spans="1:22">
      <c r="A1639" s="1794"/>
      <c r="B1639" s="1580" t="s">
        <v>1865</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4797</v>
      </c>
      <c r="B1643" s="1314"/>
      <c r="C1643" s="1314" t="s">
        <v>4967</v>
      </c>
      <c r="D1643" s="457"/>
      <c r="E1643" s="1583"/>
      <c r="F1643" s="1583"/>
      <c r="G1643" s="1583"/>
      <c r="H1643" s="1583"/>
      <c r="I1643" s="1583"/>
      <c r="J1643" s="1583"/>
      <c r="K1643" s="1583"/>
      <c r="L1643" s="1583"/>
      <c r="M1643" s="1583"/>
      <c r="N1643" s="1794"/>
      <c r="O1643" s="1583" t="s">
        <v>1866</v>
      </c>
      <c r="P1643" s="1317"/>
      <c r="Q1643" s="1317"/>
    </row>
    <row r="1644" spans="1:22" ht="18">
      <c r="A1644" s="1676"/>
      <c r="B1644" s="1723" t="s">
        <v>4798</v>
      </c>
      <c r="C1644" s="1676"/>
      <c r="D1644" s="1525"/>
      <c r="E1644" s="1525"/>
      <c r="F1644" s="1655"/>
      <c r="H1644" s="1676"/>
      <c r="I1644" s="1676"/>
      <c r="J1644" s="1676"/>
      <c r="K1644" s="1676"/>
      <c r="L1644" s="2415"/>
      <c r="M1644" s="2415"/>
      <c r="N1644" s="2415"/>
      <c r="O1644" s="2415"/>
      <c r="P1644" s="2415"/>
      <c r="Q1644" s="2415"/>
      <c r="R1644" s="2415"/>
      <c r="S1644" s="1676"/>
      <c r="T1644" s="2417"/>
      <c r="U1644" s="2417"/>
      <c r="V1644" s="1676"/>
    </row>
    <row r="1645" spans="1:22" ht="18">
      <c r="A1645" s="1317"/>
      <c r="B1645" s="457" t="s">
        <v>4920</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2417"/>
      <c r="U1645" s="2417"/>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2019-049 Woodstone Apartments II, ,  County</v>
      </c>
      <c r="B1649" s="1314"/>
      <c r="C1649" s="1314"/>
      <c r="D1649" s="1314"/>
      <c r="E1649" s="1314"/>
      <c r="F1649" s="1314"/>
      <c r="G1649" s="1314"/>
      <c r="H1649" s="1314"/>
      <c r="I1649" s="1314"/>
      <c r="J1649" s="1314"/>
      <c r="K1649" s="1314"/>
      <c r="L1649" s="1314"/>
      <c r="M1649" s="1314"/>
      <c r="N1649" s="1314"/>
      <c r="O1649" s="1314"/>
      <c r="P1649" s="1314"/>
      <c r="Q1649" s="2418"/>
      <c r="R1649" s="2418"/>
      <c r="S1649" s="2418"/>
    </row>
    <row r="1650" spans="1:24" ht="15">
      <c r="A1650" s="457"/>
      <c r="B1650" s="457"/>
      <c r="C1650" s="1654"/>
      <c r="D1650" s="457"/>
      <c r="E1650" s="457"/>
      <c r="F1650" s="457"/>
      <c r="G1650" s="457"/>
      <c r="H1650" s="457"/>
      <c r="I1650" s="457"/>
      <c r="J1650" s="457"/>
      <c r="K1650" s="457"/>
      <c r="L1650" s="457"/>
      <c r="M1650" s="1578"/>
      <c r="N1650" s="1313"/>
      <c r="O1650" s="1313"/>
      <c r="P1650" s="1313"/>
      <c r="Q1650" s="2418"/>
      <c r="R1650" s="2418"/>
      <c r="S1650" s="2418"/>
    </row>
    <row r="1651" spans="1:24" ht="15" customHeight="1">
      <c r="A1651" s="1468" t="s">
        <v>5334</v>
      </c>
      <c r="B1651" s="1468"/>
      <c r="C1651" s="1468"/>
      <c r="D1651" s="1468"/>
      <c r="E1651" s="1468"/>
      <c r="F1651" s="1468"/>
      <c r="G1651" s="1468"/>
      <c r="H1651" s="1468"/>
      <c r="I1651" s="1468"/>
      <c r="J1651" s="1468"/>
      <c r="K1651" s="1468"/>
      <c r="L1651" s="1468"/>
      <c r="M1651" s="1606" t="s">
        <v>2218</v>
      </c>
      <c r="N1651" s="1313"/>
      <c r="O1651" s="1313" t="s">
        <v>2217</v>
      </c>
      <c r="P1651" s="1313" t="s">
        <v>256</v>
      </c>
      <c r="Q1651" s="2418"/>
      <c r="R1651" s="2418"/>
      <c r="S1651" s="2418"/>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2218</v>
      </c>
      <c r="P1652" s="1313" t="s">
        <v>2218</v>
      </c>
      <c r="Q1652" s="2418"/>
      <c r="R1652" s="2418"/>
      <c r="S1652" s="2418"/>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2419"/>
      <c r="N1653" s="1314"/>
      <c r="O1653" s="1313"/>
      <c r="P1653" s="1320"/>
      <c r="Q1653" s="2418"/>
      <c r="R1653" s="2418"/>
      <c r="S1653" s="2418"/>
      <c r="T1653" s="1655"/>
      <c r="U1653" s="1655"/>
      <c r="V1653" s="1655"/>
      <c r="W1653" s="1655"/>
      <c r="X1653" s="1655"/>
    </row>
    <row r="1654" spans="1:24" ht="15">
      <c r="A1654" s="1314"/>
      <c r="B1654" s="2324" t="str">
        <f>'Part I-Project Information'!$B$6</f>
        <v>April 2019 Final</v>
      </c>
      <c r="C1654" s="2324"/>
      <c r="D1654" s="2324"/>
      <c r="E1654" s="2324"/>
      <c r="F1654" s="2324"/>
      <c r="G1654" s="1314"/>
      <c r="H1654" s="1314"/>
      <c r="I1654" s="1314"/>
      <c r="J1654" s="1314"/>
      <c r="K1654" s="1655"/>
      <c r="L1654" s="2420" t="s">
        <v>1225</v>
      </c>
      <c r="M1654" s="1546">
        <f>M2096</f>
        <v>92</v>
      </c>
      <c r="N1654" s="1546"/>
      <c r="O1654" s="1546">
        <f>O2096</f>
        <v>31</v>
      </c>
      <c r="P1654" s="1546">
        <f>P2096</f>
        <v>20</v>
      </c>
      <c r="Q1654" s="2418"/>
      <c r="R1654" s="2418"/>
      <c r="S1654" s="2418"/>
      <c r="T1654" s="1655"/>
      <c r="U1654" s="1655"/>
      <c r="V1654" s="1655"/>
      <c r="W1654" s="1655"/>
      <c r="X1654" s="1655"/>
    </row>
    <row r="1655" spans="1:24" ht="14.4">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399999999999999">
      <c r="A1656" s="1736" t="s">
        <v>4807</v>
      </c>
      <c r="B1656" s="1314"/>
      <c r="C1656" s="1314"/>
      <c r="D1656" s="457"/>
      <c r="E1656" s="457"/>
      <c r="F1656" s="457"/>
      <c r="G1656" s="1549"/>
      <c r="H1656" s="1335" t="s">
        <v>5335</v>
      </c>
      <c r="I1656" s="1549"/>
      <c r="J1656" s="1549"/>
      <c r="K1656" s="1549"/>
      <c r="L1656" s="1549"/>
      <c r="M1656" s="2421" t="s">
        <v>5336</v>
      </c>
      <c r="N1656" s="1549"/>
      <c r="O1656" s="1607">
        <f>'Part IX Scoring Criteria'!O8</f>
        <v>0</v>
      </c>
      <c r="P1656" s="1313">
        <f>IF(P1658&lt;2,0,IF(AND(P1658&gt;1,P1658&lt;5),1,IF(P1658&gt;4,P1658-3)))</f>
        <v>0</v>
      </c>
      <c r="Q1656" s="457" t="s">
        <v>5337</v>
      </c>
      <c r="R1656" s="2422"/>
      <c r="S1656" s="2383"/>
      <c r="T1656" s="1314"/>
      <c r="U1656" s="1314"/>
      <c r="V1656" s="1314"/>
      <c r="W1656" s="1314"/>
      <c r="X1656" s="1314"/>
    </row>
    <row r="1657" spans="1:24" ht="14.4">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4143</v>
      </c>
      <c r="B1658" s="1738" t="s">
        <v>4144</v>
      </c>
      <c r="C1658" s="457"/>
      <c r="D1658" s="457"/>
      <c r="E1658" s="1738" t="s">
        <v>4171</v>
      </c>
      <c r="F1658" s="1738" t="s">
        <v>4170</v>
      </c>
      <c r="G1658" s="1738"/>
      <c r="H1658" s="1738"/>
      <c r="I1658" s="1738"/>
      <c r="J1658" s="1738"/>
      <c r="K1658" s="1738"/>
      <c r="L1658" s="1738"/>
      <c r="M1658" s="1738"/>
      <c r="N1658" s="1738"/>
      <c r="O1658" s="2423" t="s">
        <v>4805</v>
      </c>
      <c r="P1658" s="1578">
        <f>SUM(P1659:P1668)</f>
        <v>0</v>
      </c>
      <c r="Q1658" s="1550" t="s">
        <v>5338</v>
      </c>
      <c r="R1658" s="1550"/>
      <c r="S1658" s="1550"/>
      <c r="T1658" s="1550"/>
      <c r="U1658" s="1550"/>
      <c r="V1658" s="1550"/>
      <c r="W1658" s="1314"/>
      <c r="X1658" s="1314"/>
    </row>
    <row r="1659" spans="1:24">
      <c r="A1659" s="1673" t="s">
        <v>741</v>
      </c>
      <c r="B1659" s="1053" t="s">
        <v>4145</v>
      </c>
      <c r="C1659" s="1573"/>
      <c r="D1659" s="1573"/>
      <c r="E1659" s="2424" t="str">
        <f>$O$61</f>
        <v>203.00</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529</v>
      </c>
      <c r="B1660" s="1053" t="s">
        <v>4147</v>
      </c>
      <c r="C1660" s="1573"/>
      <c r="D1660" s="1573"/>
      <c r="E1660" s="2424">
        <f>$O$153</f>
        <v>0</v>
      </c>
      <c r="F1660" s="1585">
        <f>$A$185</f>
        <v>0</v>
      </c>
      <c r="G1660" s="1585"/>
      <c r="H1660" s="1585"/>
      <c r="I1660" s="1585"/>
      <c r="J1660" s="1585"/>
      <c r="K1660" s="1585"/>
      <c r="L1660" s="1585"/>
      <c r="M1660" s="1585"/>
      <c r="N1660" s="1585"/>
      <c r="O1660" s="1585"/>
      <c r="P1660" s="1694"/>
      <c r="Q1660" s="2325" t="str">
        <f>IF(OR($A$67="",$A$302="",$A$185="",$A$224="",$A$273="",$A$325="",$A$365="",$A$380="",$A$416="",$A$436=""),"Some Applicant Scoring Justification boxes are empty! Check to see if points claimed.","")</f>
        <v>Some Applicant Scoring Justification boxes are empty! Check to see if points claimed.</v>
      </c>
      <c r="R1660" s="2325"/>
      <c r="S1660" s="2325"/>
      <c r="T1660" s="1314"/>
      <c r="U1660" s="1314"/>
      <c r="V1660" s="1314"/>
      <c r="W1660" s="1314"/>
      <c r="X1660" s="1314"/>
    </row>
    <row r="1661" spans="1:24" ht="12.75" customHeight="1">
      <c r="A1661" s="1673" t="s">
        <v>771</v>
      </c>
      <c r="B1661" s="1053" t="s">
        <v>4148</v>
      </c>
      <c r="C1661" s="1573"/>
      <c r="D1661" s="1573"/>
      <c r="E1661" s="2424">
        <f>$O$189</f>
        <v>0</v>
      </c>
      <c r="F1661" s="1585">
        <f>$A$224</f>
        <v>0</v>
      </c>
      <c r="G1661" s="1585"/>
      <c r="H1661" s="1585"/>
      <c r="I1661" s="1585"/>
      <c r="J1661" s="1585"/>
      <c r="K1661" s="1585"/>
      <c r="L1661" s="1585"/>
      <c r="M1661" s="1585"/>
      <c r="N1661" s="1585"/>
      <c r="O1661" s="1585"/>
      <c r="P1661" s="1694"/>
      <c r="Q1661" s="2325"/>
      <c r="R1661" s="2325"/>
      <c r="S1661" s="2325"/>
      <c r="T1661" s="1314"/>
      <c r="U1661" s="1314"/>
      <c r="V1661" s="1314"/>
      <c r="W1661" s="1314"/>
      <c r="X1661" s="1314"/>
    </row>
    <row r="1662" spans="1:24" ht="12.75" customHeight="1">
      <c r="A1662" s="1673" t="s">
        <v>292</v>
      </c>
      <c r="B1662" s="1053" t="s">
        <v>4149</v>
      </c>
      <c r="C1662" s="1573"/>
      <c r="D1662" s="1573"/>
      <c r="E1662" s="2425" t="s">
        <v>1732</v>
      </c>
      <c r="F1662" s="1585">
        <f>$A$273</f>
        <v>0</v>
      </c>
      <c r="G1662" s="1585"/>
      <c r="H1662" s="1585"/>
      <c r="I1662" s="1585"/>
      <c r="J1662" s="1585"/>
      <c r="K1662" s="1585"/>
      <c r="L1662" s="1585"/>
      <c r="M1662" s="1585"/>
      <c r="N1662" s="1585"/>
      <c r="O1662" s="1585"/>
      <c r="P1662" s="1694"/>
      <c r="Q1662" s="2325"/>
      <c r="R1662" s="2325"/>
      <c r="S1662" s="2325"/>
      <c r="T1662" s="1314"/>
      <c r="U1662" s="1314"/>
      <c r="V1662" s="1314"/>
      <c r="W1662" s="1314"/>
      <c r="X1662" s="1314"/>
    </row>
    <row r="1663" spans="1:24" ht="12.75" customHeight="1">
      <c r="A1663" s="1673" t="s">
        <v>362</v>
      </c>
      <c r="B1663" s="1053" t="s">
        <v>3787</v>
      </c>
      <c r="C1663" s="1573"/>
      <c r="D1663" s="1573"/>
      <c r="E1663" s="2424" t="str">
        <f>$O$298</f>
        <v>Name of Principal</v>
      </c>
      <c r="F1663" s="1585">
        <f>$A$302</f>
        <v>0</v>
      </c>
      <c r="G1663" s="1585"/>
      <c r="H1663" s="1585"/>
      <c r="I1663" s="1585"/>
      <c r="J1663" s="1585"/>
      <c r="K1663" s="1585"/>
      <c r="L1663" s="1585"/>
      <c r="M1663" s="1585"/>
      <c r="N1663" s="1585"/>
      <c r="O1663" s="1585"/>
      <c r="P1663" s="1694"/>
      <c r="Q1663" s="2325"/>
      <c r="R1663" s="2325"/>
      <c r="S1663" s="2325"/>
      <c r="T1663" s="1314"/>
      <c r="U1663" s="1314"/>
      <c r="V1663" s="1314"/>
      <c r="W1663" s="1314"/>
      <c r="X1663" s="1314"/>
    </row>
    <row r="1664" spans="1:24" ht="12.75" customHeight="1">
      <c r="A1664" s="1673" t="s">
        <v>4898</v>
      </c>
      <c r="B1664" s="1053" t="s">
        <v>4455</v>
      </c>
      <c r="C1664" s="1573"/>
      <c r="D1664" s="1573"/>
      <c r="E1664" s="2425" t="str">
        <f>$O$306</f>
        <v>Direct Line</v>
      </c>
      <c r="F1664" s="1585">
        <f>$A$325</f>
        <v>0</v>
      </c>
      <c r="G1664" s="1585"/>
      <c r="H1664" s="1585"/>
      <c r="I1664" s="1585"/>
      <c r="J1664" s="1585"/>
      <c r="K1664" s="1585"/>
      <c r="L1664" s="1585"/>
      <c r="M1664" s="1585"/>
      <c r="N1664" s="1585"/>
      <c r="O1664" s="1585"/>
      <c r="P1664" s="1694"/>
      <c r="Q1664" s="2325"/>
      <c r="R1664" s="2325"/>
      <c r="S1664" s="2325"/>
      <c r="T1664" s="1314"/>
      <c r="U1664" s="1314"/>
      <c r="V1664" s="1314"/>
      <c r="W1664" s="1314"/>
      <c r="X1664" s="1314"/>
    </row>
    <row r="1665" spans="1:24" ht="12.75" customHeight="1">
      <c r="A1665" s="1673" t="s">
        <v>2780</v>
      </c>
      <c r="B1665" s="1053" t="s">
        <v>4150</v>
      </c>
      <c r="C1665" s="1573"/>
      <c r="D1665" s="1573"/>
      <c r="E1665" s="2425">
        <f>$O$359</f>
        <v>0</v>
      </c>
      <c r="F1665" s="1585" t="str">
        <f>$A$365</f>
        <v>Co-Developer 2</v>
      </c>
      <c r="G1665" s="1585"/>
      <c r="H1665" s="1585"/>
      <c r="I1665" s="1585"/>
      <c r="J1665" s="1585"/>
      <c r="K1665" s="1585"/>
      <c r="L1665" s="1585"/>
      <c r="M1665" s="1585"/>
      <c r="N1665" s="1585"/>
      <c r="O1665" s="1585"/>
      <c r="P1665" s="1694"/>
      <c r="Q1665" s="2325"/>
      <c r="R1665" s="2325"/>
      <c r="S1665" s="2325"/>
      <c r="T1665" s="1314"/>
      <c r="U1665" s="1314"/>
      <c r="V1665" s="1314"/>
      <c r="W1665" s="1314"/>
      <c r="X1665" s="1314"/>
    </row>
    <row r="1666" spans="1:24" ht="12.75" customHeight="1">
      <c r="A1666" s="1673" t="s">
        <v>2250</v>
      </c>
      <c r="B1666" s="1053" t="s">
        <v>4151</v>
      </c>
      <c r="C1666" s="1573"/>
      <c r="D1666" s="1573"/>
      <c r="E1666" s="2424">
        <f>O2017</f>
        <v>0</v>
      </c>
      <c r="F1666" s="1585" t="str">
        <f>$A$380</f>
        <v>I.</v>
      </c>
      <c r="G1666" s="1585"/>
      <c r="H1666" s="1585"/>
      <c r="I1666" s="1585"/>
      <c r="J1666" s="1585"/>
      <c r="K1666" s="1585"/>
      <c r="L1666" s="1585"/>
      <c r="M1666" s="1585"/>
      <c r="N1666" s="1585"/>
      <c r="O1666" s="1585"/>
      <c r="P1666" s="1694"/>
      <c r="Q1666" s="2325"/>
      <c r="R1666" s="2325"/>
      <c r="S1666" s="2325"/>
      <c r="T1666" s="1314"/>
      <c r="U1666" s="1314"/>
      <c r="V1666" s="1314"/>
      <c r="W1666" s="1314"/>
      <c r="X1666" s="1314"/>
    </row>
    <row r="1667" spans="1:24" ht="12.75" customHeight="1">
      <c r="A1667" s="1673" t="s">
        <v>4098</v>
      </c>
      <c r="B1667" s="1053" t="s">
        <v>4152</v>
      </c>
      <c r="C1667" s="1573"/>
      <c r="D1667" s="1573"/>
      <c r="E1667" s="2424">
        <f>$O$384</f>
        <v>0</v>
      </c>
      <c r="F1667" s="1585">
        <f>$A$416</f>
        <v>0</v>
      </c>
      <c r="G1667" s="1585"/>
      <c r="H1667" s="1585"/>
      <c r="I1667" s="1585"/>
      <c r="J1667" s="1585"/>
      <c r="K1667" s="1585"/>
      <c r="L1667" s="1585"/>
      <c r="M1667" s="1585"/>
      <c r="N1667" s="1585"/>
      <c r="O1667" s="1585"/>
      <c r="P1667" s="1694"/>
      <c r="Q1667" s="2325"/>
      <c r="R1667" s="2325"/>
      <c r="S1667" s="2325"/>
      <c r="T1667" s="1314"/>
      <c r="U1667" s="1314"/>
      <c r="V1667" s="1314"/>
      <c r="W1667" s="1314"/>
      <c r="X1667" s="1314"/>
    </row>
    <row r="1668" spans="1:24" ht="12.75" customHeight="1">
      <c r="A1668" s="1673" t="s">
        <v>4099</v>
      </c>
      <c r="B1668" s="1053" t="s">
        <v>4154</v>
      </c>
      <c r="C1668" s="1573"/>
      <c r="D1668" s="1573"/>
      <c r="E1668" s="2425">
        <f>$O$420</f>
        <v>0</v>
      </c>
      <c r="F1668" s="1585">
        <f>$A$436</f>
        <v>0</v>
      </c>
      <c r="G1668" s="1585"/>
      <c r="H1668" s="1585"/>
      <c r="I1668" s="1585"/>
      <c r="J1668" s="1585"/>
      <c r="K1668" s="1585"/>
      <c r="L1668" s="1585"/>
      <c r="M1668" s="1585"/>
      <c r="N1668" s="1585"/>
      <c r="O1668" s="1585"/>
      <c r="P1668" s="1694"/>
      <c r="Q1668" s="2325"/>
      <c r="R1668" s="2325"/>
      <c r="S1668" s="2325"/>
      <c r="T1668" s="1314"/>
      <c r="U1668" s="1314"/>
      <c r="V1668" s="1314"/>
      <c r="W1668" s="1314"/>
      <c r="X1668" s="1314"/>
    </row>
    <row r="1669" spans="1:24" ht="14.4">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2426" t="s">
        <v>615</v>
      </c>
      <c r="B1670" s="2362" t="s">
        <v>2782</v>
      </c>
      <c r="C1670" s="1314"/>
      <c r="D1670" s="1314"/>
      <c r="E1670" s="1314"/>
      <c r="F1670" s="1578"/>
      <c r="G1670" s="1314"/>
      <c r="H1670" s="1335" t="s">
        <v>5339</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4.4">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1982</v>
      </c>
      <c r="B1672" s="1317" t="s">
        <v>4800</v>
      </c>
      <c r="C1672" s="1314"/>
      <c r="D1672" s="1317"/>
      <c r="E1672" s="1317"/>
      <c r="F1672" s="1578"/>
      <c r="G1672" s="1314"/>
      <c r="H1672" s="1314"/>
      <c r="I1672" s="1314"/>
      <c r="J1672" s="1314"/>
      <c r="K1672" s="1314"/>
      <c r="L1672" s="1314"/>
      <c r="M1672" s="1313"/>
      <c r="N1672" s="1620" t="s">
        <v>1982</v>
      </c>
      <c r="O1672" s="1314"/>
      <c r="P1672" s="1314"/>
      <c r="Q1672" s="1314"/>
      <c r="R1672" s="1314"/>
      <c r="S1672" s="1314"/>
      <c r="T1672" s="1314"/>
      <c r="U1672" s="1314"/>
      <c r="V1672" s="1314"/>
      <c r="W1672" s="1314"/>
      <c r="X1672" s="1314"/>
    </row>
    <row r="1673" spans="1:24" ht="14.4">
      <c r="A1673" s="1511"/>
      <c r="B1673" s="2427" t="s">
        <v>1985</v>
      </c>
      <c r="C1673" s="1317" t="s">
        <v>4803</v>
      </c>
      <c r="D1673" s="1317"/>
      <c r="E1673" s="1317"/>
      <c r="F1673" s="1578"/>
      <c r="G1673" s="1659"/>
      <c r="H1673" s="1335" t="s">
        <v>3646</v>
      </c>
      <c r="I1673" s="1659"/>
      <c r="J1673" s="1549"/>
      <c r="K1673" s="1659"/>
      <c r="L1673" s="1659"/>
      <c r="M1673" s="1313"/>
      <c r="N1673" s="1684" t="s">
        <v>1985</v>
      </c>
      <c r="O1673" s="1607">
        <f>'Part IX Scoring Criteria'!O25</f>
        <v>0</v>
      </c>
      <c r="P1673" s="1607">
        <f>F1681</f>
        <v>0</v>
      </c>
      <c r="Q1673" s="1659"/>
      <c r="R1673" s="1659"/>
      <c r="S1673" s="1659"/>
      <c r="T1673" s="1659"/>
      <c r="U1673" s="1659"/>
      <c r="V1673" s="1659"/>
      <c r="W1673" s="1659"/>
      <c r="X1673" s="1659"/>
    </row>
    <row r="1674" spans="1:24" ht="14.4">
      <c r="A1674" s="1511"/>
      <c r="B1674" s="2427" t="s">
        <v>1987</v>
      </c>
      <c r="C1674" s="1317" t="s">
        <v>5340</v>
      </c>
      <c r="D1674" s="1317"/>
      <c r="E1674" s="1317"/>
      <c r="F1674" s="1578"/>
      <c r="G1674" s="1659"/>
      <c r="H1674" s="1335" t="s">
        <v>4801</v>
      </c>
      <c r="I1674" s="1659"/>
      <c r="J1674" s="1549"/>
      <c r="K1674" s="1659"/>
      <c r="L1674" s="1659"/>
      <c r="M1674" s="1313"/>
      <c r="N1674" s="1684" t="s">
        <v>1987</v>
      </c>
      <c r="O1674" s="1607">
        <f>'Part IX Scoring Criteria'!O26</f>
        <v>0</v>
      </c>
      <c r="P1674" s="1607">
        <f>J1681</f>
        <v>0</v>
      </c>
      <c r="Q1674" s="1659"/>
      <c r="R1674" s="1659"/>
      <c r="S1674" s="1659"/>
      <c r="T1674" s="1659"/>
      <c r="U1674" s="1659"/>
      <c r="V1674" s="1659"/>
      <c r="W1674" s="1659"/>
      <c r="X1674" s="1659"/>
    </row>
    <row r="1675" spans="1:24" ht="14.4">
      <c r="A1675" s="1511"/>
      <c r="B1675" s="2427" t="s">
        <v>2533</v>
      </c>
      <c r="C1675" s="1317" t="s">
        <v>4802</v>
      </c>
      <c r="D1675" s="1317"/>
      <c r="E1675" s="1317"/>
      <c r="F1675" s="1578"/>
      <c r="G1675" s="1659"/>
      <c r="H1675" s="1335" t="s">
        <v>4806</v>
      </c>
      <c r="I1675" s="1659"/>
      <c r="J1675" s="1549"/>
      <c r="K1675" s="1659"/>
      <c r="L1675" s="1659"/>
      <c r="M1675" s="1313"/>
      <c r="N1675" s="1684" t="s">
        <v>2533</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5118</v>
      </c>
      <c r="D1676" s="1573"/>
      <c r="E1676" s="1573"/>
      <c r="F1676" s="1573"/>
      <c r="G1676" s="1573"/>
      <c r="H1676" s="1573"/>
      <c r="I1676" s="1573"/>
      <c r="J1676" s="1573"/>
      <c r="K1676" s="1573"/>
      <c r="L1676" s="1573"/>
      <c r="M1676" s="1573"/>
      <c r="N1676" s="1573"/>
      <c r="O1676" s="1573"/>
      <c r="P1676" s="1573"/>
      <c r="Q1676" s="2384"/>
      <c r="R1676" s="2384"/>
      <c r="S1676" s="1659"/>
      <c r="T1676" s="1659"/>
      <c r="U1676" s="1659"/>
      <c r="V1676" s="1659"/>
      <c r="W1676" s="1659"/>
      <c r="X1676" s="1659"/>
    </row>
    <row r="1677" spans="1:24" ht="14.4">
      <c r="A1677" s="1578"/>
      <c r="B1677" s="1696"/>
      <c r="C1677" s="2428"/>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1984</v>
      </c>
      <c r="B1678" s="1317" t="s">
        <v>725</v>
      </c>
      <c r="C1678" s="1314"/>
      <c r="D1678" s="1317"/>
      <c r="E1678" s="1317"/>
      <c r="F1678" s="1578"/>
      <c r="G1678" s="1314"/>
      <c r="H1678" s="1335" t="s">
        <v>4552</v>
      </c>
      <c r="I1678" s="1314"/>
      <c r="J1678" s="1549"/>
      <c r="K1678" s="1314"/>
      <c r="L1678" s="1314"/>
      <c r="M1678" s="1313"/>
      <c r="N1678" s="1620" t="s">
        <v>1984</v>
      </c>
      <c r="O1678" s="1607">
        <f>'Part IX Scoring Criteria'!O30</f>
        <v>0</v>
      </c>
      <c r="P1678" s="1607">
        <f>O1681</f>
        <v>0</v>
      </c>
      <c r="Q1678" s="1314"/>
      <c r="R1678" s="1314"/>
      <c r="S1678" s="1314"/>
      <c r="T1678" s="1314"/>
      <c r="U1678" s="1314"/>
      <c r="V1678" s="1314"/>
      <c r="W1678" s="1314"/>
      <c r="X1678" s="1314"/>
    </row>
    <row r="1679" spans="1:24" ht="14.4">
      <c r="A1679" s="1578"/>
      <c r="B1679" s="1696"/>
      <c r="C1679" s="2428"/>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5013</v>
      </c>
      <c r="B1680" s="1342"/>
      <c r="C1680" s="1342"/>
      <c r="D1680" s="1342"/>
      <c r="E1680" s="1342"/>
      <c r="F1680" s="1639" t="s">
        <v>4142</v>
      </c>
      <c r="G1680" s="1550" t="s">
        <v>5014</v>
      </c>
      <c r="H1680" s="1550"/>
      <c r="I1680" s="1550"/>
      <c r="J1680" s="1639" t="s">
        <v>4142</v>
      </c>
      <c r="K1680" s="1638" t="s">
        <v>4799</v>
      </c>
      <c r="L1680" s="1638"/>
      <c r="M1680" s="1638"/>
      <c r="N1680" s="1638"/>
      <c r="O1680" s="1335" t="s">
        <v>4142</v>
      </c>
      <c r="P1680" s="1335"/>
      <c r="Q1680" s="1314"/>
      <c r="R1680" s="2422"/>
      <c r="S1680" s="2383"/>
      <c r="T1680" s="1314"/>
      <c r="U1680" s="1314"/>
      <c r="V1680" s="1314"/>
      <c r="W1680" s="1314"/>
      <c r="X1680" s="1314"/>
    </row>
    <row r="1681" spans="1:24" ht="20.399999999999999">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2422"/>
      <c r="R1681" s="2383"/>
      <c r="S1681" s="1314"/>
      <c r="T1681" s="1314"/>
      <c r="U1681" s="1314"/>
      <c r="V1681" s="1314"/>
      <c r="W1681" s="1314"/>
      <c r="X1681" s="1314"/>
    </row>
    <row r="1682" spans="1:24" ht="20.399999999999999">
      <c r="A1682" s="1573">
        <v>1</v>
      </c>
      <c r="B1682" s="1573"/>
      <c r="C1682" s="1573"/>
      <c r="D1682" s="1573"/>
      <c r="E1682" s="1573"/>
      <c r="F1682" s="1694"/>
      <c r="G1682" s="1573">
        <v>1</v>
      </c>
      <c r="H1682" s="1573"/>
      <c r="I1682" s="1573"/>
      <c r="J1682" s="2425" t="s">
        <v>1732</v>
      </c>
      <c r="K1682" s="1573">
        <v>1</v>
      </c>
      <c r="L1682" s="1573"/>
      <c r="M1682" s="1573"/>
      <c r="N1682" s="1573"/>
      <c r="O1682" s="1583" t="s">
        <v>1732</v>
      </c>
      <c r="P1682" s="1583"/>
      <c r="Q1682" s="2384" t="s">
        <v>1253</v>
      </c>
      <c r="R1682" s="2383"/>
      <c r="S1682" s="1314"/>
      <c r="T1682" s="1314"/>
      <c r="U1682" s="1314"/>
      <c r="V1682" s="1314"/>
      <c r="W1682" s="1314"/>
      <c r="X1682" s="1314"/>
    </row>
    <row r="1683" spans="1:24" ht="20.399999999999999">
      <c r="A1683" s="1573">
        <v>2</v>
      </c>
      <c r="B1683" s="1573"/>
      <c r="C1683" s="1573"/>
      <c r="D1683" s="1573"/>
      <c r="E1683" s="1573"/>
      <c r="F1683" s="1694"/>
      <c r="G1683" s="1573">
        <v>2</v>
      </c>
      <c r="H1683" s="1573"/>
      <c r="I1683" s="1573"/>
      <c r="J1683" s="1694"/>
      <c r="K1683" s="1573">
        <v>2</v>
      </c>
      <c r="L1683" s="1573"/>
      <c r="M1683" s="1573"/>
      <c r="N1683" s="1573"/>
      <c r="O1683" s="1521"/>
      <c r="P1683" s="1521"/>
      <c r="Q1683" s="2384"/>
      <c r="R1683" s="2383"/>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2429" t="s">
        <v>2903</v>
      </c>
      <c r="K1684" s="1573">
        <v>3</v>
      </c>
      <c r="L1684" s="1573"/>
      <c r="M1684" s="1573"/>
      <c r="N1684" s="1573"/>
      <c r="O1684" s="1583" t="s">
        <v>2903</v>
      </c>
      <c r="P1684" s="1583"/>
      <c r="Q1684" s="1319" t="s">
        <v>5341</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2903</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2429" t="s">
        <v>3583</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399999999999999">
      <c r="A1688" s="1573">
        <v>7</v>
      </c>
      <c r="B1688" s="1573"/>
      <c r="C1688" s="1573"/>
      <c r="D1688" s="1573"/>
      <c r="E1688" s="1573"/>
      <c r="F1688" s="1694"/>
      <c r="G1688" s="1573">
        <v>7</v>
      </c>
      <c r="H1688" s="1573"/>
      <c r="I1688" s="1573"/>
      <c r="J1688" s="2429" t="s">
        <v>3584</v>
      </c>
      <c r="K1688" s="1573">
        <v>7</v>
      </c>
      <c r="L1688" s="1573"/>
      <c r="M1688" s="1573"/>
      <c r="N1688" s="1573"/>
      <c r="O1688" s="1521"/>
      <c r="P1688" s="1521"/>
      <c r="Q1688" s="2383"/>
      <c r="R1688" s="2383"/>
      <c r="S1688" s="1314"/>
      <c r="T1688" s="1314"/>
      <c r="U1688" s="1314"/>
      <c r="V1688" s="1314"/>
      <c r="W1688" s="1314"/>
      <c r="X1688" s="1314"/>
    </row>
    <row r="1689" spans="1:24" ht="20.399999999999999">
      <c r="A1689" s="1573">
        <v>8</v>
      </c>
      <c r="B1689" s="1573"/>
      <c r="C1689" s="1573"/>
      <c r="D1689" s="1573"/>
      <c r="E1689" s="1573"/>
      <c r="F1689" s="1694"/>
      <c r="G1689" s="1573">
        <v>8</v>
      </c>
      <c r="H1689" s="1573"/>
      <c r="I1689" s="1573"/>
      <c r="J1689" s="1694"/>
      <c r="K1689" s="1573">
        <v>8</v>
      </c>
      <c r="L1689" s="1573"/>
      <c r="M1689" s="1573"/>
      <c r="N1689" s="1573"/>
      <c r="O1689" s="1521"/>
      <c r="P1689" s="1521"/>
      <c r="Q1689" s="2383"/>
      <c r="R1689" s="2383"/>
      <c r="S1689" s="1314"/>
      <c r="T1689" s="1314"/>
      <c r="U1689" s="1314"/>
      <c r="V1689" s="1314"/>
      <c r="W1689" s="1314"/>
      <c r="X1689" s="1314"/>
    </row>
    <row r="1690" spans="1:24" ht="20.399999999999999">
      <c r="A1690" s="1573">
        <v>9</v>
      </c>
      <c r="B1690" s="1573"/>
      <c r="C1690" s="1573"/>
      <c r="D1690" s="1573"/>
      <c r="E1690" s="1573"/>
      <c r="F1690" s="1694"/>
      <c r="G1690" s="1573">
        <v>9</v>
      </c>
      <c r="H1690" s="1573"/>
      <c r="I1690" s="1573"/>
      <c r="J1690" s="2429" t="s">
        <v>3585</v>
      </c>
      <c r="K1690" s="1573">
        <v>9</v>
      </c>
      <c r="L1690" s="1573"/>
      <c r="M1690" s="1573"/>
      <c r="N1690" s="1573"/>
      <c r="O1690" s="1521"/>
      <c r="P1690" s="1521"/>
      <c r="Q1690" s="2383"/>
      <c r="R1690" s="2383"/>
      <c r="S1690" s="1314"/>
      <c r="T1690" s="1314"/>
      <c r="U1690" s="1314"/>
      <c r="V1690" s="1314"/>
      <c r="W1690" s="1314"/>
      <c r="X1690" s="1314"/>
    </row>
    <row r="1691" spans="1:24" ht="20.399999999999999">
      <c r="A1691" s="1573">
        <v>10</v>
      </c>
      <c r="B1691" s="1573"/>
      <c r="C1691" s="1573"/>
      <c r="D1691" s="1573"/>
      <c r="E1691" s="1573"/>
      <c r="F1691" s="1694"/>
      <c r="G1691" s="1573">
        <v>10</v>
      </c>
      <c r="H1691" s="1573"/>
      <c r="I1691" s="1573"/>
      <c r="J1691" s="1694"/>
      <c r="K1691" s="1573">
        <v>10</v>
      </c>
      <c r="L1691" s="1573"/>
      <c r="M1691" s="1573"/>
      <c r="N1691" s="1573"/>
      <c r="O1691" s="1521"/>
      <c r="P1691" s="1521"/>
      <c r="Q1691" s="2383"/>
      <c r="R1691" s="1314"/>
      <c r="S1691" s="1314"/>
      <c r="T1691" s="1314"/>
      <c r="U1691" s="1314"/>
      <c r="V1691" s="1314"/>
      <c r="W1691" s="1314"/>
      <c r="X1691" s="1314"/>
    </row>
    <row r="1692" spans="1:24" ht="20.399999999999999">
      <c r="A1692" s="1573">
        <v>11</v>
      </c>
      <c r="B1692" s="1573"/>
      <c r="C1692" s="1573"/>
      <c r="D1692" s="1573"/>
      <c r="E1692" s="1573"/>
      <c r="F1692" s="1694"/>
      <c r="G1692" s="1573">
        <v>11</v>
      </c>
      <c r="H1692" s="1573"/>
      <c r="I1692" s="1573"/>
      <c r="J1692" s="2429" t="s">
        <v>3586</v>
      </c>
      <c r="K1692" s="1573">
        <v>11</v>
      </c>
      <c r="L1692" s="1573"/>
      <c r="M1692" s="1573"/>
      <c r="N1692" s="1573"/>
      <c r="O1692" s="1521"/>
      <c r="P1692" s="1521"/>
      <c r="Q1692" s="2383"/>
      <c r="R1692" s="2383"/>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4.4">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4.4">
      <c r="A1695" s="2426" t="s">
        <v>739</v>
      </c>
      <c r="B1695" s="2362" t="s">
        <v>3587</v>
      </c>
      <c r="C1695" s="1676"/>
      <c r="D1695" s="1676"/>
      <c r="E1695" s="457"/>
      <c r="F1695" s="1676"/>
      <c r="G1695" s="457"/>
      <c r="H1695" s="457"/>
      <c r="I1695" s="1549" t="s">
        <v>3487</v>
      </c>
      <c r="J1695" s="1676"/>
      <c r="K1695" s="1676"/>
      <c r="L1695" s="1676"/>
      <c r="M1695" s="1313">
        <v>3</v>
      </c>
      <c r="N1695" s="1313"/>
      <c r="O1695" s="1546">
        <f>'Part IX Scoring Criteria'!O47</f>
        <v>0</v>
      </c>
      <c r="P1695" s="1546">
        <f>IF(AND(P1699&gt;0,P1703&gt;0),"AorB?",MIN($M$47,P1699+P1703))</f>
        <v>0</v>
      </c>
      <c r="Q1695" s="1313" t="s">
        <v>441</v>
      </c>
      <c r="R1695" s="2415" t="str">
        <f>IF(OR($O1695=$M1695,$O1695=0,$O1695=""),"","* * Check Score! * *")</f>
        <v/>
      </c>
      <c r="S1695" s="1676"/>
      <c r="T1695" s="1676"/>
      <c r="U1695" s="1676"/>
      <c r="V1695" s="1676"/>
      <c r="W1695" s="1676"/>
      <c r="X1695" s="1676"/>
    </row>
    <row r="1696" spans="1:24" ht="14.4">
      <c r="A1696" s="2430"/>
      <c r="B1696" s="2431"/>
      <c r="C1696" s="1659"/>
      <c r="D1696" s="1659"/>
      <c r="E1696" s="457"/>
      <c r="F1696" s="1659" t="s">
        <v>4814</v>
      </c>
      <c r="G1696" s="1638"/>
      <c r="H1696" s="457"/>
      <c r="I1696" s="1549"/>
      <c r="J1696" s="1659"/>
      <c r="K1696" s="1436"/>
      <c r="L1696" s="2432"/>
      <c r="M1696" s="1313"/>
      <c r="N1696" s="1313"/>
      <c r="O1696" s="1546"/>
      <c r="P1696" s="1546"/>
      <c r="Q1696" s="1313"/>
      <c r="R1696" s="2415"/>
      <c r="S1696" s="1659"/>
      <c r="T1696" s="1659"/>
      <c r="U1696" s="1659"/>
      <c r="V1696" s="1659"/>
      <c r="W1696" s="1659"/>
      <c r="X1696" s="1659"/>
    </row>
    <row r="1697" spans="1:24" ht="14.4">
      <c r="A1697" s="1511" t="s">
        <v>1982</v>
      </c>
      <c r="B1697" s="1723" t="s">
        <v>2624</v>
      </c>
      <c r="C1697" s="1659"/>
      <c r="D1697" s="1659"/>
      <c r="E1697" s="457"/>
      <c r="F1697" s="1659"/>
      <c r="G1697" s="1638"/>
      <c r="H1697" s="1051" t="s">
        <v>5015</v>
      </c>
      <c r="I1697" s="1659"/>
      <c r="J1697" s="2433"/>
      <c r="K1697" s="2433" t="str">
        <f>'Part I-Project Information'!$K$94</f>
        <v>40% of Units at 60% of AMI</v>
      </c>
      <c r="L1697" s="1659"/>
      <c r="M1697" s="1313"/>
      <c r="N1697" s="1313"/>
      <c r="O1697" s="1659"/>
      <c r="P1697" s="1659"/>
      <c r="Q1697" s="1313"/>
      <c r="R1697" s="2415"/>
      <c r="S1697" s="1659"/>
      <c r="T1697" s="1659"/>
      <c r="U1697" s="1659"/>
      <c r="V1697" s="1659"/>
      <c r="W1697" s="1659"/>
      <c r="X1697" s="1659"/>
    </row>
    <row r="1698" spans="1:24" ht="15" customHeight="1">
      <c r="A1698" s="1511"/>
      <c r="B1698" s="1721" t="s">
        <v>4808</v>
      </c>
      <c r="C1698" s="1721"/>
      <c r="D1698" s="1721"/>
      <c r="E1698" s="1721"/>
      <c r="F1698" s="1721"/>
      <c r="G1698" s="1721"/>
      <c r="H1698" s="1721"/>
      <c r="I1698" s="1721"/>
      <c r="J1698" s="1721"/>
      <c r="K1698" s="1721"/>
      <c r="L1698" s="1721"/>
      <c r="M1698" s="1313"/>
      <c r="N1698" s="1313"/>
      <c r="O1698" s="1676"/>
      <c r="P1698" s="1676"/>
      <c r="Q1698" s="1313"/>
      <c r="R1698" s="2415"/>
      <c r="S1698" s="1676"/>
      <c r="T1698" s="1676"/>
      <c r="U1698" s="1676"/>
      <c r="V1698" s="1676"/>
      <c r="W1698" s="1676"/>
      <c r="X1698" s="1676"/>
    </row>
    <row r="1699" spans="1:24" ht="14.4">
      <c r="A1699" s="1676"/>
      <c r="B1699" s="1721"/>
      <c r="C1699" s="1721"/>
      <c r="D1699" s="1721"/>
      <c r="E1699" s="1721"/>
      <c r="F1699" s="1721"/>
      <c r="G1699" s="1721"/>
      <c r="H1699" s="1721"/>
      <c r="I1699" s="1721"/>
      <c r="J1699" s="1721"/>
      <c r="K1699" s="1721"/>
      <c r="L1699" s="1721"/>
      <c r="M1699" s="1316">
        <v>2</v>
      </c>
      <c r="N1699" s="1684" t="s">
        <v>1982</v>
      </c>
      <c r="O1699" s="1685">
        <f>'Part IX Scoring Criteria'!O51</f>
        <v>0</v>
      </c>
      <c r="P1699" s="1685">
        <f>MIN($M1699, P1700+P1701)</f>
        <v>0</v>
      </c>
      <c r="Q1699" s="1676"/>
      <c r="R1699" s="1676"/>
      <c r="S1699" s="1676"/>
      <c r="T1699" s="1676"/>
      <c r="U1699" s="1676"/>
      <c r="V1699" s="1676"/>
      <c r="W1699" s="1676"/>
      <c r="X1699" s="1676"/>
    </row>
    <row r="1700" spans="1:24" ht="14.4">
      <c r="A1700" s="1511"/>
      <c r="B1700" s="2434" t="s">
        <v>1985</v>
      </c>
      <c r="C1700" s="2435" t="s">
        <v>4809</v>
      </c>
      <c r="D1700" s="457"/>
      <c r="E1700" s="1676"/>
      <c r="F1700" s="1676"/>
      <c r="G1700" s="1676"/>
      <c r="H1700" s="457" t="s">
        <v>4810</v>
      </c>
      <c r="I1700" s="1335"/>
      <c r="J1700" s="1676"/>
      <c r="K1700" s="2436">
        <f>'Part VI-Revenues &amp; Expenses'!B1697</f>
        <v>0</v>
      </c>
      <c r="L1700" s="1342" t="str">
        <f>IF(AND(O1700&gt;0,O1701&gt;0), "CHOOSE EITHER A OR B, NOT BOTH!", "")</f>
        <v/>
      </c>
      <c r="M1700" s="1316">
        <v>2</v>
      </c>
      <c r="N1700" s="1696" t="s">
        <v>1985</v>
      </c>
      <c r="O1700" s="1546">
        <f>'Part IX Scoring Criteria'!O52</f>
        <v>0</v>
      </c>
      <c r="P1700" s="1546"/>
      <c r="Q1700" s="2437" t="str">
        <f>IF(OR($O1700=$M1700,$O1700=0,$O1700=""),"","*CHECK!*")</f>
        <v/>
      </c>
      <c r="R1700" s="1335" t="s">
        <v>2705</v>
      </c>
      <c r="S1700" s="1676"/>
      <c r="T1700" s="1676"/>
      <c r="U1700" s="1676"/>
      <c r="V1700" s="1676"/>
      <c r="W1700" s="1676"/>
      <c r="X1700" s="1676"/>
    </row>
    <row r="1701" spans="1:24" ht="14.4">
      <c r="A1701" s="1620" t="s">
        <v>3342</v>
      </c>
      <c r="B1701" s="2434" t="s">
        <v>1987</v>
      </c>
      <c r="C1701" s="2435" t="s">
        <v>4811</v>
      </c>
      <c r="D1701" s="457"/>
      <c r="E1701" s="1676"/>
      <c r="F1701" s="1676"/>
      <c r="G1701" s="1676"/>
      <c r="H1701" s="1676"/>
      <c r="I1701" s="1335"/>
      <c r="J1701" s="1676"/>
      <c r="K1701" s="457"/>
      <c r="L1701" s="1342"/>
      <c r="M1701" s="1316">
        <v>2</v>
      </c>
      <c r="N1701" s="1696" t="s">
        <v>1987</v>
      </c>
      <c r="O1701" s="1546">
        <f>'Part IX Scoring Criteria'!O53</f>
        <v>0</v>
      </c>
      <c r="P1701" s="1546"/>
      <c r="Q1701" s="2437" t="str">
        <f>IF(OR($O1701=$M1701,$O1701=0,$O1701=""),"","*CHECK!*")</f>
        <v/>
      </c>
      <c r="R1701" s="1335" t="s">
        <v>2705</v>
      </c>
      <c r="S1701" s="1676"/>
      <c r="T1701" s="1676"/>
      <c r="U1701" s="1676"/>
      <c r="V1701" s="1676"/>
      <c r="W1701" s="1676"/>
      <c r="X1701" s="1676"/>
    </row>
    <row r="1702" spans="1:24" ht="14.4">
      <c r="A1702" s="1578"/>
      <c r="B1702" s="1696"/>
      <c r="C1702" s="2428"/>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4.4">
      <c r="A1703" s="1511" t="s">
        <v>1984</v>
      </c>
      <c r="B1703" s="1723" t="s">
        <v>5342</v>
      </c>
      <c r="C1703" s="1689"/>
      <c r="D1703" s="1689"/>
      <c r="E1703" s="1638"/>
      <c r="F1703" s="1689"/>
      <c r="G1703" s="1689"/>
      <c r="H1703" s="1335" t="s">
        <v>4812</v>
      </c>
      <c r="I1703" s="1335"/>
      <c r="J1703" s="2438" t="s">
        <v>4813</v>
      </c>
      <c r="K1703" s="1689"/>
      <c r="L1703" s="1689"/>
      <c r="M1703" s="1316">
        <v>3</v>
      </c>
      <c r="N1703" s="1627" t="s">
        <v>1984</v>
      </c>
      <c r="O1703" s="1685">
        <f>'Part IX Scoring Criteria'!O55</f>
        <v>0</v>
      </c>
      <c r="P1703" s="1685">
        <f>IF(AND(P1704="Yes", P1705="Yes"),$M$55,0)</f>
        <v>0</v>
      </c>
      <c r="Q1703" s="1689"/>
      <c r="R1703" s="1689"/>
      <c r="S1703" s="1689"/>
      <c r="T1703" s="1689"/>
      <c r="U1703" s="1689"/>
      <c r="V1703" s="1689"/>
      <c r="W1703" s="1689"/>
      <c r="X1703" s="1689"/>
    </row>
    <row r="1704" spans="1:24" ht="14.4">
      <c r="A1704" s="2439"/>
      <c r="B1704" s="2434" t="s">
        <v>1985</v>
      </c>
      <c r="C1704" s="2440">
        <v>0.3</v>
      </c>
      <c r="D1704" s="1053" t="s">
        <v>3649</v>
      </c>
      <c r="E1704" s="1638"/>
      <c r="F1704" s="1647"/>
      <c r="G1704" s="1689"/>
      <c r="H1704" s="2441">
        <f>'Part IX Scoring Criteria'!H56</f>
        <v>0</v>
      </c>
      <c r="I1704" s="2441"/>
      <c r="J1704" s="2442">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1985</v>
      </c>
      <c r="O1704" s="1685" t="str">
        <f>'Part IX Scoring Criteria'!O56</f>
        <v>No</v>
      </c>
      <c r="P1704" s="1685" t="str">
        <f>IF(AND(L1704 &gt;= $C$56,P1705="Yes"),"Yes","No")</f>
        <v>No</v>
      </c>
      <c r="Q1704" s="1689"/>
      <c r="R1704" s="1689"/>
      <c r="S1704" s="1689"/>
      <c r="T1704" s="1689"/>
      <c r="U1704" s="1689"/>
      <c r="V1704" s="1689"/>
      <c r="W1704" s="1689"/>
      <c r="X1704" s="1689"/>
    </row>
    <row r="1705" spans="1:24" ht="14.4">
      <c r="A1705" s="1578"/>
      <c r="B1705" s="2434" t="s">
        <v>1987</v>
      </c>
      <c r="C1705" s="1532" t="s">
        <v>3953</v>
      </c>
      <c r="D1705" s="1689"/>
      <c r="E1705" s="2443"/>
      <c r="F1705" s="1647"/>
      <c r="G1705" s="1689"/>
      <c r="H1705" s="1689"/>
      <c r="I1705" s="1654"/>
      <c r="J1705" s="1654"/>
      <c r="K1705" s="1654"/>
      <c r="L1705" s="1654"/>
      <c r="M1705" s="1654"/>
      <c r="N1705" s="1684" t="s">
        <v>1987</v>
      </c>
      <c r="O1705" s="1578">
        <f>'Part IX Scoring Criteria'!O57</f>
        <v>0</v>
      </c>
      <c r="P1705" s="1578"/>
      <c r="Q1705" s="1689"/>
      <c r="R1705" s="1689"/>
      <c r="S1705" s="1689"/>
      <c r="T1705" s="1689"/>
      <c r="U1705" s="1689"/>
      <c r="V1705" s="1689"/>
      <c r="W1705" s="1689"/>
      <c r="X1705" s="1689"/>
    </row>
    <row r="1706" spans="1:24" ht="14.4">
      <c r="A1706" s="1314"/>
      <c r="B1706" s="1549" t="s">
        <v>1865</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2384"/>
      <c r="R1707" s="1659"/>
      <c r="S1707" s="1659"/>
      <c r="T1707" s="1659"/>
      <c r="U1707" s="1659"/>
      <c r="V1707" s="1659"/>
      <c r="W1707" s="1659"/>
      <c r="X1707" s="1659"/>
    </row>
    <row r="1708" spans="1:24">
      <c r="N1708" s="1320"/>
      <c r="O1708" s="1320"/>
      <c r="P1708" s="1320"/>
    </row>
    <row r="1709" spans="1:24" ht="15.75" customHeight="1">
      <c r="A1709" s="2426" t="s">
        <v>741</v>
      </c>
      <c r="B1709" s="2362" t="s">
        <v>4093</v>
      </c>
      <c r="C1709" s="1659"/>
      <c r="D1709" s="1695"/>
      <c r="E1709" s="1659"/>
      <c r="F1709" s="1659"/>
      <c r="G1709" s="1659"/>
      <c r="H1709" s="1659"/>
      <c r="I1709" s="1468" t="s">
        <v>3767</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4.4">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4.4">
      <c r="A1711" s="1511"/>
      <c r="B1711" s="457" t="s">
        <v>3852</v>
      </c>
      <c r="C1711" s="1676"/>
      <c r="D1711" s="1314"/>
      <c r="E1711" s="1676"/>
      <c r="F1711" s="1676"/>
      <c r="G1711" s="1676"/>
      <c r="H1711" s="1676"/>
      <c r="I1711" s="1676"/>
      <c r="J1711" s="1676"/>
      <c r="K1711" s="1676"/>
      <c r="L1711" s="1676"/>
      <c r="M1711" s="1676"/>
      <c r="N1711" s="1620"/>
      <c r="O1711" s="1578" t="str">
        <f>'Part IX Scoring Criteria'!O63</f>
        <v>Yes</v>
      </c>
      <c r="P1711" s="1578"/>
      <c r="Q1711" s="1676"/>
      <c r="R1711" s="1676"/>
      <c r="S1711" s="1676"/>
      <c r="T1711" s="1676"/>
      <c r="U1711" s="1676"/>
      <c r="V1711" s="1676"/>
      <c r="W1711" s="1676"/>
      <c r="X1711" s="1676"/>
    </row>
    <row r="1712" spans="1:24" ht="15" customHeight="1">
      <c r="A1712" s="1511" t="s">
        <v>1982</v>
      </c>
      <c r="B1712" s="1317" t="s">
        <v>1873</v>
      </c>
      <c r="C1712" s="1314"/>
      <c r="D1712" s="1314"/>
      <c r="E1712" s="1676"/>
      <c r="F1712" s="1330"/>
      <c r="G1712" s="1676"/>
      <c r="H1712" s="1377" t="s">
        <v>2717</v>
      </c>
      <c r="I1712" s="1468" t="s">
        <v>5343</v>
      </c>
      <c r="J1712" s="1468"/>
      <c r="K1712" s="1468"/>
      <c r="L1712" s="1468"/>
      <c r="M1712" s="1313">
        <v>10</v>
      </c>
      <c r="N1712" s="1696" t="s">
        <v>1982</v>
      </c>
      <c r="O1712" s="1546">
        <f>'Part IX Scoring Criteria'!O64</f>
        <v>10</v>
      </c>
      <c r="P1712" s="1546"/>
      <c r="Q1712" s="2437" t="str">
        <f>IF(OR($O1712=$M1712,$O1712=0,$O1712=""),"","*CHECK!*")</f>
        <v/>
      </c>
      <c r="R1712" s="1676"/>
      <c r="S1712" s="1676"/>
      <c r="T1712" s="1676"/>
      <c r="U1712" s="1676"/>
      <c r="V1712" s="1676"/>
      <c r="W1712" s="1676"/>
      <c r="X1712" s="1676"/>
    </row>
    <row r="1713" spans="1:24" ht="14.4">
      <c r="A1713" s="1511" t="s">
        <v>1984</v>
      </c>
      <c r="B1713" s="1317" t="s">
        <v>3841</v>
      </c>
      <c r="C1713" s="1676"/>
      <c r="D1713" s="1724"/>
      <c r="E1713" s="1676"/>
      <c r="F1713" s="2329"/>
      <c r="G1713" s="1676"/>
      <c r="H1713" s="1377" t="s">
        <v>3982</v>
      </c>
      <c r="I1713" s="1468"/>
      <c r="J1713" s="1468"/>
      <c r="K1713" s="1468"/>
      <c r="L1713" s="1468"/>
      <c r="M1713" s="1578" t="s">
        <v>1237</v>
      </c>
      <c r="N1713" s="1620" t="s">
        <v>1984</v>
      </c>
      <c r="O1713" s="1546">
        <f>'Part IX Scoring Criteria'!O65</f>
        <v>0</v>
      </c>
      <c r="P1713" s="1546"/>
      <c r="Q1713" s="1676"/>
      <c r="R1713" s="1676"/>
      <c r="S1713" s="1676"/>
      <c r="T1713" s="1676"/>
      <c r="U1713" s="1676"/>
      <c r="V1713" s="1676"/>
      <c r="W1713" s="1676"/>
      <c r="X1713" s="1676"/>
    </row>
    <row r="1714" spans="1:24" ht="14.4">
      <c r="A1714" s="1314"/>
      <c r="B1714" s="1549" t="s">
        <v>3752</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255">
      <c r="A1715" s="1583" t="str">
        <f>'Part IX Scoring Criteria'!A67</f>
        <v xml:space="preserve">Although this section is not required for the Rural HOME Preservations Set Aside, we wanted to show that the project is in a great location within the Leesburg Community. Residents have opportunity to access services and activities within 2 miles of Woodstone Apartments II. </v>
      </c>
      <c r="B1715" s="1583"/>
      <c r="C1715" s="1583"/>
      <c r="D1715" s="1583"/>
      <c r="E1715" s="1583"/>
      <c r="F1715" s="1583"/>
      <c r="G1715" s="1583"/>
      <c r="H1715" s="1583"/>
      <c r="I1715" s="1583"/>
      <c r="J1715" s="1583"/>
      <c r="K1715" s="1583"/>
      <c r="L1715" s="1583"/>
      <c r="M1715" s="1583"/>
      <c r="N1715" s="1583"/>
      <c r="O1715" s="1583"/>
      <c r="P1715" s="1583"/>
      <c r="Q1715" s="2384" t="s">
        <v>1253</v>
      </c>
      <c r="R1715" s="2384"/>
      <c r="S1715" s="1659"/>
      <c r="T1715" s="1659"/>
      <c r="U1715" s="1659"/>
      <c r="V1715" s="1659"/>
      <c r="W1715" s="1659"/>
      <c r="X1715" s="1659"/>
    </row>
    <row r="1716" spans="1:24" ht="14.4">
      <c r="A1716" s="1314"/>
      <c r="B1716" s="1549" t="s">
        <v>1865</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2384"/>
      <c r="R1717" s="2384"/>
      <c r="S1717" s="1659"/>
      <c r="T1717" s="1659"/>
      <c r="U1717" s="1659"/>
      <c r="V1717" s="1659"/>
      <c r="W1717" s="1659"/>
      <c r="X1717" s="1659"/>
    </row>
    <row r="1718" spans="1:24">
      <c r="M1718" s="1314"/>
      <c r="N1718" s="1313"/>
      <c r="O1718" s="1313"/>
      <c r="P1718" s="1313"/>
    </row>
    <row r="1719" spans="1:24" ht="15.75" customHeight="1">
      <c r="A1719" s="2426" t="s">
        <v>1791</v>
      </c>
      <c r="B1719" s="2362" t="s">
        <v>2630</v>
      </c>
      <c r="C1719" s="1659"/>
      <c r="D1719" s="1695"/>
      <c r="E1719" s="1659"/>
      <c r="F1719" s="1659"/>
      <c r="G1719" s="1659"/>
      <c r="H1719" s="1659"/>
      <c r="I1719" s="1659"/>
      <c r="J1719" s="1659"/>
      <c r="K1719" s="1701" t="s">
        <v>1878</v>
      </c>
      <c r="L1719" s="1659"/>
      <c r="M1719" s="1313">
        <v>6</v>
      </c>
      <c r="N1719" s="1620"/>
      <c r="O1719" s="1546">
        <f>'Part IX Scoring Criteria'!O71</f>
        <v>0</v>
      </c>
      <c r="P1719" s="1546">
        <f>IF($J$72="Flexible",MIN($M1719,MAX(P1734,P1740)),IF(AND($J$72="Rural",P1748&gt;0),MIN($M1748,P1748),0))</f>
        <v>0</v>
      </c>
      <c r="Q1719" s="1313" t="s">
        <v>441</v>
      </c>
      <c r="R1719" s="1702" t="s">
        <v>5344</v>
      </c>
      <c r="S1719" s="1702"/>
      <c r="T1719" s="1702"/>
      <c r="U1719" s="1702"/>
      <c r="V1719" s="1659"/>
      <c r="W1719" s="1659"/>
      <c r="X1719" s="1659"/>
    </row>
    <row r="1720" spans="1:24" ht="14.4">
      <c r="A1720" s="2426"/>
      <c r="B1720" s="1317" t="s">
        <v>3956</v>
      </c>
      <c r="C1720" s="1659"/>
      <c r="D1720" s="1695"/>
      <c r="E1720" s="1659"/>
      <c r="F1720" s="1659"/>
      <c r="G1720" s="1659"/>
      <c r="H1720" s="1317" t="s">
        <v>2792</v>
      </c>
      <c r="I1720" s="1204"/>
      <c r="J1720" s="1317" t="str">
        <f>'Part I-Project Information'!$H$105</f>
        <v>Rural</v>
      </c>
      <c r="K1720" s="1317"/>
      <c r="L1720" s="1659"/>
      <c r="M1720" s="1313"/>
      <c r="N1720" s="1620"/>
      <c r="O1720" s="1703" t="s">
        <v>3593</v>
      </c>
      <c r="P1720" s="1703" t="s">
        <v>3594</v>
      </c>
      <c r="Q1720" s="1313"/>
      <c r="R1720" s="1702"/>
      <c r="S1720" s="1702"/>
      <c r="T1720" s="1702"/>
      <c r="U1720" s="1702"/>
      <c r="V1720" s="1659"/>
      <c r="W1720" s="1659"/>
      <c r="X1720" s="1659"/>
    </row>
    <row r="1721" spans="1:24" ht="14.4">
      <c r="A1721" s="2426"/>
      <c r="B1721" s="1776" t="s">
        <v>1985</v>
      </c>
      <c r="C1721" s="457" t="s">
        <v>4820</v>
      </c>
      <c r="D1721" s="1724"/>
      <c r="E1721" s="1676"/>
      <c r="F1721" s="1676"/>
      <c r="G1721" s="1676"/>
      <c r="H1721" s="1549"/>
      <c r="I1721" s="1549"/>
      <c r="J1721" s="1317"/>
      <c r="K1721" s="1317"/>
      <c r="L1721" s="1676"/>
      <c r="M1721" s="1313"/>
      <c r="N1721" s="1620"/>
      <c r="O1721" s="1578">
        <f>'Part IX Scoring Criteria'!O73</f>
        <v>0</v>
      </c>
      <c r="P1721" s="1578"/>
      <c r="Q1721" s="1313"/>
      <c r="R1721" s="1702"/>
      <c r="S1721" s="1702"/>
      <c r="T1721" s="1702"/>
      <c r="U1721" s="1702"/>
      <c r="V1721" s="1659"/>
      <c r="W1721" s="1659"/>
      <c r="X1721" s="1659"/>
    </row>
    <row r="1722" spans="1:24" ht="14.4">
      <c r="A1722" s="2426"/>
      <c r="B1722" s="1776" t="s">
        <v>1987</v>
      </c>
      <c r="C1722" s="457" t="s">
        <v>4821</v>
      </c>
      <c r="D1722" s="1724"/>
      <c r="E1722" s="1676"/>
      <c r="F1722" s="1676"/>
      <c r="G1722" s="1676"/>
      <c r="H1722" s="1549"/>
      <c r="I1722" s="1549"/>
      <c r="J1722" s="1317"/>
      <c r="K1722" s="1317"/>
      <c r="L1722" s="1676"/>
      <c r="M1722" s="1676"/>
      <c r="N1722" s="1620"/>
      <c r="O1722" s="1578">
        <f>'Part IX Scoring Criteria'!O74</f>
        <v>0</v>
      </c>
      <c r="P1722" s="1578"/>
      <c r="Q1722" s="1313"/>
      <c r="R1722" s="1702"/>
      <c r="S1722" s="1702"/>
      <c r="T1722" s="1702"/>
      <c r="U1722" s="1702"/>
      <c r="V1722" s="1659"/>
      <c r="W1722" s="1659"/>
      <c r="X1722" s="1659"/>
    </row>
    <row r="1723" spans="1:24" ht="14.4">
      <c r="A1723" s="2426"/>
      <c r="B1723" s="1776" t="s">
        <v>2533</v>
      </c>
      <c r="C1723" s="457" t="s">
        <v>5345</v>
      </c>
      <c r="D1723" s="1724"/>
      <c r="E1723" s="1676"/>
      <c r="F1723" s="1676"/>
      <c r="G1723" s="1676"/>
      <c r="H1723" s="1549"/>
      <c r="I1723" s="1549"/>
      <c r="J1723" s="1317"/>
      <c r="K1723" s="1317"/>
      <c r="L1723" s="1676"/>
      <c r="M1723" s="1676"/>
      <c r="N1723" s="1620"/>
      <c r="O1723" s="1578">
        <f>'Part IX Scoring Criteria'!O75</f>
        <v>0</v>
      </c>
      <c r="P1723" s="1578"/>
      <c r="Q1723" s="1313"/>
      <c r="R1723" s="1702"/>
      <c r="S1723" s="1702"/>
      <c r="T1723" s="1702"/>
      <c r="U1723" s="1702"/>
      <c r="V1723" s="1659"/>
      <c r="W1723" s="1659"/>
      <c r="X1723" s="1659"/>
    </row>
    <row r="1724" spans="1:24" ht="14.4">
      <c r="A1724" s="2426"/>
      <c r="B1724" s="1776" t="s">
        <v>1223</v>
      </c>
      <c r="C1724" s="457" t="s">
        <v>4815</v>
      </c>
      <c r="D1724" s="1724"/>
      <c r="E1724" s="1676"/>
      <c r="F1724" s="1676"/>
      <c r="G1724" s="1676"/>
      <c r="H1724" s="1549"/>
      <c r="I1724" s="1549"/>
      <c r="J1724" s="1317"/>
      <c r="K1724" s="1317"/>
      <c r="L1724" s="1676"/>
      <c r="M1724" s="1676"/>
      <c r="N1724" s="1620"/>
      <c r="O1724" s="1578">
        <f>'Part IX Scoring Criteria'!O76</f>
        <v>0</v>
      </c>
      <c r="P1724" s="1578"/>
      <c r="Q1724" s="1313"/>
      <c r="R1724" s="1702"/>
      <c r="S1724" s="1702"/>
      <c r="T1724" s="1702"/>
      <c r="U1724" s="1702"/>
      <c r="V1724" s="1659"/>
      <c r="W1724" s="1659"/>
      <c r="X1724" s="1659"/>
    </row>
    <row r="1725" spans="1:24" ht="14.4">
      <c r="A1725" s="2426"/>
      <c r="B1725" s="2362"/>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4.4">
      <c r="A1726" s="2426"/>
      <c r="B1726" s="1317" t="s">
        <v>3962</v>
      </c>
      <c r="C1726" s="1659"/>
      <c r="D1726" s="1695"/>
      <c r="E1726" s="1659"/>
      <c r="F1726" s="1317" t="s">
        <v>3714</v>
      </c>
      <c r="G1726" s="1317"/>
      <c r="H1726" s="1317"/>
      <c r="I1726" s="1317"/>
      <c r="J1726" s="1317" t="s">
        <v>3715</v>
      </c>
      <c r="K1726" s="1317"/>
      <c r="L1726" s="1317"/>
      <c r="M1726" s="1317"/>
      <c r="N1726" s="1620"/>
      <c r="O1726" s="2444" t="s">
        <v>5346</v>
      </c>
      <c r="P1726" s="2444"/>
      <c r="Q1726" s="1313"/>
      <c r="R1726" s="1702"/>
      <c r="S1726" s="1702"/>
      <c r="T1726" s="1702"/>
      <c r="U1726" s="1702"/>
      <c r="V1726" s="1659"/>
      <c r="W1726" s="1659"/>
      <c r="X1726" s="1659"/>
    </row>
    <row r="1727" spans="1:24" ht="14.4">
      <c r="A1727" s="2426"/>
      <c r="B1727" s="1659"/>
      <c r="C1727" s="1317" t="s">
        <v>3961</v>
      </c>
      <c r="D1727" s="1394"/>
      <c r="E1727" s="1393"/>
      <c r="F1727" s="1706">
        <f>'Part IX Scoring Criteria'!F79</f>
        <v>0</v>
      </c>
      <c r="G1727" s="1706">
        <f>'Part IX Scoring Criteria'!G79</f>
        <v>0</v>
      </c>
      <c r="H1727" s="1706"/>
      <c r="I1727" s="1706"/>
      <c r="J1727" s="1706">
        <f>'Part IX Scoring Criteria'!J79</f>
        <v>0</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2445" t="s">
        <v>4139</v>
      </c>
      <c r="B1728" s="2445"/>
      <c r="C1728" s="1659"/>
      <c r="D1728" s="457" t="s">
        <v>3963</v>
      </c>
      <c r="E1728" s="1393"/>
      <c r="F1728" s="1706">
        <f>'Part IX Scoring Criteria'!F80</f>
        <v>0</v>
      </c>
      <c r="G1728" s="1706">
        <f>'Part IX Scoring Criteria'!G80</f>
        <v>0</v>
      </c>
      <c r="H1728" s="1706"/>
      <c r="I1728" s="1706"/>
      <c r="J1728" s="1706">
        <f>'Part IX Scoring Criteria'!J80</f>
        <v>0</v>
      </c>
      <c r="K1728" s="1706">
        <f>'Part IX Scoring Criteria'!K80</f>
        <v>0</v>
      </c>
      <c r="L1728" s="1706"/>
      <c r="M1728" s="1706"/>
      <c r="N1728" s="1620"/>
      <c r="O1728" s="1707">
        <f>'Part IX Scoring Criteria'!O80</f>
        <v>0</v>
      </c>
      <c r="P1728" s="1707"/>
      <c r="Q1728" s="1313"/>
      <c r="R1728" s="1702"/>
      <c r="S1728" s="1702"/>
      <c r="T1728" s="1702"/>
      <c r="U1728" s="1702"/>
      <c r="V1728" s="1659"/>
      <c r="W1728" s="1659"/>
      <c r="X1728" s="1659"/>
    </row>
    <row r="1729" spans="1:24" ht="14.4">
      <c r="A1729" s="2445"/>
      <c r="B1729" s="2445"/>
      <c r="C1729" s="1317" t="s">
        <v>4091</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4.4">
      <c r="A1730" s="2445"/>
      <c r="B1730" s="2445"/>
      <c r="C1730" s="1659"/>
      <c r="D1730" s="1659"/>
      <c r="E1730" s="1620" t="s">
        <v>4090</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4.4">
      <c r="A1731" s="2426"/>
      <c r="B1731" s="2362"/>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4.4">
      <c r="A1732" s="2446" t="s">
        <v>2783</v>
      </c>
      <c r="B1732" s="2362"/>
      <c r="C1732" s="1659"/>
      <c r="D1732" s="1695"/>
      <c r="E1732" s="1659"/>
      <c r="F1732" s="1525" t="s">
        <v>5347</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4.4">
      <c r="A1733" s="2446"/>
      <c r="B1733" s="2362"/>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4.4">
      <c r="A1734" s="1762" t="s">
        <v>1982</v>
      </c>
      <c r="B1734" s="1317" t="s">
        <v>3745</v>
      </c>
      <c r="C1734" s="1659"/>
      <c r="D1734" s="1695"/>
      <c r="E1734" s="1659"/>
      <c r="F1734" s="1549" t="s">
        <v>5348</v>
      </c>
      <c r="G1734" s="1659"/>
      <c r="H1734" s="1659"/>
      <c r="I1734" s="1659"/>
      <c r="J1734" s="1659"/>
      <c r="K1734" s="1659"/>
      <c r="L1734" s="1659"/>
      <c r="M1734" s="1313">
        <v>6</v>
      </c>
      <c r="N1734" s="1684" t="s">
        <v>1982</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1985</v>
      </c>
      <c r="C1735" s="1583" t="s">
        <v>5349</v>
      </c>
      <c r="D1735" s="1583"/>
      <c r="E1735" s="1583"/>
      <c r="F1735" s="1583"/>
      <c r="G1735" s="1583"/>
      <c r="H1735" s="1583"/>
      <c r="I1735" s="1710" t="s">
        <v>5350</v>
      </c>
      <c r="J1735" s="1710"/>
      <c r="K1735" s="1710"/>
      <c r="L1735" s="1710"/>
      <c r="M1735" s="1713">
        <v>5</v>
      </c>
      <c r="N1735" s="1704" t="s">
        <v>1985</v>
      </c>
      <c r="O1735" s="2404">
        <f>'Part IX Scoring Criteria'!O87</f>
        <v>0</v>
      </c>
      <c r="P1735" s="2404"/>
      <c r="Q1735" s="2437" t="str">
        <f>IF(OR($O1735=$M1735,$O1735=0,$O1735=""),"","*CHECK!*")</f>
        <v/>
      </c>
      <c r="R1735" s="1335" t="s">
        <v>2705</v>
      </c>
      <c r="S1735" s="1711"/>
      <c r="T1735" s="1711"/>
      <c r="U1735" s="1711"/>
      <c r="V1735" s="1711"/>
      <c r="W1735" s="1711"/>
      <c r="X1735" s="1711"/>
    </row>
    <row r="1736" spans="1:24" ht="15" customHeight="1">
      <c r="A1736" s="1578" t="s">
        <v>1352</v>
      </c>
      <c r="B1736" s="1704" t="s">
        <v>1987</v>
      </c>
      <c r="C1736" s="1604" t="s">
        <v>5351</v>
      </c>
      <c r="D1736" s="1604"/>
      <c r="E1736" s="1604"/>
      <c r="F1736" s="1604"/>
      <c r="G1736" s="1604"/>
      <c r="H1736" s="1578" t="str">
        <f>IF(AND(O1736&gt;0,O1735&gt;0),"Pick A1 or A2!","")</f>
        <v/>
      </c>
      <c r="I1736" s="1710"/>
      <c r="J1736" s="1710"/>
      <c r="K1736" s="1710"/>
      <c r="L1736" s="1710"/>
      <c r="M1736" s="1313">
        <v>4</v>
      </c>
      <c r="N1736" s="1776" t="s">
        <v>1987</v>
      </c>
      <c r="O1736" s="1546">
        <f>'Part IX Scoring Criteria'!O88</f>
        <v>0</v>
      </c>
      <c r="P1736" s="1546"/>
      <c r="Q1736" s="2437" t="str">
        <f>IF(OR($O1736=$M1736,$O1736=0,$O1736=""),"","*CHECK!*")</f>
        <v/>
      </c>
      <c r="R1736" s="1335" t="s">
        <v>2705</v>
      </c>
      <c r="S1736" s="1711"/>
      <c r="T1736" s="1711"/>
      <c r="U1736" s="1711"/>
      <c r="V1736" s="1711"/>
      <c r="W1736" s="1711"/>
      <c r="X1736" s="1711"/>
    </row>
    <row r="1737" spans="1:24" ht="15" customHeight="1">
      <c r="A1737" s="1711"/>
      <c r="B1737" s="1704" t="s">
        <v>2533</v>
      </c>
      <c r="C1737" s="1604" t="s">
        <v>3746</v>
      </c>
      <c r="D1737" s="1604"/>
      <c r="E1737" s="1604"/>
      <c r="F1737" s="1604"/>
      <c r="G1737" s="1711"/>
      <c r="H1737" s="1711"/>
      <c r="I1737" s="1710"/>
      <c r="J1737" s="1710"/>
      <c r="K1737" s="1710"/>
      <c r="L1737" s="1710"/>
      <c r="M1737" s="1313">
        <v>1</v>
      </c>
      <c r="N1737" s="1776" t="s">
        <v>2533</v>
      </c>
      <c r="O1737" s="1546">
        <f>'Part IX Scoring Criteria'!O89</f>
        <v>0</v>
      </c>
      <c r="P1737" s="1546"/>
      <c r="Q1737" s="2437" t="str">
        <f>IF(OR($O1737=$M1737,$O1737=0,$O1737=""),"","*CHECK!*")</f>
        <v/>
      </c>
      <c r="R1737" s="1335" t="s">
        <v>2705</v>
      </c>
      <c r="S1737" s="1711"/>
      <c r="T1737" s="1711"/>
      <c r="U1737" s="1711"/>
      <c r="V1737" s="1711"/>
      <c r="W1737" s="1711"/>
      <c r="X1737" s="1711"/>
    </row>
    <row r="1738" spans="1:24" ht="15" customHeight="1">
      <c r="A1738" s="1711"/>
      <c r="B1738" s="1704"/>
      <c r="C1738" s="1377" t="s">
        <v>4089</v>
      </c>
      <c r="D1738" s="1604"/>
      <c r="E1738" s="1604"/>
      <c r="F1738" s="1372" t="str">
        <f>'Part I-Project Information'!$H$82</f>
        <v>Family</v>
      </c>
      <c r="G1738" s="1377"/>
      <c r="H1738" s="1372"/>
      <c r="I1738" s="1710"/>
      <c r="J1738" s="1710"/>
      <c r="K1738" s="1710"/>
      <c r="L1738" s="1710"/>
      <c r="M1738" s="1676"/>
      <c r="N1738" s="1676"/>
      <c r="O1738" s="1676"/>
      <c r="P1738" s="1676"/>
      <c r="Q1738" s="2405"/>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2405"/>
      <c r="R1739" s="1528"/>
      <c r="S1739" s="1711"/>
      <c r="T1739" s="1711"/>
      <c r="U1739" s="1711"/>
      <c r="V1739" s="1711"/>
      <c r="W1739" s="1711"/>
      <c r="X1739" s="1711"/>
    </row>
    <row r="1740" spans="1:24" ht="15" customHeight="1">
      <c r="A1740" s="1762" t="s">
        <v>1984</v>
      </c>
      <c r="B1740" s="1202" t="s">
        <v>3747</v>
      </c>
      <c r="C1740" s="1202"/>
      <c r="D1740" s="1202"/>
      <c r="E1740" s="1202"/>
      <c r="F1740" s="1580" t="s">
        <v>5352</v>
      </c>
      <c r="G1740" s="1711"/>
      <c r="H1740" s="1711"/>
      <c r="I1740" s="1573" t="str">
        <f>'Part IX Scoring Criteria'!I92</f>
        <v>&lt;&lt; Enter transit agency/service name here &gt;&gt;</v>
      </c>
      <c r="J1740" s="1573"/>
      <c r="K1740" s="1573"/>
      <c r="L1740" s="1848" t="str">
        <f>'Part IX Scoring Criteria'!L92</f>
        <v>&lt;Enter phone here&gt;</v>
      </c>
      <c r="M1740" s="1313">
        <v>3</v>
      </c>
      <c r="N1740" s="1620" t="s">
        <v>1984</v>
      </c>
      <c r="O1740" s="1546">
        <f>'Part IX Scoring Criteria'!O92</f>
        <v>0</v>
      </c>
      <c r="P1740" s="1546">
        <f>IF($J$72="Flexible",MIN($M1740,P1743+P1744+P1745),0)</f>
        <v>0</v>
      </c>
      <c r="Q1740" s="2416"/>
      <c r="R1740" s="1528"/>
      <c r="S1740" s="1711"/>
      <c r="T1740" s="1711"/>
      <c r="U1740" s="1711"/>
      <c r="V1740" s="1711"/>
      <c r="W1740" s="1711"/>
      <c r="X1740" s="1711"/>
    </row>
    <row r="1741" spans="1:24" ht="14.4">
      <c r="A1741" s="2426"/>
      <c r="B1741" s="1620" t="s">
        <v>3778</v>
      </c>
      <c r="C1741" s="1335" t="s">
        <v>4818</v>
      </c>
      <c r="D1741" s="1724"/>
      <c r="E1741" s="1676"/>
      <c r="F1741" s="1676"/>
      <c r="G1741" s="1676"/>
      <c r="H1741" s="1549"/>
      <c r="I1741" s="1573"/>
      <c r="J1741" s="1573"/>
      <c r="K1741" s="1573"/>
      <c r="L1741" s="1848"/>
      <c r="M1741" s="1676"/>
      <c r="N1741" s="1620" t="s">
        <v>3778</v>
      </c>
      <c r="O1741" s="1578">
        <f>'Part IX Scoring Criteria'!O93</f>
        <v>0</v>
      </c>
      <c r="P1741" s="1578"/>
      <c r="Q1741" s="1313"/>
      <c r="R1741" s="1528"/>
      <c r="S1741" s="1711"/>
      <c r="T1741" s="1711"/>
      <c r="U1741" s="1711"/>
      <c r="V1741" s="1659"/>
      <c r="W1741" s="1659"/>
      <c r="X1741" s="1659"/>
    </row>
    <row r="1742" spans="1:24" ht="15" customHeight="1">
      <c r="A1742" s="2426"/>
      <c r="B1742" s="1620" t="s">
        <v>3779</v>
      </c>
      <c r="C1742" s="1335" t="s">
        <v>4817</v>
      </c>
      <c r="D1742" s="1724"/>
      <c r="E1742" s="1676"/>
      <c r="F1742" s="1676"/>
      <c r="G1742" s="1676"/>
      <c r="H1742" s="1549"/>
      <c r="I1742" s="1573" t="str">
        <f>'Part IX Scoring Criteria'!I94</f>
        <v>&lt;&lt; Enter email address of the transit service here &gt;&gt;</v>
      </c>
      <c r="J1742" s="1573"/>
      <c r="K1742" s="1573"/>
      <c r="L1742" s="1573"/>
      <c r="M1742" s="1676"/>
      <c r="N1742" s="1620" t="s">
        <v>3779</v>
      </c>
      <c r="O1742" s="1578">
        <f>'Part IX Scoring Criteria'!O94</f>
        <v>0</v>
      </c>
      <c r="P1742" s="1578"/>
      <c r="Q1742" s="1313"/>
      <c r="R1742" s="1528"/>
      <c r="S1742" s="1711"/>
      <c r="T1742" s="1711"/>
      <c r="U1742" s="1711"/>
      <c r="V1742" s="1659"/>
      <c r="W1742" s="1659"/>
      <c r="X1742" s="1659"/>
    </row>
    <row r="1743" spans="1:24" ht="15" customHeight="1">
      <c r="A1743" s="1511"/>
      <c r="B1743" s="2447" t="s">
        <v>1985</v>
      </c>
      <c r="C1743" s="1550" t="s">
        <v>5353</v>
      </c>
      <c r="D1743" s="1550"/>
      <c r="E1743" s="1550"/>
      <c r="F1743" s="1550"/>
      <c r="G1743" s="1550"/>
      <c r="H1743" s="1550"/>
      <c r="I1743" s="1573"/>
      <c r="J1743" s="1573"/>
      <c r="K1743" s="1573"/>
      <c r="L1743" s="1573"/>
      <c r="M1743" s="1313">
        <v>3</v>
      </c>
      <c r="N1743" s="1776" t="s">
        <v>1985</v>
      </c>
      <c r="O1743" s="1546">
        <f>'Part IX Scoring Criteria'!O95</f>
        <v>0</v>
      </c>
      <c r="P1743" s="1546"/>
      <c r="Q1743" s="2405" t="str">
        <f>IF(OR($O1743=$M1743,$O1743=0,$O1743=""),"","*CHECK!*")</f>
        <v/>
      </c>
      <c r="R1743" s="1528" t="s">
        <v>2705</v>
      </c>
      <c r="S1743" s="1711"/>
      <c r="T1743" s="1711"/>
      <c r="U1743" s="1711"/>
      <c r="V1743" s="1711"/>
      <c r="W1743" s="1711"/>
      <c r="X1743" s="1711"/>
    </row>
    <row r="1744" spans="1:24" ht="15" customHeight="1">
      <c r="A1744" s="1578" t="s">
        <v>1352</v>
      </c>
      <c r="B1744" s="2447" t="s">
        <v>1987</v>
      </c>
      <c r="C1744" s="1550" t="s">
        <v>5354</v>
      </c>
      <c r="D1744" s="1550"/>
      <c r="E1744" s="1550"/>
      <c r="F1744" s="1550"/>
      <c r="G1744" s="1550"/>
      <c r="H1744" s="1550"/>
      <c r="I1744" s="1573" t="str">
        <f>'Part IX Scoring Criteria'!I96</f>
        <v>&lt;&lt; Enter specific URL/webpage showing established schedule from transit agency website here &gt;&gt;</v>
      </c>
      <c r="J1744" s="1573"/>
      <c r="K1744" s="1573"/>
      <c r="L1744" s="1573"/>
      <c r="M1744" s="1313">
        <v>2</v>
      </c>
      <c r="N1744" s="1776" t="s">
        <v>1987</v>
      </c>
      <c r="O1744" s="1546">
        <f>'Part IX Scoring Criteria'!O96</f>
        <v>0</v>
      </c>
      <c r="P1744" s="1546"/>
      <c r="Q1744" s="2405" t="str">
        <f>IF(OR($O1744=$M1744,$O1744=0,$O1744=""),"","*CHECK!*")</f>
        <v/>
      </c>
      <c r="R1744" s="1528" t="s">
        <v>2705</v>
      </c>
      <c r="S1744" s="1659"/>
      <c r="T1744" s="1659"/>
      <c r="U1744" s="1659"/>
      <c r="V1744" s="1659"/>
      <c r="W1744" s="1659"/>
      <c r="X1744" s="1659"/>
    </row>
    <row r="1745" spans="1:24" ht="15" customHeight="1">
      <c r="A1745" s="1578" t="s">
        <v>1352</v>
      </c>
      <c r="B1745" s="2447" t="s">
        <v>2533</v>
      </c>
      <c r="C1745" s="1550" t="s">
        <v>5355</v>
      </c>
      <c r="D1745" s="1550"/>
      <c r="E1745" s="1550"/>
      <c r="F1745" s="1550"/>
      <c r="G1745" s="1550"/>
      <c r="H1745" s="1550"/>
      <c r="I1745" s="1573"/>
      <c r="J1745" s="1573"/>
      <c r="K1745" s="1573"/>
      <c r="L1745" s="1573"/>
      <c r="M1745" s="1313">
        <v>1</v>
      </c>
      <c r="N1745" s="1776" t="s">
        <v>2533</v>
      </c>
      <c r="O1745" s="1546">
        <f>'Part IX Scoring Criteria'!O97</f>
        <v>0</v>
      </c>
      <c r="P1745" s="1546"/>
      <c r="Q1745" s="2405" t="str">
        <f>IF(OR($O1745=$M1745,$O1745=0,$O1745=""),"","*CHECK!*")</f>
        <v/>
      </c>
      <c r="R1745" s="1528" t="s">
        <v>2705</v>
      </c>
      <c r="S1745" s="1659"/>
      <c r="T1745" s="1659"/>
      <c r="U1745" s="1659"/>
      <c r="V1745" s="1659"/>
      <c r="W1745" s="1659"/>
      <c r="X1745" s="1659"/>
    </row>
    <row r="1746" spans="1:24" ht="15" customHeight="1">
      <c r="A1746" s="1631"/>
      <c r="B1746" s="2448"/>
      <c r="C1746" s="1582"/>
      <c r="D1746" s="1582"/>
      <c r="E1746" s="1582"/>
      <c r="F1746" s="457" t="str">
        <f>IF(OR(AND(O1743&gt;0,O1744&gt;0,O1745&gt;0),AND(O1743&gt;0,O1744&gt;0),AND(O1743&gt;0,O1745&gt;0),AND(O1744&gt;0,O1745&gt;0)),"Choose only one option: B1 or B2 or B3!","")</f>
        <v/>
      </c>
      <c r="G1746" s="457"/>
      <c r="H1746" s="457"/>
      <c r="I1746" s="1573" t="str">
        <f>'Part IX Scoring Criteria'!I98</f>
        <v>&lt;&lt; Enter specific URL/webpage showing established routes from transit agency website (if different) here &gt;&gt;</v>
      </c>
      <c r="J1746" s="1573"/>
      <c r="K1746" s="1573"/>
      <c r="L1746" s="1573"/>
      <c r="M1746" s="1676"/>
      <c r="N1746" s="1676"/>
      <c r="O1746" s="1676"/>
      <c r="P1746" s="1676"/>
      <c r="Q1746" s="2405"/>
      <c r="R1746" s="1528"/>
      <c r="S1746" s="1659"/>
      <c r="T1746" s="1659"/>
      <c r="U1746" s="1659"/>
      <c r="V1746" s="1659"/>
      <c r="W1746" s="1659"/>
      <c r="X1746" s="1659"/>
    </row>
    <row r="1747" spans="1:24" ht="14.4">
      <c r="A1747" s="2446" t="s">
        <v>2785</v>
      </c>
      <c r="B1747" s="1317"/>
      <c r="C1747" s="1659"/>
      <c r="D1747" s="1659"/>
      <c r="E1747" s="1695"/>
      <c r="F1747" s="1659"/>
      <c r="G1747" s="1659"/>
      <c r="H1747" s="1659"/>
      <c r="I1747" s="1573"/>
      <c r="J1747" s="1573"/>
      <c r="K1747" s="1573"/>
      <c r="L1747" s="1573"/>
      <c r="M1747" s="1313"/>
      <c r="N1747" s="1313"/>
      <c r="O1747" s="1313"/>
      <c r="P1747" s="1313"/>
      <c r="Q1747" s="2415"/>
      <c r="R1747" s="2415"/>
      <c r="S1747" s="1659"/>
      <c r="T1747" s="1659"/>
      <c r="U1747" s="1659"/>
      <c r="V1747" s="1659"/>
      <c r="W1747" s="1659"/>
      <c r="X1747" s="1659"/>
    </row>
    <row r="1748" spans="1:24" ht="15" customHeight="1">
      <c r="A1748" s="1511"/>
      <c r="B1748" s="1704" t="s">
        <v>1223</v>
      </c>
      <c r="C1748" s="1721" t="s">
        <v>5356</v>
      </c>
      <c r="D1748" s="1721"/>
      <c r="E1748" s="1721"/>
      <c r="F1748" s="1721"/>
      <c r="G1748" s="1721"/>
      <c r="H1748" s="1721"/>
      <c r="I1748" s="1317"/>
      <c r="J1748" s="1317"/>
      <c r="K1748" s="1317"/>
      <c r="L1748" s="1317"/>
      <c r="M1748" s="1313">
        <v>2</v>
      </c>
      <c r="N1748" s="1776" t="s">
        <v>1223</v>
      </c>
      <c r="O1748" s="1546">
        <f>'Part IX Scoring Criteria'!O100</f>
        <v>0</v>
      </c>
      <c r="P1748" s="1546"/>
      <c r="Q1748" s="2405" t="str">
        <f>IF(OR($O1748=$M1748,$O1748=0,$O1748=""),"","*CHECK!*")</f>
        <v/>
      </c>
      <c r="R1748" s="1528" t="s">
        <v>2705</v>
      </c>
      <c r="S1748" s="1676"/>
      <c r="T1748" s="1676"/>
      <c r="U1748" s="1676"/>
      <c r="V1748" s="1676"/>
      <c r="W1748" s="1676"/>
      <c r="X1748" s="1676"/>
    </row>
    <row r="1749" spans="1:24" ht="14.4">
      <c r="A1749" s="1511"/>
      <c r="B1749" s="1704"/>
      <c r="C1749" s="1721"/>
      <c r="D1749" s="1721"/>
      <c r="E1749" s="1721"/>
      <c r="F1749" s="1721"/>
      <c r="G1749" s="1721"/>
      <c r="H1749" s="1721"/>
      <c r="I1749" s="1317"/>
      <c r="J1749" s="1317"/>
      <c r="K1749" s="1317"/>
      <c r="L1749" s="1317"/>
      <c r="M1749" s="1317"/>
      <c r="N1749" s="1317"/>
      <c r="O1749" s="1317"/>
      <c r="P1749" s="1317"/>
      <c r="Q1749" s="2405"/>
      <c r="R1749" s="1528"/>
      <c r="S1749" s="1676"/>
      <c r="T1749" s="1676"/>
      <c r="U1749" s="1676"/>
      <c r="V1749" s="1676"/>
      <c r="W1749" s="1676"/>
      <c r="X1749" s="1676"/>
    </row>
    <row r="1750" spans="1:24" ht="14.4">
      <c r="A1750" s="457" t="s">
        <v>5357</v>
      </c>
      <c r="B1750" s="1317"/>
      <c r="C1750" s="1659"/>
      <c r="D1750" s="1659"/>
      <c r="E1750" s="1695"/>
      <c r="F1750" s="1659"/>
      <c r="G1750" s="1659"/>
      <c r="H1750" s="1659"/>
      <c r="I1750" s="1659"/>
      <c r="J1750" s="1659"/>
      <c r="K1750" s="1317"/>
      <c r="L1750" s="1659"/>
      <c r="M1750" s="1313"/>
      <c r="N1750" s="1313"/>
      <c r="O1750" s="1313"/>
      <c r="P1750" s="1313"/>
      <c r="Q1750" s="2415"/>
      <c r="R1750" s="2415"/>
      <c r="S1750" s="1659"/>
      <c r="T1750" s="1659"/>
      <c r="U1750" s="1659"/>
      <c r="V1750" s="1659"/>
      <c r="W1750" s="1659"/>
      <c r="X1750" s="1659"/>
    </row>
    <row r="1751" spans="1:24" ht="14.4">
      <c r="A1751" s="1314"/>
      <c r="B1751" s="1549" t="s">
        <v>1865</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2384"/>
      <c r="R1752" s="1659"/>
      <c r="S1752" s="1659"/>
      <c r="T1752" s="1659"/>
      <c r="U1752" s="1659"/>
      <c r="V1752" s="1659"/>
      <c r="W1752" s="1659"/>
      <c r="X1752" s="1659"/>
    </row>
    <row r="1753" spans="1:24" ht="14.4">
      <c r="N1753" s="1320"/>
      <c r="O1753" s="1320"/>
      <c r="P1753" s="1320"/>
      <c r="R1753" s="1659"/>
    </row>
    <row r="1754" spans="1:24" ht="14.4">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4.4">
      <c r="A1755" s="2426" t="s">
        <v>1793</v>
      </c>
      <c r="B1755" s="2362" t="s">
        <v>3980</v>
      </c>
      <c r="C1755" s="1659"/>
      <c r="D1755" s="457"/>
      <c r="E1755" s="457"/>
      <c r="F1755" s="1313"/>
      <c r="G1755" s="1313"/>
      <c r="H1755" s="1313"/>
      <c r="I1755" s="1525" t="s">
        <v>5347</v>
      </c>
      <c r="J1755" s="1524"/>
      <c r="K1755" s="1524"/>
      <c r="L1755" s="1524"/>
      <c r="M1755" s="1313">
        <v>4</v>
      </c>
      <c r="N1755" s="1313"/>
      <c r="O1755" s="1546">
        <f>'Part IX Scoring Criteria'!O107</f>
        <v>0</v>
      </c>
      <c r="P1755" s="1546">
        <f>IF(AND(P1757&gt;0,P1763&gt;0),"AorB?",MIN($M$107,P1757+P1763+P1785))</f>
        <v>0</v>
      </c>
      <c r="Q1755" s="1313" t="s">
        <v>441</v>
      </c>
      <c r="R1755" s="1659"/>
      <c r="S1755" s="1659"/>
      <c r="T1755" s="1659"/>
      <c r="U1755" s="1659"/>
      <c r="V1755" s="1659"/>
      <c r="W1755" s="1659"/>
      <c r="X1755" s="1659"/>
    </row>
    <row r="1756" spans="1:24" ht="14.4">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4.4">
      <c r="A1757" s="1511" t="s">
        <v>1982</v>
      </c>
      <c r="B1757" s="1317" t="s">
        <v>3981</v>
      </c>
      <c r="C1757" s="1676"/>
      <c r="D1757" s="1724"/>
      <c r="E1757" s="457" t="s">
        <v>4095</v>
      </c>
      <c r="F1757" s="1676"/>
      <c r="G1757" s="1524"/>
      <c r="H1757" s="1676"/>
      <c r="I1757" s="1620" t="s">
        <v>4089</v>
      </c>
      <c r="J1757" s="1524" t="str">
        <f>'Part I-Project Information'!$H$82</f>
        <v>Family</v>
      </c>
      <c r="K1757" s="1724"/>
      <c r="L1757" s="2415" t="str">
        <f>IF(OR($O1757=$M1757,$O1757=0,$O1757=""),"","* * Check Score! * *")</f>
        <v/>
      </c>
      <c r="M1757" s="1313">
        <v>3</v>
      </c>
      <c r="N1757" s="1620" t="s">
        <v>1982</v>
      </c>
      <c r="O1757" s="1546">
        <f>'Part IX Scoring Criteria'!O109</f>
        <v>0</v>
      </c>
      <c r="P1757" s="1546"/>
      <c r="Q1757" s="2437" t="str">
        <f>IF(OR($O1757=$M1757,$O1757=0,$O1757=""),"","*CHECK!*")</f>
        <v/>
      </c>
      <c r="R1757" s="1335" t="s">
        <v>2705</v>
      </c>
      <c r="S1757" s="1676"/>
      <c r="T1757" s="1676"/>
      <c r="U1757" s="1676"/>
      <c r="V1757" s="1676"/>
      <c r="W1757" s="1676"/>
      <c r="X1757" s="1676"/>
    </row>
    <row r="1758" spans="1:24" ht="14.4">
      <c r="A1758" s="1314"/>
      <c r="B1758" s="1051" t="s">
        <v>4613</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4.4">
      <c r="A1759" s="1314"/>
      <c r="B1759" s="2449" t="s">
        <v>1985</v>
      </c>
      <c r="C1759" s="457" t="s">
        <v>5119</v>
      </c>
      <c r="D1759" s="457"/>
      <c r="E1759" s="457"/>
      <c r="F1759" s="1313"/>
      <c r="G1759" s="1313"/>
      <c r="H1759" s="1313"/>
      <c r="I1759" s="1313"/>
      <c r="J1759" s="1524"/>
      <c r="K1759" s="1524"/>
      <c r="L1759" s="1524"/>
      <c r="M1759" s="1578"/>
      <c r="N1759" s="1696" t="s">
        <v>1985</v>
      </c>
      <c r="O1759" s="1578">
        <f>'Part IX Scoring Criteria'!O111</f>
        <v>0</v>
      </c>
      <c r="P1759" s="1578"/>
      <c r="Q1759" s="1659"/>
      <c r="R1759" s="1659"/>
      <c r="S1759" s="1659"/>
      <c r="T1759" s="1659"/>
      <c r="U1759" s="1659"/>
      <c r="V1759" s="1659"/>
      <c r="W1759" s="1659"/>
      <c r="X1759" s="1659"/>
    </row>
    <row r="1760" spans="1:24" ht="14.4">
      <c r="A1760" s="1314"/>
      <c r="B1760" s="2449" t="s">
        <v>1987</v>
      </c>
      <c r="C1760" s="457" t="s">
        <v>5120</v>
      </c>
      <c r="D1760" s="457"/>
      <c r="E1760" s="457"/>
      <c r="F1760" s="1313"/>
      <c r="G1760" s="1313"/>
      <c r="H1760" s="1313"/>
      <c r="I1760" s="1313"/>
      <c r="J1760" s="1524"/>
      <c r="K1760" s="1524"/>
      <c r="L1760" s="1524"/>
      <c r="M1760" s="1578"/>
      <c r="N1760" s="1696" t="s">
        <v>1987</v>
      </c>
      <c r="O1760" s="1578">
        <f>'Part IX Scoring Criteria'!O112</f>
        <v>0</v>
      </c>
      <c r="P1760" s="1578"/>
      <c r="Q1760" s="1659"/>
      <c r="R1760" s="1659"/>
      <c r="S1760" s="1659"/>
      <c r="T1760" s="1659"/>
      <c r="U1760" s="1659"/>
      <c r="V1760" s="1659"/>
      <c r="W1760" s="1659"/>
      <c r="X1760" s="1659"/>
    </row>
    <row r="1761" spans="1:24" ht="18">
      <c r="A1761" s="1620"/>
      <c r="B1761" s="2449" t="s">
        <v>2533</v>
      </c>
      <c r="C1761" s="457" t="s">
        <v>4823</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2417"/>
      <c r="R1761" s="2417"/>
      <c r="S1761" s="2417"/>
      <c r="T1761" s="2417"/>
      <c r="U1761" s="457"/>
      <c r="V1761" s="457"/>
      <c r="W1761" s="457"/>
      <c r="X1761" s="457"/>
    </row>
    <row r="1762" spans="1:24" ht="14.4">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
      <c r="A1763" s="1511" t="s">
        <v>1984</v>
      </c>
      <c r="B1763" s="1317" t="s">
        <v>3984</v>
      </c>
      <c r="C1763" s="1676"/>
      <c r="D1763" s="1676"/>
      <c r="E1763" s="1676"/>
      <c r="F1763" s="457"/>
      <c r="G1763" s="457"/>
      <c r="H1763" s="1676"/>
      <c r="I1763" s="1676"/>
      <c r="J1763" s="1676"/>
      <c r="K1763" s="1676"/>
      <c r="L1763" s="2415" t="str">
        <f>IF(OR($O1763=$M1763,$O1763=0,$O1763=""),"","* * Check Score! * *")</f>
        <v/>
      </c>
      <c r="M1763" s="1316">
        <v>3</v>
      </c>
      <c r="N1763" s="1620" t="s">
        <v>1984</v>
      </c>
      <c r="O1763" s="1546">
        <f>'Part IX Scoring Criteria'!O115</f>
        <v>0</v>
      </c>
      <c r="P1763" s="1546"/>
      <c r="Q1763" s="2437" t="str">
        <f>IF(OR($O1763=$M1763,$O1763=0,$O1763=""),"","*CHECK!*")</f>
        <v/>
      </c>
      <c r="R1763" s="1335" t="s">
        <v>2705</v>
      </c>
      <c r="S1763" s="2417"/>
      <c r="T1763" s="2417"/>
      <c r="U1763" s="1676"/>
      <c r="V1763" s="1676"/>
      <c r="W1763" s="1676"/>
      <c r="X1763" s="1676"/>
    </row>
    <row r="1764" spans="1:24" ht="18">
      <c r="A1764" s="1511"/>
      <c r="B1764" s="1727"/>
      <c r="C1764" s="457" t="s">
        <v>3985</v>
      </c>
      <c r="D1764" s="1676"/>
      <c r="E1764" s="457"/>
      <c r="F1764" s="457"/>
      <c r="G1764" s="457"/>
      <c r="H1764" s="1676"/>
      <c r="I1764" s="1676"/>
      <c r="J1764" s="1676"/>
      <c r="K1764" s="1676"/>
      <c r="L1764" s="1676"/>
      <c r="M1764" s="1316"/>
      <c r="N1764" s="1316"/>
      <c r="O1764" s="1578">
        <f>'Part IX Scoring Criteria'!O116</f>
        <v>0</v>
      </c>
      <c r="P1764" s="1578"/>
      <c r="Q1764" s="2417"/>
      <c r="R1764" s="2417"/>
      <c r="S1764" s="2417"/>
      <c r="T1764" s="2417"/>
      <c r="U1764" s="1676"/>
      <c r="V1764" s="1676"/>
      <c r="W1764" s="1676"/>
      <c r="X1764" s="1676"/>
    </row>
    <row r="1765" spans="1:24" ht="18">
      <c r="A1765" s="1511"/>
      <c r="B1765" s="1727"/>
      <c r="C1765" s="457" t="s">
        <v>4572</v>
      </c>
      <c r="D1765" s="1335" t="s">
        <v>4825</v>
      </c>
      <c r="E1765" s="1676"/>
      <c r="F1765" s="457"/>
      <c r="G1765" s="457"/>
      <c r="H1765" s="1468">
        <f>'Part IX Scoring Criteria'!H117</f>
        <v>0</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2417"/>
      <c r="R1765" s="2417"/>
      <c r="S1765" s="2417"/>
      <c r="T1765" s="2417"/>
      <c r="U1765" s="1676"/>
      <c r="V1765" s="1676"/>
      <c r="W1765" s="1676"/>
      <c r="X1765" s="1676"/>
    </row>
    <row r="1766" spans="1:24" ht="18">
      <c r="A1766" s="1511"/>
      <c r="B1766" s="457"/>
      <c r="C1766" s="457" t="s">
        <v>3988</v>
      </c>
      <c r="D1766" s="1676"/>
      <c r="E1766" s="457"/>
      <c r="F1766" s="457"/>
      <c r="G1766" s="457"/>
      <c r="H1766" s="1676"/>
      <c r="I1766" s="1676"/>
      <c r="J1766" s="1676"/>
      <c r="K1766" s="1676"/>
      <c r="L1766" s="1676"/>
      <c r="M1766" s="1313"/>
      <c r="N1766" s="1627" t="s">
        <v>3778</v>
      </c>
      <c r="O1766" s="1578">
        <f>'Part IX Scoring Criteria'!O118</f>
        <v>0</v>
      </c>
      <c r="P1766" s="1578"/>
      <c r="Q1766" s="2417"/>
      <c r="R1766" s="2417"/>
      <c r="S1766" s="2417"/>
      <c r="T1766" s="2417"/>
      <c r="U1766" s="1676"/>
      <c r="V1766" s="1676"/>
      <c r="W1766" s="1676"/>
      <c r="X1766" s="1676"/>
    </row>
    <row r="1767" spans="1:24" ht="18">
      <c r="A1767" s="1620"/>
      <c r="B1767" s="1776"/>
      <c r="C1767" s="457" t="s">
        <v>3989</v>
      </c>
      <c r="D1767" s="457"/>
      <c r="E1767" s="457"/>
      <c r="F1767" s="457"/>
      <c r="G1767" s="457"/>
      <c r="H1767" s="457"/>
      <c r="I1767" s="457"/>
      <c r="J1767" s="457"/>
      <c r="K1767" s="457"/>
      <c r="L1767" s="457"/>
      <c r="M1767" s="1578"/>
      <c r="N1767" s="1620" t="s">
        <v>3779</v>
      </c>
      <c r="O1767" s="1578">
        <f>'Part IX Scoring Criteria'!O119</f>
        <v>0</v>
      </c>
      <c r="P1767" s="1578"/>
      <c r="Q1767" s="2417"/>
      <c r="R1767" s="2417"/>
      <c r="S1767" s="2417"/>
      <c r="T1767" s="2417"/>
      <c r="U1767" s="457"/>
      <c r="V1767" s="457"/>
      <c r="W1767" s="457"/>
      <c r="X1767" s="457"/>
    </row>
    <row r="1768" spans="1:24">
      <c r="A1768" s="1620"/>
      <c r="B1768" s="1051"/>
      <c r="C1768" s="1051" t="s">
        <v>4123</v>
      </c>
      <c r="D1768" s="1051"/>
      <c r="E1768" s="457"/>
      <c r="F1768" s="457"/>
      <c r="G1768" s="457"/>
      <c r="H1768" s="1051"/>
      <c r="I1768" s="1051"/>
      <c r="J1768" s="1051"/>
      <c r="K1768" s="1051"/>
      <c r="L1768" s="1638" t="s">
        <v>3815</v>
      </c>
      <c r="M1768" s="1638"/>
      <c r="N1768" s="1638"/>
      <c r="O1768" s="1638" t="s">
        <v>3814</v>
      </c>
      <c r="P1768" s="1638"/>
      <c r="Q1768" s="457"/>
      <c r="R1768" s="1051"/>
      <c r="S1768" s="1051"/>
      <c r="T1768" s="1051"/>
      <c r="U1768" s="1051"/>
      <c r="V1768" s="1051"/>
      <c r="W1768" s="1051"/>
      <c r="X1768" s="1051"/>
    </row>
    <row r="1769" spans="1:24">
      <c r="A1769" s="1620"/>
      <c r="B1769" s="1620"/>
      <c r="C1769" s="1583">
        <f>'Part IX Scoring Criteria'!C121</f>
        <v>0</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&lt;&lt; Select &gt;&gt;</v>
      </c>
      <c r="M1769" s="1604">
        <f>'Part IX Scoring Criteria'!M121</f>
        <v>0</v>
      </c>
      <c r="N1769" s="1604">
        <f>'Part IX Scoring Criteria'!N121</f>
        <v>0</v>
      </c>
      <c r="O1769" s="1849">
        <f>'Part IX Scoring Criteria'!O121</f>
        <v>0</v>
      </c>
      <c r="P1769" s="1849">
        <f>'Part IX Scoring Criteria'!P121</f>
        <v>0</v>
      </c>
      <c r="Q1769" s="457" t="str">
        <f>IF(O1769&gt;15, "Too much!","")</f>
        <v/>
      </c>
      <c r="R1769" s="1051"/>
      <c r="S1769" s="1051"/>
      <c r="T1769" s="1051"/>
      <c r="U1769" s="1051"/>
      <c r="V1769" s="1051"/>
      <c r="W1769" s="1051"/>
      <c r="X1769" s="1051"/>
    </row>
    <row r="1770" spans="1:24">
      <c r="A1770" s="1620"/>
      <c r="B1770" s="1627"/>
      <c r="C1770" s="1583">
        <f>'Part IX Scoring Criteria'!C122</f>
        <v>0</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&lt;&lt; Select &gt;&gt;</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c r="A1771" s="1620"/>
      <c r="B1771" s="1620"/>
      <c r="C1771" s="1583">
        <f>'Part IX Scoring Criteria'!C123</f>
        <v>0</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&lt;&lt; Select &gt;&gt;</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c r="A1772" s="1620"/>
      <c r="B1772" s="1620"/>
      <c r="C1772" s="1583">
        <f>'Part IX Scoring Criteria'!C124</f>
        <v>0</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&lt;&lt; Select &gt;&gt;</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4.4">
      <c r="A1773" s="1676"/>
      <c r="B1773" s="1727"/>
      <c r="C1773" s="457" t="s">
        <v>4573</v>
      </c>
      <c r="D1773" s="457" t="s">
        <v>3990</v>
      </c>
      <c r="E1773" s="457"/>
      <c r="F1773" s="457"/>
      <c r="G1773" s="457"/>
      <c r="H1773" s="1676"/>
      <c r="I1773" s="1676"/>
      <c r="J1773" s="1676"/>
      <c r="K1773" s="1676"/>
      <c r="L1773" s="1676"/>
      <c r="M1773" s="1676"/>
      <c r="N1773" s="1627" t="s">
        <v>3778</v>
      </c>
      <c r="O1773" s="1578">
        <f>'Part IX Scoring Criteria'!O125</f>
        <v>0</v>
      </c>
      <c r="P1773" s="1578"/>
      <c r="Q1773" s="1335"/>
      <c r="R1773" s="1051"/>
      <c r="S1773" s="1051"/>
      <c r="T1773" s="1051"/>
      <c r="U1773" s="1051"/>
      <c r="V1773" s="1676"/>
      <c r="W1773" s="1676"/>
      <c r="X1773" s="1676"/>
    </row>
    <row r="1774" spans="1:24" ht="14.4">
      <c r="A1774" s="1511"/>
      <c r="B1774" s="457"/>
      <c r="C1774" s="1676"/>
      <c r="D1774" s="457" t="s">
        <v>3991</v>
      </c>
      <c r="E1774" s="457"/>
      <c r="F1774" s="457"/>
      <c r="G1774" s="457"/>
      <c r="H1774" s="1676"/>
      <c r="I1774" s="1676"/>
      <c r="J1774" s="1676"/>
      <c r="K1774" s="1676"/>
      <c r="L1774" s="1676"/>
      <c r="M1774" s="1313"/>
      <c r="N1774" s="1620" t="s">
        <v>3779</v>
      </c>
      <c r="O1774" s="1578">
        <f>'Part IX Scoring Criteria'!O126</f>
        <v>0</v>
      </c>
      <c r="P1774" s="1578"/>
      <c r="Q1774" s="1335"/>
      <c r="R1774" s="1051"/>
      <c r="S1774" s="1051"/>
      <c r="T1774" s="1051"/>
      <c r="U1774" s="1051"/>
      <c r="V1774" s="1676"/>
      <c r="W1774" s="1676"/>
      <c r="X1774" s="1676"/>
    </row>
    <row r="1775" spans="1:24">
      <c r="A1775" s="1620"/>
      <c r="B1775" s="1776"/>
      <c r="C1775" s="457"/>
      <c r="D1775" s="1051" t="s">
        <v>4824</v>
      </c>
      <c r="E1775" s="457"/>
      <c r="F1775" s="457"/>
      <c r="G1775" s="457"/>
      <c r="H1775" s="457"/>
      <c r="I1775" s="457"/>
      <c r="J1775" s="457"/>
      <c r="K1775" s="457"/>
      <c r="L1775" s="457"/>
      <c r="M1775" s="1578"/>
      <c r="N1775" s="1620" t="s">
        <v>3780</v>
      </c>
      <c r="O1775" s="457"/>
      <c r="P1775" s="457"/>
      <c r="Q1775" s="457"/>
      <c r="R1775" s="1051"/>
      <c r="S1775" s="1051"/>
      <c r="T1775" s="1051"/>
      <c r="U1775" s="1051"/>
      <c r="V1775" s="457"/>
      <c r="W1775" s="457"/>
      <c r="X1775" s="457"/>
    </row>
    <row r="1776" spans="1:24">
      <c r="A1776" s="1620"/>
      <c r="B1776" s="1620"/>
      <c r="C1776" s="1051"/>
      <c r="D1776" s="1620"/>
      <c r="E1776" s="1524" t="s">
        <v>4155</v>
      </c>
      <c r="F1776" s="1620"/>
      <c r="G1776" s="1051"/>
      <c r="H1776" s="1051"/>
      <c r="I1776" s="1051"/>
      <c r="J1776" s="1051"/>
      <c r="K1776" s="1051"/>
      <c r="L1776" s="1620"/>
      <c r="M1776" s="1620"/>
      <c r="N1776" s="1620"/>
      <c r="O1776" s="1578">
        <f>'Part IX Scoring Criteria'!O128</f>
        <v>0</v>
      </c>
      <c r="P1776" s="1578"/>
      <c r="Q1776" s="457"/>
      <c r="R1776" s="1051"/>
      <c r="S1776" s="1051"/>
      <c r="T1776" s="1051"/>
      <c r="U1776" s="1051"/>
      <c r="V1776" s="1051"/>
      <c r="W1776" s="1051"/>
      <c r="X1776" s="1051"/>
    </row>
    <row r="1777" spans="1:24">
      <c r="A1777" s="1620"/>
      <c r="B1777" s="1620"/>
      <c r="C1777" s="1051"/>
      <c r="D1777" s="1620"/>
      <c r="E1777" s="1524" t="s">
        <v>4478</v>
      </c>
      <c r="F1777" s="1620"/>
      <c r="G1777" s="1051"/>
      <c r="H1777" s="1051"/>
      <c r="I1777" s="1051"/>
      <c r="J1777" s="1051"/>
      <c r="K1777" s="1051"/>
      <c r="L1777" s="1620"/>
      <c r="M1777" s="1620"/>
      <c r="N1777" s="1620"/>
      <c r="O1777" s="1578">
        <f>'Part IX Scoring Criteria'!O129</f>
        <v>0</v>
      </c>
      <c r="P1777" s="1578"/>
      <c r="Q1777" s="457"/>
      <c r="R1777" s="1051"/>
      <c r="S1777" s="1051"/>
      <c r="T1777" s="1051"/>
      <c r="U1777" s="1051"/>
      <c r="V1777" s="1051"/>
      <c r="W1777" s="1051"/>
      <c r="X1777" s="1051"/>
    </row>
    <row r="1778" spans="1:24">
      <c r="A1778" s="1620"/>
      <c r="B1778" s="1620"/>
      <c r="C1778" s="1051"/>
      <c r="D1778" s="1620"/>
      <c r="E1778" s="1524" t="s">
        <v>4157</v>
      </c>
      <c r="F1778" s="1620"/>
      <c r="G1778" s="1051"/>
      <c r="H1778" s="1051"/>
      <c r="I1778" s="1051"/>
      <c r="J1778" s="1051"/>
      <c r="K1778" s="1051"/>
      <c r="L1778" s="1620"/>
      <c r="M1778" s="1620"/>
      <c r="N1778" s="1620"/>
      <c r="O1778" s="1578">
        <f>'Part IX Scoring Criteria'!O130</f>
        <v>0</v>
      </c>
      <c r="P1778" s="1578"/>
      <c r="Q1778" s="457"/>
      <c r="R1778" s="1051"/>
      <c r="S1778" s="1051"/>
      <c r="T1778" s="1051"/>
      <c r="U1778" s="1051"/>
      <c r="V1778" s="1051"/>
      <c r="W1778" s="1051"/>
      <c r="X1778" s="1051"/>
    </row>
    <row r="1779" spans="1:24">
      <c r="A1779" s="1620"/>
      <c r="B1779" s="1620"/>
      <c r="C1779" s="1051"/>
      <c r="D1779" s="1620"/>
      <c r="E1779" s="1524" t="s">
        <v>4610</v>
      </c>
      <c r="F1779" s="1620"/>
      <c r="G1779" s="1051"/>
      <c r="H1779" s="1051"/>
      <c r="I1779" s="1524"/>
      <c r="J1779" s="1051"/>
      <c r="K1779" s="1051"/>
      <c r="L1779" s="1620"/>
      <c r="M1779" s="1620"/>
      <c r="N1779" s="1620"/>
      <c r="O1779" s="1578">
        <f>'Part IX Scoring Criteria'!O131</f>
        <v>0</v>
      </c>
      <c r="P1779" s="1578"/>
      <c r="Q1779" s="457"/>
      <c r="R1779" s="1051"/>
      <c r="S1779" s="1051"/>
      <c r="T1779" s="1051"/>
      <c r="U1779" s="1051"/>
      <c r="V1779" s="1051"/>
      <c r="W1779" s="1051"/>
      <c r="X1779" s="1051"/>
    </row>
    <row r="1780" spans="1:24">
      <c r="A1780" s="1620"/>
      <c r="B1780" s="1620"/>
      <c r="C1780" s="1051"/>
      <c r="D1780" s="1620"/>
      <c r="E1780" s="457" t="s">
        <v>4611</v>
      </c>
      <c r="F1780" s="1620"/>
      <c r="G1780" s="1051"/>
      <c r="H1780" s="1051"/>
      <c r="I1780" s="1524"/>
      <c r="J1780" s="1051"/>
      <c r="K1780" s="1051"/>
      <c r="L1780" s="1620"/>
      <c r="M1780" s="1620"/>
      <c r="N1780" s="1620"/>
      <c r="O1780" s="1578">
        <f>'Part IX Scoring Criteria'!O132</f>
        <v>0</v>
      </c>
      <c r="P1780" s="1578"/>
      <c r="Q1780" s="457"/>
      <c r="R1780" s="1051"/>
      <c r="S1780" s="1051"/>
      <c r="T1780" s="1051"/>
      <c r="U1780" s="1051"/>
      <c r="V1780" s="1051"/>
      <c r="W1780" s="1051"/>
      <c r="X1780" s="1051"/>
    </row>
    <row r="1781" spans="1:24">
      <c r="A1781" s="1620"/>
      <c r="B1781" s="1620"/>
      <c r="C1781" s="1051"/>
      <c r="D1781" s="1620"/>
      <c r="E1781" s="1524" t="s">
        <v>4612</v>
      </c>
      <c r="F1781" s="1620"/>
      <c r="G1781" s="1051"/>
      <c r="H1781" s="1051"/>
      <c r="I1781" s="1524"/>
      <c r="J1781" s="1051"/>
      <c r="K1781" s="1051"/>
      <c r="L1781" s="1620"/>
      <c r="M1781" s="1620"/>
      <c r="N1781" s="1620"/>
      <c r="O1781" s="1578">
        <f>'Part IX Scoring Criteria'!O133</f>
        <v>0</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f>'Part IX Scoring Criteria'!O134</f>
        <v>0</v>
      </c>
      <c r="P1782" s="1578"/>
      <c r="Q1782" s="457"/>
      <c r="R1782" s="1051"/>
      <c r="S1782" s="1051"/>
      <c r="T1782" s="1051"/>
      <c r="U1782" s="1051"/>
      <c r="V1782" s="1051"/>
      <c r="W1782" s="1051"/>
      <c r="X1782" s="1051"/>
    </row>
    <row r="1783" spans="1:24" ht="14.4">
      <c r="A1783" s="1511"/>
      <c r="B1783" s="457"/>
      <c r="C1783" s="1676"/>
      <c r="D1783" s="457" t="s">
        <v>4826</v>
      </c>
      <c r="E1783" s="457"/>
      <c r="F1783" s="457"/>
      <c r="G1783" s="457"/>
      <c r="H1783" s="1676"/>
      <c r="I1783" s="1676"/>
      <c r="J1783" s="1676"/>
      <c r="K1783" s="1676"/>
      <c r="L1783" s="1676"/>
      <c r="M1783" s="1313"/>
      <c r="N1783" s="1620" t="s">
        <v>3782</v>
      </c>
      <c r="O1783" s="1578">
        <f>'Part IX Scoring Criteria'!O135</f>
        <v>0</v>
      </c>
      <c r="P1783" s="1578"/>
      <c r="Q1783" s="1335"/>
      <c r="R1783" s="1051"/>
      <c r="S1783" s="1051"/>
      <c r="T1783" s="1051"/>
      <c r="U1783" s="1051"/>
      <c r="V1783" s="1676"/>
      <c r="W1783" s="1676"/>
      <c r="X1783" s="1676"/>
    </row>
    <row r="1784" spans="1:24" ht="14.4">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
      <c r="A1785" s="1511" t="s">
        <v>748</v>
      </c>
      <c r="B1785" s="1317" t="s">
        <v>3816</v>
      </c>
      <c r="C1785" s="1676"/>
      <c r="D1785" s="457"/>
      <c r="E1785" s="1676"/>
      <c r="F1785" s="457"/>
      <c r="G1785" s="457"/>
      <c r="H1785" s="457"/>
      <c r="I1785" s="457"/>
      <c r="J1785" s="457"/>
      <c r="K1785" s="457"/>
      <c r="L1785" s="2415" t="str">
        <f>IF(OR($O1785=$M1785,$O1785=0,$O1785=""),"","* * Check Score! * *")</f>
        <v/>
      </c>
      <c r="M1785" s="1316">
        <v>1</v>
      </c>
      <c r="N1785" s="1696" t="s">
        <v>1987</v>
      </c>
      <c r="O1785" s="1546">
        <f>'Part IX Scoring Criteria'!O137</f>
        <v>0</v>
      </c>
      <c r="P1785" s="1546"/>
      <c r="Q1785" s="2437" t="str">
        <f>IF(OR($O1785=$M1785,$O1785=0,$O1785=""),"","*CHECK!*")</f>
        <v/>
      </c>
      <c r="R1785" s="1335" t="s">
        <v>2705</v>
      </c>
      <c r="S1785" s="2417"/>
      <c r="T1785" s="2417"/>
      <c r="U1785" s="2417"/>
      <c r="V1785" s="1676"/>
      <c r="W1785" s="1676"/>
      <c r="X1785" s="1676"/>
    </row>
    <row r="1786" spans="1:24" ht="18">
      <c r="A1786" s="1620"/>
      <c r="B1786" s="457"/>
      <c r="C1786" s="457" t="s">
        <v>3992</v>
      </c>
      <c r="D1786" s="1643"/>
      <c r="E1786" s="1643"/>
      <c r="F1786" s="1643"/>
      <c r="G1786" s="1643"/>
      <c r="H1786" s="1643"/>
      <c r="I1786" s="1643"/>
      <c r="J1786" s="1643"/>
      <c r="K1786" s="1643"/>
      <c r="L1786" s="1643"/>
      <c r="M1786" s="1578"/>
      <c r="N1786" s="457"/>
      <c r="O1786" s="1578">
        <f>'Part IX Scoring Criteria'!O138</f>
        <v>0</v>
      </c>
      <c r="P1786" s="1578"/>
      <c r="Q1786" s="457"/>
      <c r="R1786" s="2417"/>
      <c r="S1786" s="2417"/>
      <c r="T1786" s="2417"/>
      <c r="U1786" s="2417"/>
      <c r="V1786" s="457"/>
      <c r="W1786" s="457"/>
      <c r="X1786" s="457"/>
    </row>
    <row r="1787" spans="1:24" ht="18.75" customHeight="1">
      <c r="A1787" s="1620"/>
      <c r="B1787" s="1727"/>
      <c r="C1787" s="1583" t="s">
        <v>5358</v>
      </c>
      <c r="D1787" s="1583"/>
      <c r="E1787" s="1583"/>
      <c r="F1787" s="1643"/>
      <c r="G1787" s="1524" t="s">
        <v>3993</v>
      </c>
      <c r="H1787" s="457"/>
      <c r="I1787" s="1643"/>
      <c r="J1787" s="1643"/>
      <c r="K1787" s="1643"/>
      <c r="L1787" s="1643"/>
      <c r="M1787" s="1620" t="s">
        <v>2434</v>
      </c>
      <c r="N1787" s="1620" t="s">
        <v>3778</v>
      </c>
      <c r="O1787" s="1578">
        <f>'Part IX Scoring Criteria'!O139</f>
        <v>0</v>
      </c>
      <c r="P1787" s="1578"/>
      <c r="Q1787" s="457"/>
      <c r="R1787" s="2417"/>
      <c r="S1787" s="2417"/>
      <c r="T1787" s="2417"/>
      <c r="U1787" s="2417"/>
      <c r="V1787" s="457"/>
      <c r="W1787" s="457"/>
      <c r="X1787" s="457"/>
    </row>
    <row r="1788" spans="1:24" ht="18">
      <c r="A1788" s="1620"/>
      <c r="B1788" s="1776"/>
      <c r="C1788" s="1583"/>
      <c r="D1788" s="1583"/>
      <c r="E1788" s="1583"/>
      <c r="F1788" s="1643"/>
      <c r="G1788" s="1524" t="s">
        <v>3994</v>
      </c>
      <c r="H1788" s="457"/>
      <c r="I1788" s="1643"/>
      <c r="J1788" s="1643"/>
      <c r="K1788" s="1643"/>
      <c r="L1788" s="1643"/>
      <c r="M1788" s="1578"/>
      <c r="N1788" s="1627" t="s">
        <v>3779</v>
      </c>
      <c r="O1788" s="1578">
        <f>'Part IX Scoring Criteria'!O140</f>
        <v>0</v>
      </c>
      <c r="P1788" s="1578"/>
      <c r="Q1788" s="457"/>
      <c r="R1788" s="2417"/>
      <c r="S1788" s="2417"/>
      <c r="T1788" s="2417"/>
      <c r="U1788" s="2417"/>
      <c r="V1788" s="457"/>
      <c r="W1788" s="457"/>
      <c r="X1788" s="457"/>
    </row>
    <row r="1789" spans="1:24" ht="18">
      <c r="A1789" s="1620"/>
      <c r="B1789" s="1776"/>
      <c r="C1789" s="1583"/>
      <c r="D1789" s="1583"/>
      <c r="E1789" s="1583"/>
      <c r="F1789" s="1643"/>
      <c r="G1789" s="1524" t="s">
        <v>3995</v>
      </c>
      <c r="H1789" s="457"/>
      <c r="I1789" s="1643"/>
      <c r="J1789" s="1643"/>
      <c r="K1789" s="1643"/>
      <c r="L1789" s="1643"/>
      <c r="M1789" s="1578"/>
      <c r="N1789" s="1620" t="s">
        <v>3780</v>
      </c>
      <c r="O1789" s="1578">
        <f>'Part IX Scoring Criteria'!O141</f>
        <v>0</v>
      </c>
      <c r="P1789" s="1578"/>
      <c r="Q1789" s="457"/>
      <c r="R1789" s="2417"/>
      <c r="S1789" s="2417"/>
      <c r="T1789" s="2417"/>
      <c r="U1789" s="2417"/>
      <c r="V1789" s="457"/>
      <c r="W1789" s="457"/>
      <c r="X1789" s="457"/>
    </row>
    <row r="1790" spans="1:24" ht="18">
      <c r="A1790" s="1620"/>
      <c r="B1790" s="1776"/>
      <c r="C1790" s="457"/>
      <c r="D1790" s="1643"/>
      <c r="E1790" s="1643"/>
      <c r="F1790" s="1643"/>
      <c r="G1790" s="1524" t="s">
        <v>3996</v>
      </c>
      <c r="H1790" s="457"/>
      <c r="I1790" s="1643"/>
      <c r="J1790" s="1643"/>
      <c r="K1790" s="1643"/>
      <c r="L1790" s="1643"/>
      <c r="M1790" s="1578"/>
      <c r="N1790" s="1620" t="s">
        <v>3782</v>
      </c>
      <c r="O1790" s="1578">
        <f>'Part IX Scoring Criteria'!O142</f>
        <v>0</v>
      </c>
      <c r="P1790" s="1578"/>
      <c r="Q1790" s="457"/>
      <c r="R1790" s="2417"/>
      <c r="S1790" s="2417"/>
      <c r="T1790" s="2417"/>
      <c r="U1790" s="2417"/>
      <c r="V1790" s="457"/>
      <c r="W1790" s="457"/>
      <c r="X1790" s="457"/>
    </row>
    <row r="1791" spans="1:24">
      <c r="A1791" s="1620"/>
      <c r="B1791" s="1776"/>
      <c r="C1791" s="457"/>
      <c r="D1791" s="1643"/>
      <c r="E1791" s="1643"/>
      <c r="F1791" s="1643"/>
      <c r="G1791" s="1524" t="s">
        <v>3997</v>
      </c>
      <c r="H1791" s="457"/>
      <c r="I1791" s="1643"/>
      <c r="J1791" s="1643"/>
      <c r="K1791" s="1643"/>
      <c r="L1791" s="1643"/>
      <c r="M1791" s="1578"/>
      <c r="N1791" s="1627" t="s">
        <v>3783</v>
      </c>
      <c r="O1791" s="1578">
        <f>'Part IX Scoring Criteria'!O143</f>
        <v>0</v>
      </c>
      <c r="P1791" s="1578"/>
      <c r="Q1791" s="457"/>
      <c r="R1791" s="457"/>
      <c r="S1791" s="457"/>
      <c r="T1791" s="457"/>
      <c r="U1791" s="457"/>
      <c r="V1791" s="457"/>
      <c r="W1791" s="457"/>
      <c r="X1791" s="457"/>
    </row>
    <row r="1792" spans="1:24">
      <c r="A1792" s="1620"/>
      <c r="B1792" s="1727"/>
      <c r="C1792" s="1524" t="s">
        <v>5359</v>
      </c>
      <c r="D1792" s="1643"/>
      <c r="E1792" s="1643"/>
      <c r="F1792" s="1643"/>
      <c r="G1792" s="1643"/>
      <c r="H1792" s="1643"/>
      <c r="I1792" s="1643"/>
      <c r="J1792" s="1643"/>
      <c r="K1792" s="1643"/>
      <c r="L1792" s="1643"/>
      <c r="M1792" s="1620"/>
      <c r="N1792" s="1620" t="s">
        <v>2435</v>
      </c>
      <c r="O1792" s="1578">
        <f>'Part IX Scoring Criteria'!O144</f>
        <v>0</v>
      </c>
      <c r="P1792" s="1578"/>
      <c r="Q1792" s="457"/>
      <c r="R1792" s="457"/>
      <c r="S1792" s="457"/>
      <c r="T1792" s="457"/>
      <c r="U1792" s="457"/>
      <c r="V1792" s="457"/>
      <c r="W1792" s="457"/>
      <c r="X1792" s="457"/>
    </row>
    <row r="1793" spans="1:24">
      <c r="A1793" s="1620"/>
      <c r="B1793" s="1704"/>
      <c r="C1793" s="1051" t="s">
        <v>3830</v>
      </c>
      <c r="D1793" s="1051"/>
      <c r="E1793" s="457"/>
      <c r="F1793" s="457"/>
      <c r="G1793" s="1051" t="s">
        <v>4128</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c r="A1794" s="1051"/>
      <c r="B1794" s="1620"/>
      <c r="C1794" s="1583">
        <f>'Part IX Scoring Criteria'!C146</f>
        <v>0</v>
      </c>
      <c r="D1794" s="1583">
        <f>'Part IX Scoring Criteria'!D146</f>
        <v>0</v>
      </c>
      <c r="E1794" s="1583">
        <f>'Part IX Scoring Criteria'!E146</f>
        <v>0</v>
      </c>
      <c r="F1794" s="1583">
        <f>'Part IX Scoring Criteria'!F146</f>
        <v>0</v>
      </c>
      <c r="G1794" s="1583">
        <f>'Part IX Scoring Criteria'!G146</f>
        <v>0</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c r="A1795" s="1620"/>
      <c r="B1795" s="1627"/>
      <c r="C1795" s="1583">
        <f>'Part IX Scoring Criteria'!C147</f>
        <v>0</v>
      </c>
      <c r="D1795" s="1583">
        <f>'Part IX Scoring Criteria'!D147</f>
        <v>0</v>
      </c>
      <c r="E1795" s="1583">
        <f>'Part IX Scoring Criteria'!E147</f>
        <v>0</v>
      </c>
      <c r="F1795" s="1583">
        <f>'Part IX Scoring Criteria'!F147</f>
        <v>0</v>
      </c>
      <c r="G1795" s="1583">
        <f>'Part IX Scoring Criteria'!G147</f>
        <v>0</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4162</v>
      </c>
      <c r="B1796" s="1468"/>
      <c r="C1796" s="1583">
        <f>'Part IX Scoring Criteria'!C148</f>
        <v>0</v>
      </c>
      <c r="D1796" s="1583">
        <f>'Part IX Scoring Criteria'!D148</f>
        <v>0</v>
      </c>
      <c r="E1796" s="1583">
        <f>'Part IX Scoring Criteria'!E148</f>
        <v>0</v>
      </c>
      <c r="F1796" s="1583">
        <f>'Part IX Scoring Criteria'!F148</f>
        <v>0</v>
      </c>
      <c r="G1796" s="1583">
        <f>'Part IX Scoring Criteria'!G148</f>
        <v>0</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c r="A1797" s="1468"/>
      <c r="B1797" s="1468"/>
      <c r="C1797" s="1583">
        <f>'Part IX Scoring Criteria'!C149</f>
        <v>0</v>
      </c>
      <c r="D1797" s="1583">
        <f>'Part IX Scoring Criteria'!D149</f>
        <v>0</v>
      </c>
      <c r="E1797" s="1583">
        <f>'Part IX Scoring Criteria'!E149</f>
        <v>0</v>
      </c>
      <c r="F1797" s="1583">
        <f>'Part IX Scoring Criteria'!F149</f>
        <v>0</v>
      </c>
      <c r="G1797" s="1583">
        <f>'Part IX Scoring Criteria'!G149</f>
        <v>0</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4.4">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2384"/>
      <c r="R1799" s="1659"/>
      <c r="S1799" s="1659"/>
      <c r="T1799" s="1659"/>
      <c r="U1799" s="1659"/>
      <c r="V1799" s="1659"/>
      <c r="W1799" s="1659"/>
      <c r="X1799" s="1659"/>
    </row>
    <row r="1800" spans="1:24" ht="14.4">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4.4">
      <c r="A1801" s="2426" t="s">
        <v>529</v>
      </c>
      <c r="B1801" s="2362" t="s">
        <v>3964</v>
      </c>
      <c r="C1801" s="1582"/>
      <c r="D1801" s="1582"/>
      <c r="E1801" s="1582"/>
      <c r="F1801" s="1582"/>
      <c r="G1801" s="1582"/>
      <c r="H1801" s="1582"/>
      <c r="I1801" s="1582"/>
      <c r="J1801" s="1582"/>
      <c r="K1801" s="1582"/>
      <c r="L1801" s="1582"/>
      <c r="M1801" s="1313">
        <v>5</v>
      </c>
      <c r="N1801" s="1694"/>
      <c r="O1801" s="1546">
        <f>'Part IX Scoring Criteria'!O153</f>
        <v>0</v>
      </c>
      <c r="P1801" s="1546">
        <f>P1803+P1819</f>
        <v>0</v>
      </c>
      <c r="Q1801" s="1313" t="s">
        <v>441</v>
      </c>
      <c r="R1801" s="1659"/>
      <c r="S1801" s="1659"/>
      <c r="T1801" s="1659"/>
      <c r="U1801" s="1659"/>
      <c r="V1801" s="1659"/>
      <c r="W1801" s="1659"/>
      <c r="X1801" s="1659"/>
    </row>
    <row r="1802" spans="1:24" ht="14.4">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4.4">
      <c r="A1803" s="1511" t="s">
        <v>1982</v>
      </c>
      <c r="B1803" s="1314" t="s">
        <v>4001</v>
      </c>
      <c r="C1803" s="1676"/>
      <c r="D1803" s="1724"/>
      <c r="E1803" s="1724"/>
      <c r="F1803" s="1676"/>
      <c r="G1803" s="1724"/>
      <c r="H1803" s="1724"/>
      <c r="I1803" s="1724"/>
      <c r="J1803" s="1724"/>
      <c r="K1803" s="1724"/>
      <c r="L1803" s="1724"/>
      <c r="M1803" s="1313">
        <v>3</v>
      </c>
      <c r="N1803" s="1696"/>
      <c r="O1803" s="1313">
        <f>'Part IX Scoring Criteria'!O155</f>
        <v>0</v>
      </c>
      <c r="P1803" s="1313"/>
      <c r="Q1803" s="1676"/>
      <c r="R1803" s="1335"/>
      <c r="S1803" s="1676"/>
      <c r="T1803" s="1676"/>
      <c r="U1803" s="1676"/>
      <c r="V1803" s="1676"/>
      <c r="W1803" s="1676"/>
      <c r="X1803" s="1676"/>
    </row>
    <row r="1804" spans="1:24" ht="14.4">
      <c r="A1804" s="1659"/>
      <c r="B1804" s="1524" t="s">
        <v>3825</v>
      </c>
      <c r="C1804" s="1647"/>
      <c r="D1804" s="1647"/>
      <c r="E1804" s="1647"/>
      <c r="F1804" s="1647"/>
      <c r="G1804" s="1647"/>
      <c r="H1804" s="1647"/>
      <c r="I1804" s="1647"/>
      <c r="J1804" s="1647"/>
      <c r="K1804" s="1647"/>
      <c r="L1804" s="1647"/>
      <c r="M1804" s="1647"/>
      <c r="N1804" s="1647"/>
      <c r="O1804" s="1578">
        <f>'Part IX Scoring Criteria'!O156</f>
        <v>0</v>
      </c>
      <c r="P1804" s="1578"/>
      <c r="Q1804" s="1659"/>
      <c r="R1804" s="2415"/>
      <c r="S1804" s="1659"/>
      <c r="T1804" s="1659"/>
      <c r="U1804" s="1659"/>
      <c r="V1804" s="1659"/>
      <c r="W1804" s="1659"/>
      <c r="X1804" s="1659"/>
    </row>
    <row r="1805" spans="1:24" ht="14.4">
      <c r="A1805" s="1511"/>
      <c r="B1805" s="1587"/>
      <c r="C1805" s="1587"/>
      <c r="D1805" s="1587"/>
      <c r="E1805" s="1587"/>
      <c r="F1805" s="1587"/>
      <c r="G1805" s="1587"/>
      <c r="H1805" s="1587"/>
      <c r="I1805" s="1587"/>
      <c r="J1805" s="1587"/>
      <c r="K1805" s="1587"/>
      <c r="L1805" s="1587"/>
      <c r="M1805" s="1587"/>
      <c r="N1805" s="1659"/>
      <c r="O1805" s="1659"/>
      <c r="P1805" s="1659"/>
      <c r="Q1805" s="1659"/>
      <c r="R1805" s="2415"/>
      <c r="S1805" s="1659"/>
      <c r="T1805" s="1659"/>
      <c r="U1805" s="1659"/>
      <c r="V1805" s="1659"/>
      <c r="W1805" s="1659"/>
      <c r="X1805" s="1659"/>
    </row>
    <row r="1806" spans="1:24" ht="15" customHeight="1">
      <c r="A1806" s="1511"/>
      <c r="B1806" s="1583" t="s">
        <v>5360</v>
      </c>
      <c r="C1806" s="1583"/>
      <c r="D1806" s="1583"/>
      <c r="E1806" s="457" t="s">
        <v>3822</v>
      </c>
      <c r="F1806" s="1676"/>
      <c r="G1806" s="457"/>
      <c r="H1806" s="1676"/>
      <c r="I1806" s="1550">
        <f>'Part IX Scoring Criteria'!I158</f>
        <v>0</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4.4">
      <c r="A1807" s="1511"/>
      <c r="B1807" s="1583"/>
      <c r="C1807" s="1583"/>
      <c r="D1807" s="1583"/>
      <c r="E1807" s="1524" t="s">
        <v>4831</v>
      </c>
      <c r="F1807" s="2415"/>
      <c r="G1807" s="1676"/>
      <c r="H1807" s="1676"/>
      <c r="I1807" s="1524"/>
      <c r="J1807" s="1517"/>
      <c r="K1807" s="1517"/>
      <c r="L1807" s="1517"/>
      <c r="M1807" s="1676"/>
      <c r="N1807" s="1550"/>
      <c r="O1807" s="1578">
        <f>'Part IX Scoring Criteria'!O159</f>
        <v>0</v>
      </c>
      <c r="P1807" s="1578"/>
      <c r="Q1807" s="1550"/>
      <c r="R1807" s="1659"/>
      <c r="S1807" s="1659"/>
      <c r="T1807" s="1659"/>
      <c r="U1807" s="1659"/>
      <c r="V1807" s="1659"/>
      <c r="W1807" s="1659"/>
      <c r="X1807" s="1659"/>
    </row>
    <row r="1808" spans="1:24" ht="15" customHeight="1">
      <c r="A1808" s="1314"/>
      <c r="B1808" s="1659"/>
      <c r="C1808" s="1582"/>
      <c r="D1808" s="1582"/>
      <c r="E1808" s="457" t="s">
        <v>4832</v>
      </c>
      <c r="F1808" s="1578" t="str">
        <f>'Part I-Project Information'!$H$82</f>
        <v>Family</v>
      </c>
      <c r="G1808" s="1659"/>
      <c r="H1808" s="457"/>
      <c r="I1808" s="1582"/>
      <c r="J1808" s="1582"/>
      <c r="K1808" s="1659"/>
      <c r="L1808" s="1659"/>
      <c r="M1808" s="1582"/>
      <c r="N1808" s="1694"/>
      <c r="O1808" s="1550" t="s">
        <v>5361</v>
      </c>
      <c r="P1808" s="1550"/>
      <c r="Q1808" s="1659"/>
      <c r="R1808" s="1659"/>
      <c r="S1808" s="1659"/>
      <c r="T1808" s="1659"/>
      <c r="U1808" s="1659"/>
      <c r="V1808" s="1659"/>
      <c r="W1808" s="1659"/>
      <c r="X1808" s="1659"/>
    </row>
    <row r="1809" spans="1:24">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2434</v>
      </c>
      <c r="B1810" s="1317" t="s">
        <v>4830</v>
      </c>
      <c r="C1810" s="1582"/>
      <c r="D1810" s="1582"/>
      <c r="E1810" s="457"/>
      <c r="F1810" s="1524"/>
      <c r="G1810" s="1524"/>
      <c r="H1810" s="1659"/>
      <c r="I1810" s="1582"/>
      <c r="J1810" s="1582"/>
      <c r="K1810" s="1582"/>
      <c r="L1810" s="1582"/>
      <c r="M1810" s="1389" t="s">
        <v>4829</v>
      </c>
      <c r="N1810" s="1694"/>
      <c r="O1810" s="1550"/>
      <c r="P1810" s="1550"/>
      <c r="Q1810" s="1659"/>
      <c r="R1810" s="1659"/>
      <c r="S1810" s="1659"/>
      <c r="T1810" s="1587" t="s">
        <v>5059</v>
      </c>
      <c r="U1810" s="1659"/>
      <c r="V1810" s="1659"/>
      <c r="W1810" s="1659"/>
      <c r="X1810" s="1659"/>
    </row>
    <row r="1811" spans="1:24">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3820</v>
      </c>
      <c r="I1812" s="1550" t="s">
        <v>3865</v>
      </c>
      <c r="J1812" s="1550"/>
      <c r="K1812" s="1550"/>
      <c r="L1812" s="1389" t="s">
        <v>3819</v>
      </c>
      <c r="M1812" s="1389"/>
      <c r="N1812" s="1389"/>
      <c r="O1812" s="1550"/>
      <c r="P1812" s="1550"/>
      <c r="Q1812" s="1659"/>
      <c r="R1812" s="1721" t="s">
        <v>5026</v>
      </c>
      <c r="S1812" s="1659"/>
      <c r="T1812" s="1587"/>
      <c r="U1812" s="1587" t="s">
        <v>5058</v>
      </c>
      <c r="V1812" s="1659"/>
      <c r="W1812" s="1659"/>
      <c r="X1812" s="1659"/>
    </row>
    <row r="1813" spans="1:24" ht="21.6">
      <c r="A1813" s="1511"/>
      <c r="B1813" s="1735" t="s">
        <v>3817</v>
      </c>
      <c r="C1813" s="1517"/>
      <c r="D1813" s="1335" t="s">
        <v>4577</v>
      </c>
      <c r="E1813" s="1335"/>
      <c r="F1813" s="1335"/>
      <c r="G1813" s="1603" t="s">
        <v>3396</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15">
      <c r="A1814" s="1659"/>
      <c r="B1814" s="1738" t="s">
        <v>4000</v>
      </c>
      <c r="C1814" s="1659"/>
      <c r="D1814" s="1550">
        <f>'Part IX Scoring Criteria'!D166</f>
        <v>0</v>
      </c>
      <c r="E1814" s="1550">
        <f>'Part IX Scoring Criteria'!E166</f>
        <v>0</v>
      </c>
      <c r="F1814" s="1550">
        <f>'Part IX Scoring Criteria'!F166</f>
        <v>0</v>
      </c>
      <c r="G1814" s="1850">
        <f>'Part IX Scoring Criteria'!G166</f>
        <v>0</v>
      </c>
      <c r="H1814" s="1611">
        <f>'Part IX Scoring Criteria'!H166</f>
        <v>0</v>
      </c>
      <c r="I1814" s="1739">
        <f>'Part IX Scoring Criteria'!I166</f>
        <v>0</v>
      </c>
      <c r="J1814" s="1739">
        <f>'Part IX Scoring Criteria'!J166</f>
        <v>0</v>
      </c>
      <c r="K1814" s="1739">
        <f>'Part IX Scoring Criteria'!K166</f>
        <v>0</v>
      </c>
      <c r="L1814" s="1739" t="str">
        <f>IF(I1814+J1814+K1814=0,"",AVERAGE(I1814,J1814,K1814))</f>
        <v/>
      </c>
      <c r="M1814" s="1316" t="str">
        <f>IF(L1814="","",IF(L1814&gt;R1814,"Yes",IF(L1814&lt;R1814,"No","")))</f>
        <v/>
      </c>
      <c r="N1814" s="1659"/>
      <c r="O1814" s="1578">
        <f>'Part IX Scoring Criteria'!O166</f>
        <v>0</v>
      </c>
      <c r="P1814" s="1578"/>
      <c r="Q1814" s="1659"/>
      <c r="R1814" s="1315">
        <v>73.400000000000006</v>
      </c>
      <c r="S1814" s="1659"/>
      <c r="T1814" s="1316">
        <f>IF(OR(M1814="Yes",O1814="Yes"),1,0)</f>
        <v>0</v>
      </c>
      <c r="U1814" s="2384">
        <f>SUM(T1814:T1818)</f>
        <v>0</v>
      </c>
      <c r="V1814" s="1659"/>
      <c r="W1814" s="1659"/>
      <c r="X1814" s="1659"/>
    </row>
    <row r="1815" spans="1:24" ht="15">
      <c r="A1815" s="1659"/>
      <c r="B1815" s="1738" t="s">
        <v>4163</v>
      </c>
      <c r="C1815" s="1659"/>
      <c r="D1815" s="1550">
        <f>'Part IX Scoring Criteria'!D167</f>
        <v>0</v>
      </c>
      <c r="E1815" s="1550">
        <f>'Part IX Scoring Criteria'!E167</f>
        <v>0</v>
      </c>
      <c r="F1815" s="1550">
        <f>'Part IX Scoring Criteria'!F167</f>
        <v>0</v>
      </c>
      <c r="G1815" s="1850">
        <f>'Part IX Scoring Criteria'!G167</f>
        <v>0</v>
      </c>
      <c r="H1815" s="1611">
        <f>'Part IX Scoring Criteria'!H167</f>
        <v>0</v>
      </c>
      <c r="I1815" s="1739">
        <f>'Part IX Scoring Criteria'!I167</f>
        <v>0</v>
      </c>
      <c r="J1815" s="1739">
        <f>'Part IX Scoring Criteria'!J167</f>
        <v>0</v>
      </c>
      <c r="K1815" s="1739">
        <f>'Part IX Scoring Criteria'!K167</f>
        <v>0</v>
      </c>
      <c r="L1815" s="1739" t="str">
        <f>IF(I1815+J1815+K1815=0,"",AVERAGE(I1815,J1815,K1815))</f>
        <v/>
      </c>
      <c r="M1815" s="1316" t="str">
        <f>IF(L1815="","",IF(L1815&gt;R1815,"Yes",IF(L1815&lt;R1815,"No","")))</f>
        <v/>
      </c>
      <c r="N1815" s="1659"/>
      <c r="O1815" s="1578">
        <f>'Part IX Scoring Criteria'!O167</f>
        <v>0</v>
      </c>
      <c r="P1815" s="1578"/>
      <c r="Q1815" s="1659"/>
      <c r="R1815" s="1315">
        <v>72.099999999999994</v>
      </c>
      <c r="S1815" s="1659"/>
      <c r="T1815" s="1316">
        <f t="shared" ref="T1815:T1816" si="380">IF(OR(M1815="Yes",O1815="Yes"),1,0)</f>
        <v>0</v>
      </c>
      <c r="U1815" s="2384"/>
      <c r="V1815" s="1659"/>
      <c r="W1815" s="1659"/>
      <c r="X1815" s="1659"/>
    </row>
    <row r="1816" spans="1:24" ht="15">
      <c r="A1816" s="1620"/>
      <c r="B1816" s="1738" t="s">
        <v>3998</v>
      </c>
      <c r="C1816" s="1659"/>
      <c r="D1816" s="1550">
        <f>'Part IX Scoring Criteria'!D168</f>
        <v>0</v>
      </c>
      <c r="E1816" s="1550">
        <f>'Part IX Scoring Criteria'!E168</f>
        <v>0</v>
      </c>
      <c r="F1816" s="1550">
        <f>'Part IX Scoring Criteria'!F168</f>
        <v>0</v>
      </c>
      <c r="G1816" s="1850">
        <f>'Part IX Scoring Criteria'!G168</f>
        <v>0</v>
      </c>
      <c r="H1816" s="1611">
        <f>'Part IX Scoring Criteria'!H168</f>
        <v>0</v>
      </c>
      <c r="I1816" s="1739">
        <f>'Part IX Scoring Criteria'!I168</f>
        <v>0</v>
      </c>
      <c r="J1816" s="1739">
        <f>'Part IX Scoring Criteria'!J168</f>
        <v>0</v>
      </c>
      <c r="K1816" s="1739">
        <f>'Part IX Scoring Criteria'!K168</f>
        <v>0</v>
      </c>
      <c r="L1816" s="1739" t="str">
        <f>IF(I1816+J1816+K1816=0,"",AVERAGE(I1816,J1816,K1816))</f>
        <v/>
      </c>
      <c r="M1816" s="1316" t="str">
        <f>IF(L1816="","",IF(L1816&gt;R1816,"Yes",IF(L1816&lt;R1816,"No","")))</f>
        <v/>
      </c>
      <c r="N1816" s="1659"/>
      <c r="O1816" s="1578">
        <f>'Part IX Scoring Criteria'!O168</f>
        <v>0</v>
      </c>
      <c r="P1816" s="1578"/>
      <c r="Q1816" s="1659"/>
      <c r="R1816" s="1315">
        <v>73.3</v>
      </c>
      <c r="S1816" s="1659"/>
      <c r="T1816" s="1316">
        <f t="shared" si="380"/>
        <v>0</v>
      </c>
      <c r="U1816" s="2384"/>
      <c r="V1816" s="1659"/>
      <c r="W1816" s="1659"/>
      <c r="X1816" s="1659"/>
    </row>
    <row r="1817" spans="1:24" ht="14.4">
      <c r="A1817" s="1620"/>
      <c r="B1817" s="1738"/>
      <c r="C1817" s="1659"/>
      <c r="D1817" s="1659"/>
      <c r="E1817" s="1659"/>
      <c r="F1817" s="1659"/>
      <c r="G1817" s="1659"/>
      <c r="H1817" s="1659"/>
      <c r="I1817" s="1659"/>
      <c r="J1817" s="1659"/>
      <c r="K1817" s="1659"/>
      <c r="L1817" s="2450"/>
      <c r="M1817" s="1659"/>
      <c r="N1817" s="1659"/>
      <c r="O1817" s="1659"/>
      <c r="P1817" s="1659"/>
      <c r="Q1817" s="1659"/>
      <c r="R1817" s="1659"/>
      <c r="S1817" s="1659"/>
      <c r="T1817" s="1659"/>
      <c r="U1817" s="1659"/>
      <c r="V1817" s="1659"/>
      <c r="W1817" s="1659"/>
      <c r="X1817" s="1659"/>
    </row>
    <row r="1818" spans="1:24">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4.4">
      <c r="A1819" s="1511" t="s">
        <v>1984</v>
      </c>
      <c r="B1819" s="1314" t="s">
        <v>4002</v>
      </c>
      <c r="C1819" s="1676"/>
      <c r="D1819" s="1724"/>
      <c r="E1819" s="1724"/>
      <c r="F1819" s="1525" t="s">
        <v>3389</v>
      </c>
      <c r="G1819" s="1676"/>
      <c r="H1819" s="1524" t="s">
        <v>3866</v>
      </c>
      <c r="I1819" s="1676"/>
      <c r="J1819" s="1676"/>
      <c r="K1819" s="1676"/>
      <c r="L1819" s="1676"/>
      <c r="M1819" s="1313">
        <v>2</v>
      </c>
      <c r="N1819" s="1696"/>
      <c r="O1819" s="1546">
        <f>'Part IX Scoring Criteria'!O171</f>
        <v>0</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4165</v>
      </c>
      <c r="F1820" s="1587" t="s">
        <v>3658</v>
      </c>
      <c r="G1820" s="1493" t="s">
        <v>3397</v>
      </c>
      <c r="H1820" s="1493"/>
      <c r="I1820" s="1493"/>
      <c r="J1820" s="1493"/>
      <c r="K1820" s="1493"/>
      <c r="L1820" s="1493"/>
      <c r="M1820" s="1493"/>
      <c r="N1820" s="1493"/>
      <c r="O1820" s="1051"/>
      <c r="P1820" s="1583"/>
      <c r="Q1820" s="1051"/>
      <c r="R1820" s="457" t="s">
        <v>2831</v>
      </c>
      <c r="S1820" s="457"/>
      <c r="T1820" s="457" t="str">
        <f>'Part I-Project Information'!$F$38</f>
        <v>Leesburg</v>
      </c>
      <c r="U1820" s="457"/>
      <c r="V1820" s="457"/>
      <c r="W1820" s="457"/>
      <c r="X1820" s="457"/>
    </row>
    <row r="1821" spans="1:24" ht="12.75" customHeight="1">
      <c r="A1821" s="1620"/>
      <c r="B1821" s="1587" t="s">
        <v>4005</v>
      </c>
      <c r="C1821" s="1587"/>
      <c r="D1821" s="1587"/>
      <c r="E1821" s="1587"/>
      <c r="F1821" s="1587"/>
      <c r="G1821" s="1583" t="s">
        <v>4004</v>
      </c>
      <c r="H1821" s="1583"/>
      <c r="I1821" s="1583"/>
      <c r="J1821" s="1583"/>
      <c r="K1821" s="1583"/>
      <c r="L1821" s="1583"/>
      <c r="M1821" s="1583"/>
      <c r="N1821" s="1583"/>
      <c r="O1821" s="1587" t="s">
        <v>3659</v>
      </c>
      <c r="P1821" s="1587"/>
      <c r="Q1821" s="1051"/>
      <c r="R1821" s="457" t="s">
        <v>2832</v>
      </c>
      <c r="S1821" s="457"/>
      <c r="T1821" s="457" t="str">
        <f>'Part I-Project Information'!$J$39</f>
        <v>Lee</v>
      </c>
      <c r="U1821" s="457"/>
      <c r="V1821" s="457"/>
      <c r="W1821" s="457"/>
      <c r="X1821" s="457"/>
    </row>
    <row r="1822" spans="1:24">
      <c r="A1822" s="1620"/>
      <c r="B1822" s="457" t="s">
        <v>3826</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2833</v>
      </c>
      <c r="S1822" s="457"/>
      <c r="T1822" s="457" t="str">
        <f>'Part I-Project Information'!$O$40</f>
        <v>Albany</v>
      </c>
      <c r="U1822" s="457"/>
      <c r="V1822" s="457"/>
      <c r="W1822" s="457"/>
      <c r="X1822" s="457"/>
    </row>
    <row r="1823" spans="1:24" ht="12.75" customHeight="1">
      <c r="A1823" s="1620"/>
      <c r="B1823" s="1550" t="s">
        <v>4003</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3859</v>
      </c>
      <c r="S1823" s="457"/>
      <c r="T1823" s="457" t="str">
        <f>VLOOKUP('Part I-Project Information'!$J$39,'DCA Underwriting Assumptions'!$G$158:$J$317,4)</f>
        <v>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3860</v>
      </c>
      <c r="C1825" s="1051"/>
      <c r="D1825" s="1051"/>
      <c r="E1825" s="1745"/>
      <c r="F1825" s="1745"/>
      <c r="G1825" s="1745"/>
      <c r="H1825" s="1051"/>
      <c r="I1825" s="1745">
        <f>'Part IX Scoring Criteria'!I177</f>
        <v>0</v>
      </c>
      <c r="J1825" s="1745"/>
      <c r="K1825" s="1051"/>
      <c r="L1825" s="1051"/>
      <c r="M1825" s="1051"/>
      <c r="N1825" s="1051"/>
      <c r="O1825" s="1051"/>
      <c r="P1825" s="1051"/>
      <c r="Q1825" s="1051"/>
      <c r="R1825" s="457" t="s">
        <v>3624</v>
      </c>
      <c r="S1825" s="457"/>
      <c r="T1825" s="457" t="str">
        <f>'Part I-Project Information'!$K$40</f>
        <v>Rural</v>
      </c>
      <c r="U1825" s="457"/>
      <c r="V1825" s="457"/>
      <c r="W1825" s="457"/>
      <c r="X1825" s="457"/>
    </row>
    <row r="1826" spans="1:24">
      <c r="A1826" s="1738"/>
      <c r="B1826" s="1647" t="s">
        <v>3623</v>
      </c>
      <c r="C1826" s="1051"/>
      <c r="D1826" s="1051"/>
      <c r="E1826" s="1051"/>
      <c r="F1826" s="1051"/>
      <c r="G1826" s="1051"/>
      <c r="H1826" s="1636" t="str">
        <f>IF(I1826&lt;I1825,"Threshold not met!","")</f>
        <v/>
      </c>
      <c r="I1826" s="1745">
        <f>'Part IX Scoring Criteria'!I178</f>
        <v>0</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1985</v>
      </c>
      <c r="C1828" s="457" t="s">
        <v>4164</v>
      </c>
      <c r="D1828" s="1638"/>
      <c r="E1828" s="1638"/>
      <c r="F1828" s="1638"/>
      <c r="G1828" s="1638"/>
      <c r="H1828" s="1747" t="s">
        <v>1985</v>
      </c>
      <c r="I1828" s="1766" t="str">
        <f>'Part IX Scoring Criteria'!I180</f>
        <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1352</v>
      </c>
      <c r="B1829" s="1696" t="s">
        <v>1987</v>
      </c>
      <c r="C1829" s="457" t="s">
        <v>4006</v>
      </c>
      <c r="D1829" s="1734"/>
      <c r="E1829" s="1734"/>
      <c r="F1829" s="1734"/>
      <c r="G1829" s="1051"/>
      <c r="H1829" s="1747" t="s">
        <v>1987</v>
      </c>
      <c r="I1829" s="1626" t="str">
        <f>'Part IX Scoring Criteria'!I181</f>
        <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3881</v>
      </c>
      <c r="D1830" s="1734"/>
      <c r="E1830" s="1734"/>
      <c r="F1830" s="1734"/>
      <c r="G1830" s="1647"/>
      <c r="H1830" s="1051"/>
      <c r="I1830" s="2397">
        <f>'Part IX Scoring Criteria'!I182</f>
        <v>0</v>
      </c>
      <c r="J1830" s="2397">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4.4">
      <c r="A1832" s="1314"/>
      <c r="B1832" s="1549" t="s">
        <v>3752</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15">
      <c r="A1833" s="1583">
        <f>'Part IX Scoring Criteria'!A185</f>
        <v>0</v>
      </c>
      <c r="B1833" s="1583"/>
      <c r="C1833" s="1583"/>
      <c r="D1833" s="1583"/>
      <c r="E1833" s="1583"/>
      <c r="F1833" s="1583"/>
      <c r="G1833" s="1583"/>
      <c r="H1833" s="1583"/>
      <c r="I1833" s="1583"/>
      <c r="J1833" s="1583"/>
      <c r="K1833" s="1583"/>
      <c r="L1833" s="1583"/>
      <c r="M1833" s="1583"/>
      <c r="N1833" s="1583"/>
      <c r="O1833" s="1583"/>
      <c r="P1833" s="1583"/>
      <c r="Q1833" s="2384" t="s">
        <v>1253</v>
      </c>
      <c r="R1833" s="1659"/>
      <c r="S1833" s="1659"/>
      <c r="T1833" s="1659"/>
      <c r="U1833" s="1659"/>
      <c r="V1833" s="1659"/>
      <c r="W1833" s="1659"/>
      <c r="X1833" s="1659"/>
    </row>
    <row r="1834" spans="1:24" ht="14.4">
      <c r="A1834" s="1314"/>
      <c r="B1834" s="1580" t="s">
        <v>1865</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2384"/>
      <c r="R1835" s="1659"/>
      <c r="S1835" s="1659"/>
      <c r="T1835" s="1659"/>
      <c r="U1835" s="2451"/>
      <c r="V1835" s="1659"/>
      <c r="W1835" s="1659"/>
      <c r="X1835" s="1659"/>
    </row>
    <row r="1836" spans="1:24" ht="14.4">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2426" t="s">
        <v>771</v>
      </c>
      <c r="B1837" s="2362" t="s">
        <v>4012</v>
      </c>
      <c r="C1837" s="1676"/>
      <c r="D1837" s="1549"/>
      <c r="E1837" s="1549"/>
      <c r="F1837" s="1676"/>
      <c r="G1837" s="1676"/>
      <c r="H1837" s="1676"/>
      <c r="I1837" s="1760"/>
      <c r="J1837" s="1760"/>
      <c r="K1837" s="1578"/>
      <c r="L1837" s="1578"/>
      <c r="M1837" s="1313">
        <v>7</v>
      </c>
      <c r="N1837" s="1313"/>
      <c r="O1837" s="1546">
        <f>'Part IX Scoring Criteria'!O189</f>
        <v>0</v>
      </c>
      <c r="P1837" s="1546">
        <f>IF(OR(P$153&gt;0,P$277&gt;0),0,MIN($M$189,P1853+P1858))</f>
        <v>0</v>
      </c>
      <c r="Q1837" s="1313" t="s">
        <v>441</v>
      </c>
      <c r="R1837" s="1721" t="s">
        <v>4839</v>
      </c>
      <c r="S1837" s="1721"/>
      <c r="T1837" s="1676"/>
      <c r="U1837" s="1676"/>
      <c r="V1837" s="1676"/>
      <c r="W1837" s="1676"/>
      <c r="X1837" s="1676"/>
    </row>
    <row r="1838" spans="1:24" ht="14.4">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4839</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4.4">
      <c r="A1840" s="1313"/>
      <c r="B1840" s="1317" t="s">
        <v>5121</v>
      </c>
      <c r="C1840" s="1317"/>
      <c r="D1840" s="1317"/>
      <c r="E1840" s="1317"/>
      <c r="F1840" s="1317"/>
      <c r="G1840" s="1317"/>
      <c r="H1840" s="1317"/>
      <c r="I1840" s="1317"/>
      <c r="J1840" s="1317"/>
      <c r="K1840" s="1626" t="s">
        <v>2509</v>
      </c>
      <c r="L1840" s="1626" t="s">
        <v>2509</v>
      </c>
      <c r="M1840" s="1659"/>
      <c r="N1840" s="1638"/>
      <c r="O1840" s="1659"/>
      <c r="P1840" s="1638"/>
      <c r="Q1840" s="1659"/>
      <c r="R1840" s="1721"/>
      <c r="S1840" s="1721"/>
      <c r="T1840" s="1659"/>
      <c r="U1840" s="1659"/>
      <c r="V1840" s="1659"/>
      <c r="W1840" s="1659"/>
      <c r="X1840" s="1659"/>
    </row>
    <row r="1841" spans="1:24" ht="12.75" customHeight="1">
      <c r="A1841" s="1596"/>
      <c r="B1841" s="1627" t="s">
        <v>2434</v>
      </c>
      <c r="C1841" s="1583" t="s">
        <v>4945</v>
      </c>
      <c r="D1841" s="1583"/>
      <c r="E1841" s="1583"/>
      <c r="F1841" s="1583"/>
      <c r="G1841" s="1583"/>
      <c r="H1841" s="1583"/>
      <c r="I1841" s="1583"/>
      <c r="J1841" s="1627" t="s">
        <v>2434</v>
      </c>
      <c r="K1841" s="1578">
        <f>'Part IX Scoring Criteria'!K193</f>
        <v>0</v>
      </c>
      <c r="L1841" s="1578"/>
      <c r="M1841" s="1851" t="str">
        <f>'Part IX Scoring Criteria'!M193</f>
        <v>&lt;Enter page nbr(s) from Plan&gt;</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4.4">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2435</v>
      </c>
      <c r="C1843" s="1550" t="s">
        <v>5362</v>
      </c>
      <c r="D1843" s="1550"/>
      <c r="E1843" s="1550"/>
      <c r="F1843" s="1550"/>
      <c r="G1843" s="1550"/>
      <c r="H1843" s="1676"/>
      <c r="I1843" s="1676"/>
      <c r="J1843" s="1620" t="s">
        <v>2435</v>
      </c>
      <c r="K1843" s="1578">
        <f>'Part IX Scoring Criteria'!K195</f>
        <v>0</v>
      </c>
      <c r="L1843" s="1578"/>
      <c r="M1843" s="1851" t="str">
        <f>'Part IX Scoring Criteria'!M195</f>
        <v>&lt;Enter page nbr(s) from Plan&gt;</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2436</v>
      </c>
      <c r="C1844" s="457" t="s">
        <v>4834</v>
      </c>
      <c r="D1844" s="457"/>
      <c r="E1844" s="457"/>
      <c r="F1844" s="457"/>
      <c r="G1844" s="457"/>
      <c r="H1844" s="457"/>
      <c r="I1844" s="1314"/>
      <c r="J1844" s="1620" t="s">
        <v>2436</v>
      </c>
      <c r="K1844" s="1578">
        <f>'Part IX Scoring Criteria'!K196</f>
        <v>0</v>
      </c>
      <c r="L1844" s="1578"/>
      <c r="M1844" s="1851" t="str">
        <f>'Part IX Scoring Criteria'!M196</f>
        <v>&lt;Enter page nbr(s) from Plan&gt;</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2438</v>
      </c>
      <c r="C1845" s="457" t="s">
        <v>4835</v>
      </c>
      <c r="D1845" s="457"/>
      <c r="E1845" s="457"/>
      <c r="F1845" s="457"/>
      <c r="G1845" s="457"/>
      <c r="H1845" s="457"/>
      <c r="I1845" s="1314"/>
      <c r="J1845" s="1620" t="s">
        <v>2438</v>
      </c>
      <c r="K1845" s="1578">
        <f>'Part IX Scoring Criteria'!K197</f>
        <v>0</v>
      </c>
      <c r="L1845" s="1578"/>
      <c r="M1845" s="1851" t="str">
        <f>'Part IX Scoring Criteria'!M197</f>
        <v>&lt;Enter page nbr(s) from Plan&gt;</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2437</v>
      </c>
      <c r="C1846" s="457" t="s">
        <v>4837</v>
      </c>
      <c r="D1846" s="457"/>
      <c r="E1846" s="457"/>
      <c r="F1846" s="457"/>
      <c r="G1846" s="457"/>
      <c r="H1846" s="457"/>
      <c r="I1846" s="1314"/>
      <c r="J1846" s="1620" t="s">
        <v>2437</v>
      </c>
      <c r="K1846" s="1578">
        <f>'Part IX Scoring Criteria'!K198</f>
        <v>0</v>
      </c>
      <c r="L1846" s="1578"/>
      <c r="M1846" s="1851" t="str">
        <f>'Part IX Scoring Criteria'!M198</f>
        <v>&lt;Enter page nbr(s) from Plan&gt;</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2454</v>
      </c>
      <c r="C1847" s="457" t="s">
        <v>4836</v>
      </c>
      <c r="D1847" s="457"/>
      <c r="E1847" s="457"/>
      <c r="F1847" s="457"/>
      <c r="G1847" s="457"/>
      <c r="H1847" s="1314"/>
      <c r="I1847" s="1314"/>
      <c r="J1847" s="1620" t="s">
        <v>2454</v>
      </c>
      <c r="K1847" s="1578">
        <f>'Part IX Scoring Criteria'!K199</f>
        <v>0</v>
      </c>
      <c r="L1847" s="1578"/>
      <c r="M1847" s="1851" t="str">
        <f>'Part IX Scoring Criteria'!M199</f>
        <v>&lt;Enter page nbr(s) from Plan&gt;</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2455</v>
      </c>
      <c r="C1848" s="1550" t="s">
        <v>4943</v>
      </c>
      <c r="D1848" s="1550"/>
      <c r="E1848" s="1550"/>
      <c r="F1848" s="1550"/>
      <c r="G1848" s="1550"/>
      <c r="H1848" s="1550"/>
      <c r="I1848" s="1550"/>
      <c r="J1848" s="1620" t="s">
        <v>2455</v>
      </c>
      <c r="K1848" s="1578">
        <f>'Part IX Scoring Criteria'!K200</f>
        <v>0</v>
      </c>
      <c r="L1848" s="1578"/>
      <c r="M1848" s="1314"/>
      <c r="N1848" s="1314"/>
      <c r="O1848" s="1314"/>
      <c r="P1848" s="1314"/>
      <c r="Q1848" s="1314"/>
      <c r="R1848" s="1721"/>
      <c r="S1848" s="1721"/>
      <c r="T1848" s="1314"/>
      <c r="U1848" s="1314"/>
      <c r="V1848" s="1314"/>
      <c r="W1848" s="1314"/>
      <c r="X1848" s="1314"/>
    </row>
    <row r="1849" spans="1:24" ht="14.4">
      <c r="A1849" s="1320"/>
      <c r="B1849" s="1620"/>
      <c r="C1849" s="1550"/>
      <c r="D1849" s="1550"/>
      <c r="E1849" s="1550"/>
      <c r="F1849" s="1550"/>
      <c r="G1849" s="1550"/>
      <c r="H1849" s="1550"/>
      <c r="I1849" s="1550"/>
      <c r="J1849" s="1620" t="s">
        <v>4944</v>
      </c>
      <c r="K1849" s="1752">
        <f>'Part IX Scoring Criteria'!K201</f>
        <v>0</v>
      </c>
      <c r="L1849" s="1752"/>
      <c r="M1849" s="457"/>
      <c r="N1849" s="457"/>
      <c r="O1849" s="457"/>
      <c r="P1849" s="457"/>
      <c r="Q1849" s="1659"/>
      <c r="R1849" s="1721"/>
      <c r="S1849" s="1721"/>
      <c r="T1849" s="1659"/>
      <c r="U1849" s="1659"/>
      <c r="V1849" s="1659"/>
      <c r="W1849" s="1659"/>
      <c r="X1849" s="1659"/>
    </row>
    <row r="1850" spans="1:24" ht="12.75" customHeight="1">
      <c r="A1850" s="1314"/>
      <c r="B1850" s="1627" t="s">
        <v>2456</v>
      </c>
      <c r="C1850" s="1583" t="s">
        <v>4840</v>
      </c>
      <c r="D1850" s="1583"/>
      <c r="E1850" s="1583"/>
      <c r="F1850" s="1583"/>
      <c r="G1850" s="1583"/>
      <c r="H1850" s="1583"/>
      <c r="I1850" s="1583"/>
      <c r="J1850" s="1620" t="s">
        <v>2456</v>
      </c>
      <c r="K1850" s="1578">
        <f>'Part IX Scoring Criteria'!K202</f>
        <v>0</v>
      </c>
      <c r="L1850" s="1578"/>
      <c r="M1850" s="1314"/>
      <c r="N1850" s="1314"/>
      <c r="O1850" s="1314"/>
      <c r="P1850" s="1314"/>
      <c r="Q1850" s="1314"/>
      <c r="R1850" s="1721"/>
      <c r="S1850" s="1721"/>
      <c r="T1850" s="1314"/>
      <c r="U1850" s="1314"/>
      <c r="V1850" s="1314"/>
      <c r="W1850" s="1314"/>
      <c r="X1850" s="1314"/>
    </row>
    <row r="1851" spans="1:24" ht="14.4">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1982</v>
      </c>
      <c r="B1853" s="1317" t="s">
        <v>4011</v>
      </c>
      <c r="I1853" s="1051" t="s">
        <v>4838</v>
      </c>
      <c r="M1853" s="1313">
        <v>5</v>
      </c>
      <c r="N1853" s="1620" t="s">
        <v>1982</v>
      </c>
      <c r="O1853" s="1685">
        <f>'Part IX Scoring Criteria'!O205</f>
        <v>0</v>
      </c>
      <c r="P1853" s="1685">
        <f>IF(SUM(P1854:P1855)=$M$207,0,MIN($M$205,SUM(P1854:P1855)))</f>
        <v>0</v>
      </c>
      <c r="Q1853" s="1372"/>
      <c r="X1853" s="1320"/>
    </row>
    <row r="1854" spans="1:24" ht="12.75" customHeight="1">
      <c r="A1854" s="1620"/>
      <c r="B1854" s="2452" t="s">
        <v>1985</v>
      </c>
      <c r="C1854" s="1583" t="s">
        <v>5122</v>
      </c>
      <c r="D1854" s="1583"/>
      <c r="E1854" s="1583"/>
      <c r="F1854" s="1583"/>
      <c r="G1854" s="1583"/>
      <c r="H1854" s="1583"/>
      <c r="I1854" s="1583"/>
      <c r="J1854" s="1583"/>
      <c r="K1854" s="1583"/>
      <c r="L1854" s="1583"/>
      <c r="M1854" s="1631">
        <v>3</v>
      </c>
      <c r="N1854" s="1704" t="s">
        <v>1985</v>
      </c>
      <c r="O1854" s="2404">
        <f>'Part IX Scoring Criteria'!O206</f>
        <v>0</v>
      </c>
      <c r="P1854" s="2404"/>
      <c r="Q1854" s="2437" t="str">
        <f>IF(OR($O1854=$M1854,$O1854=0,$O1854=""),"","*CHECK!*")</f>
        <v/>
      </c>
      <c r="R1854" s="1337" t="s">
        <v>2705</v>
      </c>
    </row>
    <row r="1855" spans="1:24" ht="13.8">
      <c r="A1855" s="1620"/>
      <c r="B1855" s="2452" t="s">
        <v>1987</v>
      </c>
      <c r="C1855" s="1604" t="s">
        <v>5363</v>
      </c>
      <c r="D1855" s="1604"/>
      <c r="E1855" s="1604"/>
      <c r="F1855" s="1604"/>
      <c r="G1855" s="1604"/>
      <c r="H1855" s="1604"/>
      <c r="I1855" s="1604"/>
      <c r="J1855" s="1524" t="s">
        <v>3777</v>
      </c>
      <c r="K1855" s="1314"/>
      <c r="L1855" s="1524" t="str">
        <f>'Part I-Project Information'!$N$39</f>
        <v>No</v>
      </c>
      <c r="M1855" s="1578">
        <v>2</v>
      </c>
      <c r="N1855" s="1776" t="s">
        <v>1987</v>
      </c>
      <c r="O1855" s="1546">
        <f>'Part IX Scoring Criteria'!O207</f>
        <v>0</v>
      </c>
      <c r="P1855" s="1546"/>
      <c r="Q1855" s="2405" t="str">
        <f>IF(OR($O1855=$M1855,$O1855=0,$O1855=""),"","*CHECK!*")</f>
        <v/>
      </c>
      <c r="R1855" s="1337" t="s">
        <v>2705</v>
      </c>
    </row>
    <row r="1856" spans="1:24" ht="12.75" customHeight="1">
      <c r="A1856" s="1620"/>
      <c r="B1856" s="2452"/>
      <c r="C1856" s="1550" t="s">
        <v>4930</v>
      </c>
      <c r="D1856" s="1550"/>
      <c r="E1856" s="1550"/>
      <c r="F1856" s="1550"/>
      <c r="G1856" s="1550"/>
      <c r="H1856" s="1550"/>
      <c r="I1856" s="1582"/>
      <c r="J1856" s="1524" t="s">
        <v>3573</v>
      </c>
      <c r="K1856" s="1550"/>
      <c r="L1856" s="1761" t="str">
        <f>'Part I-Project Information'!$O$38</f>
        <v>203.00</v>
      </c>
      <c r="M1856" s="1761"/>
      <c r="N1856" s="1631"/>
      <c r="O1856" s="1631"/>
      <c r="P1856" s="1631"/>
      <c r="Q1856" s="2405"/>
      <c r="R1856" s="1337"/>
    </row>
    <row r="1857" spans="1:24">
      <c r="A1857" s="1620"/>
      <c r="B1857" s="1647"/>
      <c r="C1857" s="1550"/>
      <c r="D1857" s="1550"/>
      <c r="E1857" s="1550"/>
      <c r="F1857" s="1550"/>
      <c r="G1857" s="1550"/>
      <c r="H1857" s="1550"/>
      <c r="J1857" s="1524" t="s">
        <v>3373</v>
      </c>
      <c r="K1857" s="1314"/>
      <c r="L1857" s="457" t="str">
        <f>'Part IV-A-Uses of Funds'!$H$152</f>
        <v>State Boost</v>
      </c>
      <c r="M1857" s="457"/>
    </row>
    <row r="1858" spans="1:24" ht="13.8">
      <c r="A1858" s="1511" t="s">
        <v>1984</v>
      </c>
      <c r="B1858" s="1317" t="s">
        <v>4841</v>
      </c>
      <c r="D1858" s="1314"/>
      <c r="F1858" s="2453"/>
      <c r="K1858" s="1624"/>
      <c r="L1858" s="2415" t="str">
        <f>IF(OR($O1858=$M1858,$O1858=0,$O1858=""),"","* * Check Score! * *")</f>
        <v/>
      </c>
      <c r="M1858" s="1313">
        <v>2</v>
      </c>
      <c r="N1858" s="1620" t="s">
        <v>1984</v>
      </c>
      <c r="O1858" s="1546">
        <f>'Part IX Scoring Criteria'!O210</f>
        <v>0</v>
      </c>
      <c r="P1858" s="1546"/>
      <c r="Q1858" s="2405" t="str">
        <f>IF(OR($O1858=$M1858,$O1858=0,$O1858=""),"","*CHECK!*")</f>
        <v/>
      </c>
      <c r="R1858" s="1337" t="s">
        <v>2705</v>
      </c>
    </row>
    <row r="1859" spans="1:24" ht="18">
      <c r="A1859" s="1511"/>
      <c r="B1859" s="1676"/>
      <c r="C1859" s="457" t="s">
        <v>2792</v>
      </c>
      <c r="D1859" s="457"/>
      <c r="E1859" s="457"/>
      <c r="F1859" s="1313"/>
      <c r="G1859" s="1676"/>
      <c r="H1859" s="457"/>
      <c r="I1859" s="1676"/>
      <c r="J1859" s="457" t="str">
        <f>'Part I-Project Information'!$H$105</f>
        <v>Rural</v>
      </c>
      <c r="K1859" s="1524"/>
      <c r="L1859" s="1676"/>
      <c r="M1859" s="1676"/>
      <c r="N1859" s="1676"/>
      <c r="O1859" s="1676"/>
      <c r="P1859" s="1676"/>
      <c r="Q1859" s="1659"/>
      <c r="R1859" s="1659"/>
      <c r="S1859" s="1659"/>
      <c r="T1859" s="2415" t="str">
        <f>IF(OR($O1858=$M1858,$O1858=0,$O1858=""),"","* * Check Score! * *")</f>
        <v/>
      </c>
      <c r="U1859" s="1659"/>
      <c r="V1859" s="2417"/>
      <c r="W1859" s="2417"/>
      <c r="X1859" s="1659"/>
    </row>
    <row r="1860" spans="1:24" ht="18">
      <c r="A1860" s="1624"/>
      <c r="B1860" s="1696" t="s">
        <v>3778</v>
      </c>
      <c r="C1860" s="457" t="s">
        <v>3856</v>
      </c>
      <c r="D1860" s="1676"/>
      <c r="E1860" s="1676"/>
      <c r="F1860" s="1676"/>
      <c r="G1860" s="1676"/>
      <c r="H1860" s="1676"/>
      <c r="I1860" s="1676"/>
      <c r="J1860" s="1550">
        <f>'Part IX Scoring Criteria'!J212</f>
        <v>0</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2417"/>
      <c r="W1860" s="2417"/>
      <c r="X1860" s="1659"/>
    </row>
    <row r="1861" spans="1:24" ht="18">
      <c r="A1861" s="1624"/>
      <c r="B1861" s="1620" t="s">
        <v>3779</v>
      </c>
      <c r="C1861" s="1524" t="s">
        <v>3857</v>
      </c>
      <c r="D1861" s="1676"/>
      <c r="E1861" s="1676"/>
      <c r="F1861" s="1676"/>
      <c r="G1861" s="1676"/>
      <c r="H1861" s="1676"/>
      <c r="I1861" s="1620" t="str">
        <f>IF($J$213="Government", "Additional documentation required - see QAP.","")</f>
        <v/>
      </c>
      <c r="J1861" s="457" t="str">
        <f>'Part IX Scoring Criteria'!J213</f>
        <v>&lt;Select unrelated 3rd party type&gt;</v>
      </c>
      <c r="K1861" s="457">
        <f>'Part IX Scoring Criteria'!K213</f>
        <v>0</v>
      </c>
      <c r="L1861" s="457">
        <f>'Part IX Scoring Criteria'!L213</f>
        <v>0</v>
      </c>
      <c r="M1861" s="1676"/>
      <c r="N1861" s="1676"/>
      <c r="O1861" s="1676"/>
      <c r="P1861" s="1676"/>
      <c r="Q1861" s="1659"/>
      <c r="R1861" s="1659"/>
      <c r="S1861" s="1659"/>
      <c r="T1861" s="1659"/>
      <c r="U1861" s="1659"/>
      <c r="V1861" s="2417"/>
      <c r="W1861" s="2417"/>
      <c r="X1861" s="1659"/>
    </row>
    <row r="1862" spans="1:24" ht="18.75" customHeight="1">
      <c r="A1862" s="1562"/>
      <c r="B1862" s="1620" t="s">
        <v>3780</v>
      </c>
      <c r="C1862" s="1524" t="s">
        <v>4846</v>
      </c>
      <c r="D1862" s="1314"/>
      <c r="E1862" s="1314"/>
      <c r="F1862" s="1314"/>
      <c r="G1862" s="1314"/>
      <c r="H1862" s="1314"/>
      <c r="I1862" s="1314"/>
      <c r="J1862" s="1578">
        <f>'Part IX Scoring Criteria'!J214</f>
        <v>0</v>
      </c>
      <c r="K1862" s="1550" t="s">
        <v>4843</v>
      </c>
      <c r="L1862" s="1550"/>
      <c r="M1862" s="1550"/>
      <c r="N1862" s="1550"/>
      <c r="O1862" s="1676"/>
      <c r="P1862" s="1676"/>
      <c r="V1862" s="2417"/>
      <c r="W1862" s="2417"/>
    </row>
    <row r="1863" spans="1:24" ht="18">
      <c r="A1863" s="1562"/>
      <c r="B1863" s="1620" t="s">
        <v>3782</v>
      </c>
      <c r="C1863" s="1524" t="s">
        <v>4842</v>
      </c>
      <c r="D1863" s="1314"/>
      <c r="E1863" s="1314"/>
      <c r="F1863" s="1314"/>
      <c r="G1863" s="1314"/>
      <c r="H1863" s="1314"/>
      <c r="I1863" s="1314"/>
      <c r="J1863" s="1578">
        <f>'Part IX Scoring Criteria'!J215</f>
        <v>0</v>
      </c>
      <c r="K1863" s="1550"/>
      <c r="L1863" s="1550"/>
      <c r="M1863" s="1550"/>
      <c r="N1863" s="1550"/>
      <c r="O1863" s="2454">
        <f>'Part IX Scoring Criteria'!O215</f>
        <v>0</v>
      </c>
      <c r="P1863" s="2410" t="s">
        <v>3785</v>
      </c>
      <c r="V1863" s="2417"/>
      <c r="W1863" s="2417"/>
    </row>
    <row r="1864" spans="1:24" ht="18">
      <c r="A1864" s="1562"/>
      <c r="B1864" s="1620" t="s">
        <v>3783</v>
      </c>
      <c r="C1864" s="1524" t="s">
        <v>4845</v>
      </c>
      <c r="D1864" s="1314"/>
      <c r="E1864" s="1314"/>
      <c r="F1864" s="1314"/>
      <c r="G1864" s="1314"/>
      <c r="H1864" s="1314"/>
      <c r="I1864" s="1314"/>
      <c r="J1864" s="1578">
        <f>'Part IX Scoring Criteria'!J216</f>
        <v>0</v>
      </c>
      <c r="L1864" s="1620" t="s">
        <v>4844</v>
      </c>
      <c r="N1864" s="1620"/>
      <c r="O1864" s="2455">
        <f>'Part IX Scoring Criteria'!O216</f>
        <v>0</v>
      </c>
      <c r="P1864" s="2455">
        <f>'Part IX Scoring Criteria'!P216</f>
        <v>0</v>
      </c>
      <c r="V1864" s="2417"/>
      <c r="W1864" s="2417"/>
    </row>
    <row r="1865" spans="1:24" ht="18">
      <c r="A1865" s="1562"/>
      <c r="G1865" s="1604"/>
      <c r="L1865" s="1596"/>
      <c r="N1865" s="1320"/>
      <c r="O1865" s="1320"/>
      <c r="P1865" s="1320"/>
      <c r="V1865" s="2417"/>
      <c r="W1865" s="2417"/>
    </row>
    <row r="1866" spans="1:24" ht="18.75" customHeight="1">
      <c r="A1866" s="1756" t="s">
        <v>4169</v>
      </c>
      <c r="B1866" s="1468" t="s">
        <v>4166</v>
      </c>
      <c r="C1866" s="1468"/>
      <c r="D1866" s="1573">
        <f>'Part IX Scoring Criteria'!D218</f>
        <v>0</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2384"/>
      <c r="V1866" s="2417"/>
      <c r="W1866" s="2417"/>
    </row>
    <row r="1867" spans="1:24" ht="18.75" customHeight="1">
      <c r="A1867" s="1756"/>
      <c r="B1867" s="1468" t="s">
        <v>4167</v>
      </c>
      <c r="C1867" s="1468"/>
      <c r="D1867" s="1573">
        <f>'Part IX Scoring Criteria'!D219</f>
        <v>0</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2384"/>
      <c r="V1867" s="2417"/>
      <c r="W1867" s="2417"/>
    </row>
    <row r="1868" spans="1:24" ht="18.75" customHeight="1">
      <c r="A1868" s="1756"/>
      <c r="B1868" s="1468" t="s">
        <v>4925</v>
      </c>
      <c r="C1868" s="1468"/>
      <c r="D1868" s="1573">
        <f>'Part IX Scoring Criteria'!D220</f>
        <v>0</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2384"/>
      <c r="V1868" s="2417"/>
      <c r="W1868" s="2417"/>
    </row>
    <row r="1869" spans="1:24" ht="18">
      <c r="B1869" s="457" t="s">
        <v>3452</v>
      </c>
      <c r="G1869" s="457" t="s">
        <v>2628</v>
      </c>
      <c r="H1869" s="457"/>
      <c r="J1869" s="1854">
        <f>'Part IX Scoring Criteria'!J221</f>
        <v>0</v>
      </c>
      <c r="K1869" s="1854">
        <f>'Part IX Scoring Criteria'!K221</f>
        <v>0</v>
      </c>
      <c r="L1869" s="1757"/>
      <c r="M1869" s="1757"/>
      <c r="N1869" s="1320"/>
      <c r="O1869" s="1320"/>
      <c r="P1869" s="1320"/>
      <c r="V1869" s="2417"/>
      <c r="W1869" s="2417"/>
    </row>
    <row r="1870" spans="1:24" ht="18">
      <c r="A1870" s="1659"/>
      <c r="B1870" s="1659"/>
      <c r="C1870" s="457" t="s">
        <v>4583</v>
      </c>
      <c r="D1870" s="1582"/>
      <c r="E1870" s="1659"/>
      <c r="F1870" s="1659"/>
      <c r="G1870" s="1757">
        <f>'Part IV-A-Uses of Funds'!$G$132</f>
        <v>5168536</v>
      </c>
      <c r="H1870" s="1757"/>
      <c r="I1870" s="1659"/>
      <c r="J1870" s="1758">
        <f>'Part IX Scoring Criteria'!J222</f>
        <v>0</v>
      </c>
      <c r="K1870" s="1758">
        <f>'Part IX Scoring Criteria'!K222</f>
        <v>0</v>
      </c>
      <c r="L1870" s="1758">
        <f>IF($L1869=0,0,$L1869/$G$222)</f>
        <v>0</v>
      </c>
      <c r="M1870" s="1758"/>
      <c r="N1870" s="1659"/>
      <c r="O1870" s="1659"/>
      <c r="P1870" s="1659"/>
      <c r="Q1870" s="1659"/>
      <c r="R1870" s="1659"/>
      <c r="S1870" s="1659"/>
      <c r="T1870" s="1659"/>
      <c r="U1870" s="1659"/>
      <c r="V1870" s="2417"/>
      <c r="W1870" s="2417"/>
      <c r="X1870" s="1659"/>
    </row>
    <row r="1871" spans="1:24" ht="14.4">
      <c r="A1871" s="1314"/>
      <c r="B1871" s="1549" t="s">
        <v>3752</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15">
      <c r="A1872" s="1583">
        <f>'Part IX Scoring Criteria'!A224</f>
        <v>0</v>
      </c>
      <c r="B1872" s="1583"/>
      <c r="C1872" s="1583"/>
      <c r="D1872" s="1583"/>
      <c r="E1872" s="1583"/>
      <c r="F1872" s="1583"/>
      <c r="G1872" s="1583"/>
      <c r="H1872" s="1583"/>
      <c r="I1872" s="1583"/>
      <c r="J1872" s="1583"/>
      <c r="K1872" s="1583"/>
      <c r="L1872" s="1583"/>
      <c r="M1872" s="1583"/>
      <c r="N1872" s="1583"/>
      <c r="O1872" s="1583"/>
      <c r="P1872" s="1583"/>
      <c r="Q1872" s="2384" t="s">
        <v>1253</v>
      </c>
      <c r="R1872" s="1659"/>
      <c r="S1872" s="1659"/>
      <c r="T1872" s="1659"/>
      <c r="U1872" s="1659"/>
      <c r="V1872" s="1659"/>
      <c r="W1872" s="1659"/>
      <c r="X1872" s="1659"/>
    </row>
    <row r="1873" spans="1:24" ht="14.4">
      <c r="A1873" s="1314"/>
      <c r="B1873" s="1549" t="s">
        <v>1865</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2384"/>
      <c r="R1874" s="1659"/>
      <c r="S1874" s="1659"/>
      <c r="T1874" s="1659"/>
      <c r="U1874" s="1659"/>
      <c r="V1874" s="1659"/>
      <c r="W1874" s="1659"/>
      <c r="X1874" s="1659"/>
    </row>
    <row r="1875" spans="1:24" ht="14.4">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4.4">
      <c r="A1876" s="2426" t="s">
        <v>292</v>
      </c>
      <c r="B1876" s="2362" t="s">
        <v>4015</v>
      </c>
      <c r="C1876" s="1582"/>
      <c r="D1876" s="1582"/>
      <c r="E1876" s="1582"/>
      <c r="F1876" s="1582"/>
      <c r="G1876" s="1582"/>
      <c r="H1876" s="1582"/>
      <c r="I1876" s="1582"/>
      <c r="J1876" s="1582"/>
      <c r="K1876" s="1659"/>
      <c r="L1876" s="1659"/>
      <c r="M1876" s="1313">
        <v>3</v>
      </c>
      <c r="N1876" s="1694"/>
      <c r="O1876" s="1694"/>
      <c r="P1876" s="1546"/>
      <c r="Q1876" s="1313" t="s">
        <v>441</v>
      </c>
      <c r="R1876" s="1337" t="s">
        <v>2705</v>
      </c>
      <c r="S1876" s="1659"/>
      <c r="T1876" s="1659"/>
      <c r="U1876" s="1659"/>
      <c r="V1876" s="1659"/>
      <c r="W1876" s="1659"/>
      <c r="X1876" s="1659"/>
    </row>
    <row r="1877" spans="1:24" ht="14.4">
      <c r="A1877" s="2426"/>
      <c r="B1877" s="1317" t="s">
        <v>4608</v>
      </c>
      <c r="C1877" s="1582"/>
      <c r="D1877" s="1582"/>
      <c r="E1877" s="1582"/>
      <c r="F1877" s="1582"/>
      <c r="G1877" s="1582"/>
      <c r="H1877" s="1582"/>
      <c r="I1877" s="1582"/>
      <c r="J1877" s="1582"/>
      <c r="K1877" s="1611"/>
      <c r="L1877" s="2456" t="str">
        <f>'Part IX Scoring Criteria'!L229</f>
        <v/>
      </c>
      <c r="M1877" s="1313"/>
      <c r="N1877" s="1694"/>
      <c r="O1877" s="1578">
        <f>'Part IX Scoring Criteria'!O229</f>
        <v>0</v>
      </c>
      <c r="P1877" s="1578"/>
      <c r="Q1877" s="1313"/>
      <c r="R1877" s="1337"/>
      <c r="S1877" s="1659"/>
      <c r="T1877" s="1659"/>
      <c r="U1877" s="1659"/>
      <c r="V1877" s="1659"/>
      <c r="W1877" s="1659"/>
      <c r="X1877" s="1659"/>
    </row>
    <row r="1878" spans="1:24" ht="14.4">
      <c r="A1878" s="2426"/>
      <c r="B1878" s="1524" t="s">
        <v>4017</v>
      </c>
      <c r="C1878" s="1582"/>
      <c r="D1878" s="1582"/>
      <c r="E1878" s="1582"/>
      <c r="F1878" s="1582"/>
      <c r="G1878" s="1582"/>
      <c r="H1878" s="1582"/>
      <c r="I1878" s="1582"/>
      <c r="J1878" s="1582"/>
      <c r="K1878" s="1611" t="s">
        <v>3244</v>
      </c>
      <c r="L1878" s="1611" t="s">
        <v>256</v>
      </c>
      <c r="M1878" s="1313"/>
      <c r="N1878" s="1694"/>
      <c r="O1878" s="1694"/>
      <c r="P1878" s="1694"/>
      <c r="Q1878" s="1313"/>
      <c r="R1878" s="1337"/>
      <c r="S1878" s="1659"/>
      <c r="T1878" s="1659"/>
      <c r="U1878" s="1659"/>
      <c r="V1878" s="1659"/>
      <c r="W1878" s="1659"/>
      <c r="X1878" s="1659"/>
    </row>
    <row r="1879" spans="1:24" ht="14.4">
      <c r="A1879" s="1511"/>
      <c r="B1879" s="1659"/>
      <c r="C1879" s="1051" t="s">
        <v>4853</v>
      </c>
      <c r="D1879" s="1659"/>
      <c r="E1879" s="1659"/>
      <c r="F1879" s="1659"/>
      <c r="G1879" s="1659"/>
      <c r="H1879" s="1659"/>
      <c r="I1879" s="1659"/>
      <c r="J1879" s="1659"/>
      <c r="K1879" s="1685">
        <f>$O$189</f>
        <v>0</v>
      </c>
      <c r="L1879" s="1685">
        <f>$P$189</f>
        <v>0</v>
      </c>
      <c r="M1879" s="1659"/>
      <c r="N1879" s="1620" t="s">
        <v>2434</v>
      </c>
      <c r="O1879" s="1578">
        <f>'Part IX Scoring Criteria'!O231</f>
        <v>0</v>
      </c>
      <c r="P1879" s="1578"/>
      <c r="Q1879" s="1659"/>
      <c r="R1879" s="2415"/>
      <c r="S1879" s="1659"/>
      <c r="T1879" s="1659"/>
      <c r="U1879" s="1659"/>
      <c r="V1879" s="1659"/>
      <c r="W1879" s="1659"/>
      <c r="X1879" s="1659"/>
    </row>
    <row r="1880" spans="1:24" ht="18">
      <c r="A1880" s="1511"/>
      <c r="B1880" s="1659"/>
      <c r="C1880" s="1051" t="s">
        <v>4854</v>
      </c>
      <c r="D1880" s="1659"/>
      <c r="E1880" s="1659"/>
      <c r="F1880" s="1659"/>
      <c r="G1880" s="1659"/>
      <c r="H1880" s="1659"/>
      <c r="I1880" s="1659"/>
      <c r="J1880" s="1659"/>
      <c r="K1880" s="1685">
        <f>$O$107</f>
        <v>0</v>
      </c>
      <c r="L1880" s="1685" t="str">
        <f>$P$107</f>
        <v>Other Non-Sr</v>
      </c>
      <c r="M1880" s="1659"/>
      <c r="N1880" s="1620" t="s">
        <v>2435</v>
      </c>
      <c r="O1880" s="1578">
        <f>'Part IX Scoring Criteria'!O232</f>
        <v>0</v>
      </c>
      <c r="P1880" s="1578"/>
      <c r="Q1880" s="1659"/>
      <c r="R1880" s="2417"/>
      <c r="S1880" s="2417"/>
      <c r="T1880" s="1659"/>
      <c r="U1880" s="1659"/>
      <c r="V1880" s="1659"/>
      <c r="W1880" s="1659"/>
      <c r="X1880" s="1659"/>
    </row>
    <row r="1881" spans="1:24" ht="18">
      <c r="A1881" s="1659"/>
      <c r="B1881" s="1659"/>
      <c r="C1881" s="1051" t="s">
        <v>4855</v>
      </c>
      <c r="D1881" s="1659"/>
      <c r="E1881" s="1659"/>
      <c r="F1881" s="1659"/>
      <c r="G1881" s="1659"/>
      <c r="H1881" s="1659"/>
      <c r="I1881" s="1659"/>
      <c r="J1881" s="1659"/>
      <c r="K1881" s="1659"/>
      <c r="L1881" s="1659"/>
      <c r="M1881" s="1659"/>
      <c r="N1881" s="1620" t="s">
        <v>2436</v>
      </c>
      <c r="O1881" s="1578">
        <f>'Part IX Scoring Criteria'!O233</f>
        <v>0</v>
      </c>
      <c r="P1881" s="1578"/>
      <c r="Q1881" s="1659"/>
      <c r="R1881" s="2417"/>
      <c r="S1881" s="2417"/>
      <c r="T1881" s="1659"/>
      <c r="U1881" s="1659"/>
      <c r="V1881" s="1659"/>
      <c r="W1881" s="1659"/>
      <c r="X1881" s="1659"/>
    </row>
    <row r="1882" spans="1:24" ht="18">
      <c r="A1882" s="1511"/>
      <c r="B1882" s="1659"/>
      <c r="C1882" s="1051" t="s">
        <v>4021</v>
      </c>
      <c r="D1882" s="1659"/>
      <c r="E1882" s="1659"/>
      <c r="F1882" s="1659"/>
      <c r="G1882" s="1659"/>
      <c r="H1882" s="1659"/>
      <c r="I1882" s="1659"/>
      <c r="J1882" s="1659"/>
      <c r="K1882" s="2438">
        <f>'Part I-Project Information'!F1686</f>
        <v>0</v>
      </c>
      <c r="L1882" s="2450"/>
      <c r="M1882" s="1659"/>
      <c r="N1882" s="1620" t="s">
        <v>2437</v>
      </c>
      <c r="O1882" s="1620"/>
      <c r="P1882" s="1578"/>
      <c r="Q1882" s="1659"/>
      <c r="R1882" s="2417"/>
      <c r="S1882" s="2417"/>
      <c r="T1882" s="1659"/>
      <c r="U1882" s="1659"/>
      <c r="V1882" s="1659"/>
      <c r="W1882" s="1659"/>
      <c r="X1882" s="1659"/>
    </row>
    <row r="1883" spans="1:24" ht="18">
      <c r="A1883" s="1511"/>
      <c r="B1883" s="1659"/>
      <c r="C1883" s="1051" t="s">
        <v>4947</v>
      </c>
      <c r="D1883" s="1659"/>
      <c r="E1883" s="1659"/>
      <c r="F1883" s="1659"/>
      <c r="G1883" s="1659"/>
      <c r="H1883" s="1659"/>
      <c r="I1883" s="1659"/>
      <c r="J1883" s="1659"/>
      <c r="K1883" s="1685">
        <f>$O$153</f>
        <v>0</v>
      </c>
      <c r="L1883" s="1685">
        <f>$P$153</f>
        <v>0</v>
      </c>
      <c r="M1883" s="1659"/>
      <c r="N1883" s="1620" t="s">
        <v>2438</v>
      </c>
      <c r="O1883" s="1578">
        <f>'Part IX Scoring Criteria'!O235</f>
        <v>0</v>
      </c>
      <c r="P1883" s="1578"/>
      <c r="Q1883" s="1659"/>
      <c r="R1883" s="2417"/>
      <c r="S1883" s="2417"/>
      <c r="T1883" s="1659"/>
      <c r="U1883" s="1659"/>
      <c r="V1883" s="1659"/>
      <c r="W1883" s="1659"/>
      <c r="X1883" s="1659"/>
    </row>
    <row r="1884" spans="1:24" ht="18">
      <c r="A1884" s="1511"/>
      <c r="B1884" s="1659"/>
      <c r="C1884" s="1051" t="s">
        <v>4946</v>
      </c>
      <c r="D1884" s="1659"/>
      <c r="E1884" s="1659"/>
      <c r="F1884" s="1659"/>
      <c r="G1884" s="1659"/>
      <c r="H1884" s="1659"/>
      <c r="I1884" s="1659"/>
      <c r="J1884" s="1659"/>
      <c r="K1884" s="1685">
        <f>$O$277</f>
        <v>0</v>
      </c>
      <c r="L1884" s="1685">
        <f>$P$277</f>
        <v>0</v>
      </c>
      <c r="M1884" s="1659"/>
      <c r="N1884" s="1620" t="s">
        <v>2437</v>
      </c>
      <c r="O1884" s="1578">
        <f>'Part IX Scoring Criteria'!O236</f>
        <v>0</v>
      </c>
      <c r="P1884" s="1578"/>
      <c r="Q1884" s="1659"/>
      <c r="R1884" s="2417"/>
      <c r="S1884" s="2417"/>
      <c r="T1884" s="1659"/>
      <c r="U1884" s="1659"/>
      <c r="V1884" s="1659"/>
      <c r="W1884" s="1659"/>
      <c r="X1884" s="1659"/>
    </row>
    <row r="1885" spans="1:24" ht="14.4">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1982</v>
      </c>
      <c r="B1886" s="1317" t="s">
        <v>5123</v>
      </c>
      <c r="D1886" s="1314"/>
      <c r="G1886" s="1647" t="s">
        <v>3781</v>
      </c>
      <c r="Q1886" s="1372"/>
    </row>
    <row r="1887" spans="1:24" ht="12.75" customHeight="1">
      <c r="A1887" s="1620"/>
      <c r="B1887" s="457" t="s">
        <v>3861</v>
      </c>
      <c r="C1887" s="1314"/>
      <c r="D1887" s="457">
        <f>'Part IX Scoring Criteria'!D239</f>
        <v>0</v>
      </c>
      <c r="E1887" s="457">
        <f>'Part IX Scoring Criteria'!E239</f>
        <v>0</v>
      </c>
      <c r="F1887" s="457">
        <f>'Part IX Scoring Criteria'!F239</f>
        <v>0</v>
      </c>
      <c r="G1887" s="457">
        <f>'Part IX Scoring Criteria'!G239</f>
        <v>0</v>
      </c>
      <c r="H1887" s="457">
        <f>'Part IX Scoring Criteria'!H239</f>
        <v>0</v>
      </c>
      <c r="I1887" s="1524" t="s">
        <v>2703</v>
      </c>
      <c r="J1887" s="457">
        <f>'Part IX Scoring Criteria'!J239</f>
        <v>0</v>
      </c>
      <c r="K1887" s="457">
        <f>'Part IX Scoring Criteria'!K239</f>
        <v>0</v>
      </c>
      <c r="L1887" s="457">
        <f>'Part IX Scoring Criteria'!L239</f>
        <v>0</v>
      </c>
      <c r="M1887" s="457">
        <f>'Part IX Scoring Criteria'!M239</f>
        <v>0</v>
      </c>
      <c r="N1887" s="457">
        <f>'Part IX Scoring Criteria'!N239</f>
        <v>0</v>
      </c>
      <c r="O1887" s="1314"/>
      <c r="P1887" s="1314"/>
      <c r="Q1887" s="1372"/>
      <c r="R1887" s="1319" t="s">
        <v>5364</v>
      </c>
      <c r="S1887" s="1319"/>
      <c r="T1887" s="1314"/>
      <c r="U1887" s="1314"/>
      <c r="V1887" s="1314"/>
      <c r="W1887" s="1314"/>
      <c r="X1887" s="1314"/>
    </row>
    <row r="1888" spans="1:24" ht="18">
      <c r="A1888" s="1620"/>
      <c r="B1888" s="457" t="s">
        <v>2193</v>
      </c>
      <c r="C1888" s="1314"/>
      <c r="D1888" s="457">
        <f>'Part IX Scoring Criteria'!D240</f>
        <v>0</v>
      </c>
      <c r="E1888" s="457">
        <f>'Part IX Scoring Criteria'!E240</f>
        <v>0</v>
      </c>
      <c r="F1888" s="457">
        <f>'Part IX Scoring Criteria'!F240</f>
        <v>0</v>
      </c>
      <c r="G1888" s="457" t="s">
        <v>1720</v>
      </c>
      <c r="H1888" s="1855">
        <f>'Part IX Scoring Criteria'!H240</f>
        <v>0</v>
      </c>
      <c r="I1888" s="1524" t="s">
        <v>1799</v>
      </c>
      <c r="J1888" s="457">
        <f>'Part IX Scoring Criteria'!J240</f>
        <v>0</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2417"/>
      <c r="W1888" s="2417"/>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2452" t="s">
        <v>1985</v>
      </c>
      <c r="C1890" s="1604" t="s">
        <v>4023</v>
      </c>
      <c r="D1890" s="1604"/>
      <c r="E1890" s="1604"/>
      <c r="F1890" s="1604"/>
      <c r="G1890" s="1604"/>
      <c r="H1890" s="1604"/>
      <c r="I1890" s="1604"/>
      <c r="J1890" s="1604"/>
      <c r="K1890" s="1604"/>
      <c r="L1890" s="1604"/>
      <c r="M1890" s="1604"/>
      <c r="N1890" s="1604"/>
      <c r="O1890" s="1578" t="s">
        <v>2509</v>
      </c>
      <c r="P1890" s="1578" t="s">
        <v>2509</v>
      </c>
      <c r="Q1890" s="1604"/>
      <c r="R1890" s="1319"/>
      <c r="S1890" s="1319"/>
    </row>
    <row r="1891" spans="1:24" ht="18.75" customHeight="1">
      <c r="A1891" s="1578"/>
      <c r="B1891" s="1635"/>
      <c r="C1891" s="1550" t="s">
        <v>4585</v>
      </c>
      <c r="D1891" s="1550"/>
      <c r="E1891" s="1550"/>
      <c r="F1891" s="1550"/>
      <c r="G1891" s="1550"/>
      <c r="H1891" s="1550"/>
      <c r="I1891" s="1550"/>
      <c r="J1891" s="1550"/>
      <c r="K1891" s="1550"/>
      <c r="L1891" s="1550"/>
      <c r="M1891" s="1550"/>
      <c r="N1891" s="1684" t="s">
        <v>1985</v>
      </c>
      <c r="O1891" s="1631">
        <f>'Part IX Scoring Criteria'!O243</f>
        <v>0</v>
      </c>
      <c r="P1891" s="1631"/>
      <c r="Q1891" s="1604"/>
      <c r="R1891" s="1319"/>
      <c r="S1891" s="1319"/>
      <c r="T1891" s="1314"/>
      <c r="U1891" s="1314"/>
      <c r="V1891" s="2417"/>
      <c r="W1891" s="2417"/>
      <c r="X1891" s="1314"/>
    </row>
    <row r="1892" spans="1:24" ht="18.75" customHeight="1">
      <c r="A1892" s="1620"/>
      <c r="B1892" s="1620" t="s">
        <v>2434</v>
      </c>
      <c r="C1892" s="457" t="s">
        <v>4025</v>
      </c>
      <c r="D1892" s="457">
        <f>'Part IX Scoring Criteria'!D244</f>
        <v>0</v>
      </c>
      <c r="E1892" s="457">
        <f>'Part IX Scoring Criteria'!E244</f>
        <v>0</v>
      </c>
      <c r="F1892" s="457">
        <f>'Part IX Scoring Criteria'!F244</f>
        <v>0</v>
      </c>
      <c r="G1892" s="457">
        <f>'Part IX Scoring Criteria'!G244</f>
        <v>0</v>
      </c>
      <c r="H1892" s="457">
        <f>'Part IX Scoring Criteria'!H244</f>
        <v>0</v>
      </c>
      <c r="I1892" s="1524" t="s">
        <v>2703</v>
      </c>
      <c r="J1892" s="457">
        <f>'Part IX Scoring Criteria'!J244</f>
        <v>0</v>
      </c>
      <c r="K1892" s="457">
        <f>'Part IX Scoring Criteria'!K244</f>
        <v>0</v>
      </c>
      <c r="L1892" s="457">
        <f>'Part IX Scoring Criteria'!L244</f>
        <v>0</v>
      </c>
      <c r="M1892" s="457">
        <f>'Part IX Scoring Criteria'!M244</f>
        <v>0</v>
      </c>
      <c r="N1892" s="457">
        <f>'Part IX Scoring Criteria'!N244</f>
        <v>0</v>
      </c>
      <c r="O1892" s="1468" t="s">
        <v>4027</v>
      </c>
      <c r="P1892" s="1468"/>
      <c r="Q1892" s="1604"/>
      <c r="R1892" s="1319"/>
      <c r="S1892" s="1319"/>
      <c r="T1892" s="1314"/>
      <c r="U1892" s="1314"/>
      <c r="V1892" s="2417"/>
      <c r="W1892" s="2417"/>
      <c r="X1892" s="1314"/>
    </row>
    <row r="1893" spans="1:24" ht="18">
      <c r="A1893" s="1620"/>
      <c r="B1893" s="1314"/>
      <c r="C1893" s="457" t="s">
        <v>2193</v>
      </c>
      <c r="D1893" s="457">
        <f>'Part IX Scoring Criteria'!D245</f>
        <v>0</v>
      </c>
      <c r="E1893" s="457">
        <f>'Part IX Scoring Criteria'!E245</f>
        <v>0</v>
      </c>
      <c r="F1893" s="457">
        <f>'Part IX Scoring Criteria'!F245</f>
        <v>0</v>
      </c>
      <c r="G1893" s="457" t="s">
        <v>1720</v>
      </c>
      <c r="H1893" s="1855">
        <f>'Part IX Scoring Criteria'!H245</f>
        <v>0</v>
      </c>
      <c r="I1893" s="1524" t="s">
        <v>1799</v>
      </c>
      <c r="J1893" s="457">
        <f>'Part IX Scoring Criteria'!J245</f>
        <v>0</v>
      </c>
      <c r="K1893" s="457">
        <f>'Part IX Scoring Criteria'!K245</f>
        <v>0</v>
      </c>
      <c r="L1893" s="457">
        <f>'Part IX Scoring Criteria'!L245</f>
        <v>0</v>
      </c>
      <c r="M1893" s="457">
        <f>'Part IX Scoring Criteria'!M245</f>
        <v>0</v>
      </c>
      <c r="N1893" s="457">
        <f>'Part IX Scoring Criteria'!N245</f>
        <v>0</v>
      </c>
      <c r="O1893" s="1578">
        <f>'Part IX Scoring Criteria'!O245</f>
        <v>0</v>
      </c>
      <c r="P1893" s="1578"/>
      <c r="Q1893" s="1604"/>
      <c r="R1893" s="1319"/>
      <c r="S1893" s="1319"/>
      <c r="T1893" s="1314"/>
      <c r="U1893" s="1314"/>
      <c r="V1893" s="2417"/>
      <c r="W1893" s="2417"/>
      <c r="X1893" s="1314"/>
    </row>
    <row r="1894" spans="1:24" ht="18.75" customHeight="1">
      <c r="A1894" s="1620"/>
      <c r="B1894" s="1620" t="s">
        <v>2435</v>
      </c>
      <c r="C1894" s="457" t="s">
        <v>4026</v>
      </c>
      <c r="D1894" s="457">
        <f>'Part IX Scoring Criteria'!D246</f>
        <v>0</v>
      </c>
      <c r="E1894" s="457">
        <f>'Part IX Scoring Criteria'!E246</f>
        <v>0</v>
      </c>
      <c r="F1894" s="457">
        <f>'Part IX Scoring Criteria'!F246</f>
        <v>0</v>
      </c>
      <c r="G1894" s="457">
        <f>'Part IX Scoring Criteria'!G246</f>
        <v>0</v>
      </c>
      <c r="H1894" s="457">
        <f>'Part IX Scoring Criteria'!H246</f>
        <v>0</v>
      </c>
      <c r="I1894" s="1524" t="s">
        <v>2703</v>
      </c>
      <c r="J1894" s="457">
        <f>'Part IX Scoring Criteria'!J246</f>
        <v>0</v>
      </c>
      <c r="K1894" s="457">
        <f>'Part IX Scoring Criteria'!K246</f>
        <v>0</v>
      </c>
      <c r="L1894" s="457">
        <f>'Part IX Scoring Criteria'!L246</f>
        <v>0</v>
      </c>
      <c r="M1894" s="457">
        <f>'Part IX Scoring Criteria'!M246</f>
        <v>0</v>
      </c>
      <c r="N1894" s="457">
        <f>'Part IX Scoring Criteria'!N246</f>
        <v>0</v>
      </c>
      <c r="O1894" s="1468" t="s">
        <v>4027</v>
      </c>
      <c r="P1894" s="1468"/>
      <c r="Q1894" s="1604"/>
      <c r="R1894" s="1319"/>
      <c r="S1894" s="1319"/>
      <c r="T1894" s="1314"/>
      <c r="U1894" s="1314"/>
      <c r="V1894" s="2417"/>
      <c r="W1894" s="2417"/>
      <c r="X1894" s="1314"/>
    </row>
    <row r="1895" spans="1:24" ht="18">
      <c r="A1895" s="1620"/>
      <c r="B1895" s="1314"/>
      <c r="C1895" s="457" t="s">
        <v>2193</v>
      </c>
      <c r="D1895" s="457">
        <f>'Part IX Scoring Criteria'!D247</f>
        <v>0</v>
      </c>
      <c r="E1895" s="457">
        <f>'Part IX Scoring Criteria'!E247</f>
        <v>0</v>
      </c>
      <c r="F1895" s="457">
        <f>'Part IX Scoring Criteria'!F247</f>
        <v>0</v>
      </c>
      <c r="G1895" s="457" t="s">
        <v>1720</v>
      </c>
      <c r="H1895" s="1855">
        <f>'Part IX Scoring Criteria'!H247</f>
        <v>0</v>
      </c>
      <c r="I1895" s="1524" t="s">
        <v>1799</v>
      </c>
      <c r="J1895" s="457">
        <f>'Part IX Scoring Criteria'!J247</f>
        <v>0</v>
      </c>
      <c r="K1895" s="457">
        <f>'Part IX Scoring Criteria'!K247</f>
        <v>0</v>
      </c>
      <c r="L1895" s="457">
        <f>'Part IX Scoring Criteria'!L247</f>
        <v>0</v>
      </c>
      <c r="M1895" s="457">
        <f>'Part IX Scoring Criteria'!M247</f>
        <v>0</v>
      </c>
      <c r="N1895" s="457">
        <f>'Part IX Scoring Criteria'!N247</f>
        <v>0</v>
      </c>
      <c r="O1895" s="1578">
        <f>'Part IX Scoring Criteria'!O247</f>
        <v>0</v>
      </c>
      <c r="P1895" s="1578"/>
      <c r="Q1895" s="1604"/>
      <c r="R1895" s="1319"/>
      <c r="S1895" s="1319"/>
      <c r="T1895" s="1314"/>
      <c r="U1895" s="1314"/>
      <c r="V1895" s="2417"/>
      <c r="W1895" s="2417"/>
      <c r="X1895" s="1314"/>
    </row>
    <row r="1896" spans="1:24">
      <c r="A1896" s="1620"/>
      <c r="B1896" s="2452" t="s">
        <v>1987</v>
      </c>
      <c r="C1896" s="1604" t="s">
        <v>4028</v>
      </c>
      <c r="D1896" s="1604"/>
      <c r="E1896" s="1604"/>
      <c r="F1896" s="1604"/>
      <c r="G1896" s="1647" t="s">
        <v>3781</v>
      </c>
      <c r="H1896" s="1604"/>
      <c r="I1896" s="1604"/>
      <c r="J1896" s="1604"/>
      <c r="K1896" s="1604"/>
      <c r="L1896" s="1604"/>
      <c r="M1896" s="1604"/>
      <c r="N1896" s="1604"/>
      <c r="O1896" s="1578" t="s">
        <v>2509</v>
      </c>
      <c r="P1896" s="1578" t="s">
        <v>2509</v>
      </c>
      <c r="Q1896" s="1604"/>
      <c r="R1896" s="1319"/>
      <c r="S1896" s="1319"/>
    </row>
    <row r="1897" spans="1:24" ht="18.75" customHeight="1">
      <c r="A1897" s="1620"/>
      <c r="B1897" s="1759"/>
      <c r="C1897" s="1583" t="s">
        <v>4586</v>
      </c>
      <c r="D1897" s="1583"/>
      <c r="E1897" s="1583"/>
      <c r="F1897" s="1583"/>
      <c r="G1897" s="1583"/>
      <c r="H1897" s="1583"/>
      <c r="I1897" s="1583"/>
      <c r="J1897" s="1583"/>
      <c r="K1897" s="1583"/>
      <c r="L1897" s="1583"/>
      <c r="M1897" s="1583"/>
      <c r="N1897" s="1684" t="s">
        <v>1987</v>
      </c>
      <c r="O1897" s="1631">
        <f>'Part IX Scoring Criteria'!O249</f>
        <v>0</v>
      </c>
      <c r="P1897" s="1631"/>
      <c r="Q1897" s="1630"/>
      <c r="R1897" s="1319"/>
      <c r="S1897" s="1319"/>
      <c r="V1897" s="2417"/>
      <c r="W1897" s="2417"/>
    </row>
    <row r="1898" spans="1:24" ht="18">
      <c r="A1898" s="1620"/>
      <c r="B1898" s="1620" t="s">
        <v>2434</v>
      </c>
      <c r="C1898" s="1635" t="s">
        <v>4134</v>
      </c>
      <c r="D1898" s="1582"/>
      <c r="E1898" s="1582"/>
      <c r="F1898" s="1582"/>
      <c r="G1898" s="1582"/>
      <c r="H1898" s="1582"/>
      <c r="I1898" s="1582"/>
      <c r="J1898" s="1582"/>
      <c r="K1898" s="1582"/>
      <c r="L1898" s="1582"/>
      <c r="M1898" s="1582"/>
      <c r="N1898" s="1582"/>
      <c r="O1898" s="1582"/>
      <c r="P1898" s="1582"/>
      <c r="Q1898" s="1630"/>
      <c r="R1898" s="1319"/>
      <c r="S1898" s="1319"/>
      <c r="V1898" s="2417"/>
      <c r="W1898" s="2417"/>
    </row>
    <row r="1899" spans="1:24" ht="18">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2384"/>
      <c r="R1899" s="1319"/>
      <c r="S1899" s="1319"/>
      <c r="V1899" s="2417"/>
      <c r="W1899" s="2417"/>
    </row>
    <row r="1900" spans="1:24" ht="18">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2417"/>
      <c r="W1900" s="2417"/>
    </row>
    <row r="1901" spans="1:24" ht="18">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2417"/>
      <c r="W1901" s="2417"/>
    </row>
    <row r="1902" spans="1:24" ht="18.75" customHeight="1">
      <c r="A1902" s="1620"/>
      <c r="B1902" s="1620" t="s">
        <v>2435</v>
      </c>
      <c r="C1902" s="1635" t="s">
        <v>4132</v>
      </c>
      <c r="D1902" s="1582"/>
      <c r="E1902" s="1582"/>
      <c r="F1902" s="1582"/>
      <c r="G1902" s="1582"/>
      <c r="H1902" s="1582"/>
      <c r="I1902" s="1582"/>
      <c r="J1902" s="1582"/>
      <c r="K1902" s="1582"/>
      <c r="L1902" s="1583" t="s">
        <v>4136</v>
      </c>
      <c r="M1902" s="1583"/>
      <c r="N1902" s="1604" t="s">
        <v>4137</v>
      </c>
      <c r="O1902" s="1604"/>
      <c r="P1902" s="1604"/>
      <c r="Q1902" s="1630"/>
      <c r="R1902" s="1319"/>
      <c r="S1902" s="1319"/>
      <c r="V1902" s="2417"/>
      <c r="W1902" s="2417"/>
    </row>
    <row r="1903" spans="1:24" ht="18">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2384"/>
      <c r="R1903" s="1319"/>
      <c r="S1903" s="1319"/>
      <c r="V1903" s="2417"/>
      <c r="W1903" s="2417"/>
    </row>
    <row r="1904" spans="1:24" ht="18">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2417"/>
      <c r="W1904" s="2417"/>
    </row>
    <row r="1905" spans="1:24" ht="18">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2417"/>
      <c r="W1905" s="2417"/>
    </row>
    <row r="1906" spans="1:24">
      <c r="A1906" s="1620"/>
      <c r="B1906" s="2452" t="s">
        <v>2533</v>
      </c>
      <c r="C1906" s="1604" t="s">
        <v>4029</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4033</v>
      </c>
      <c r="D1907" s="1550"/>
      <c r="E1907" s="1550"/>
      <c r="F1907" s="1550"/>
      <c r="G1907" s="1550"/>
      <c r="H1907" s="1550"/>
      <c r="I1907" s="1550"/>
      <c r="J1907" s="1550"/>
      <c r="K1907" s="1550"/>
      <c r="L1907" s="1550"/>
      <c r="M1907" s="1550"/>
      <c r="N1907" s="1684" t="s">
        <v>2533</v>
      </c>
      <c r="O1907" s="1578">
        <f>'Part IX Scoring Criteria'!O259</f>
        <v>0</v>
      </c>
      <c r="P1907" s="1578"/>
      <c r="Q1907" s="1630"/>
      <c r="R1907" s="1314"/>
      <c r="S1907" s="1314"/>
      <c r="T1907" s="1314"/>
      <c r="U1907" s="1314"/>
      <c r="V1907" s="2417"/>
      <c r="W1907" s="2417"/>
      <c r="X1907" s="1314"/>
    </row>
    <row r="1908" spans="1:24">
      <c r="A1908" s="1511"/>
      <c r="B1908" s="1727" t="s">
        <v>1223</v>
      </c>
      <c r="C1908" s="457" t="s">
        <v>3784</v>
      </c>
      <c r="D1908" s="1314"/>
      <c r="Q1908" s="1313"/>
    </row>
    <row r="1909" spans="1:24" ht="18.75" customHeight="1">
      <c r="A1909" s="1620"/>
      <c r="B1909" s="1760"/>
      <c r="C1909" s="1583" t="s">
        <v>4035</v>
      </c>
      <c r="D1909" s="1583"/>
      <c r="E1909" s="1583"/>
      <c r="F1909" s="1583"/>
      <c r="G1909" s="1583"/>
      <c r="H1909" s="1583"/>
      <c r="I1909" s="1583"/>
      <c r="J1909" s="1583"/>
      <c r="K1909" s="1583"/>
      <c r="L1909" s="1583"/>
      <c r="M1909" s="1583"/>
      <c r="N1909" s="1684" t="s">
        <v>1223</v>
      </c>
      <c r="O1909" s="1631">
        <f>'Part IX Scoring Criteria'!O261</f>
        <v>0</v>
      </c>
      <c r="P1909" s="1631"/>
      <c r="Q1909" s="1630"/>
      <c r="R1909" s="1314"/>
      <c r="S1909" s="1314"/>
      <c r="T1909" s="1314"/>
      <c r="U1909" s="1314"/>
      <c r="V1909" s="2417"/>
      <c r="W1909" s="2417"/>
      <c r="X1909" s="1314"/>
    </row>
    <row r="1910" spans="1:24" ht="18">
      <c r="A1910" s="1620"/>
      <c r="B1910" s="1760"/>
      <c r="C1910" s="1582"/>
      <c r="D1910" s="1582"/>
      <c r="E1910" s="1582"/>
      <c r="F1910" s="1582"/>
      <c r="G1910" s="1635" t="s">
        <v>4948</v>
      </c>
      <c r="H1910" s="1582"/>
      <c r="I1910" s="1314"/>
      <c r="J1910" s="1743">
        <f>'Part IX Scoring Criteria'!J262</f>
        <v>0</v>
      </c>
      <c r="K1910" s="1743">
        <f>'Part IX Scoring Criteria'!K262</f>
        <v>0</v>
      </c>
      <c r="L1910" s="1582"/>
      <c r="M1910" s="1582"/>
      <c r="N1910" s="1582"/>
      <c r="O1910" s="1582"/>
      <c r="P1910" s="1582"/>
      <c r="Q1910" s="1630"/>
      <c r="R1910" s="1314"/>
      <c r="S1910" s="1314"/>
      <c r="T1910" s="1314"/>
      <c r="U1910" s="1314"/>
      <c r="V1910" s="2417"/>
      <c r="W1910" s="2417"/>
      <c r="X1910" s="1314"/>
    </row>
    <row r="1911" spans="1:24" ht="18.75" customHeight="1">
      <c r="A1911" s="1620"/>
      <c r="B1911" s="1620" t="s">
        <v>2434</v>
      </c>
      <c r="C1911" s="1550" t="s">
        <v>4036</v>
      </c>
      <c r="D1911" s="1550"/>
      <c r="E1911" s="1550"/>
      <c r="F1911" s="1550"/>
      <c r="G1911" s="1550"/>
      <c r="H1911" s="1550"/>
      <c r="I1911" s="1550"/>
      <c r="J1911" s="1550"/>
      <c r="K1911" s="1550"/>
      <c r="L1911" s="1550"/>
      <c r="M1911" s="1550"/>
      <c r="N1911" s="1620" t="s">
        <v>2434</v>
      </c>
      <c r="O1911" s="1578">
        <f>'Part IX Scoring Criteria'!O263</f>
        <v>0</v>
      </c>
      <c r="P1911" s="1578"/>
      <c r="Q1911" s="1630"/>
      <c r="R1911" s="1314"/>
      <c r="S1911" s="1314"/>
      <c r="T1911" s="1314"/>
      <c r="U1911" s="1314"/>
      <c r="V1911" s="2417"/>
      <c r="W1911" s="2417"/>
      <c r="X1911" s="1314"/>
    </row>
    <row r="1912" spans="1:24" ht="18.75" customHeight="1">
      <c r="A1912" s="1620"/>
      <c r="B1912" s="1620" t="s">
        <v>2435</v>
      </c>
      <c r="C1912" s="1550" t="s">
        <v>4847</v>
      </c>
      <c r="D1912" s="1550"/>
      <c r="E1912" s="1550"/>
      <c r="F1912" s="1550"/>
      <c r="G1912" s="1550"/>
      <c r="H1912" s="1550"/>
      <c r="I1912" s="1550"/>
      <c r="J1912" s="1550"/>
      <c r="K1912" s="1550"/>
      <c r="L1912" s="1550"/>
      <c r="M1912" s="1550"/>
      <c r="N1912" s="1620" t="s">
        <v>2435</v>
      </c>
      <c r="O1912" s="1578">
        <f>'Part IX Scoring Criteria'!O264</f>
        <v>0</v>
      </c>
      <c r="P1912" s="1578"/>
      <c r="Q1912" s="1630"/>
      <c r="R1912" s="1314"/>
      <c r="S1912" s="1314"/>
      <c r="T1912" s="1314"/>
      <c r="U1912" s="1314"/>
      <c r="V1912" s="2417"/>
      <c r="W1912" s="2417"/>
      <c r="X1912" s="1314"/>
    </row>
    <row r="1913" spans="1:24">
      <c r="A1913" s="1511"/>
      <c r="B1913" s="1727" t="s">
        <v>1224</v>
      </c>
      <c r="C1913" s="457" t="s">
        <v>4848</v>
      </c>
      <c r="D1913" s="1314"/>
      <c r="N1913" s="1684" t="s">
        <v>1224</v>
      </c>
      <c r="Q1913" s="1313"/>
    </row>
    <row r="1914" spans="1:24" ht="18.75" customHeight="1">
      <c r="A1914" s="1620"/>
      <c r="B1914" s="1620" t="s">
        <v>2434</v>
      </c>
      <c r="C1914" s="1550" t="s">
        <v>4849</v>
      </c>
      <c r="D1914" s="1550"/>
      <c r="E1914" s="1550"/>
      <c r="F1914" s="1550"/>
      <c r="G1914" s="1550"/>
      <c r="H1914" s="1550"/>
      <c r="I1914" s="1550"/>
      <c r="J1914" s="1550"/>
      <c r="K1914" s="1550"/>
      <c r="L1914" s="1550"/>
      <c r="M1914" s="1550"/>
      <c r="N1914" s="1620" t="s">
        <v>2434</v>
      </c>
      <c r="O1914" s="1578">
        <f>'Part IX Scoring Criteria'!O266</f>
        <v>0</v>
      </c>
      <c r="P1914" s="1578"/>
      <c r="Q1914" s="1630"/>
      <c r="R1914" s="1314"/>
      <c r="S1914" s="1314"/>
      <c r="T1914" s="1314"/>
      <c r="U1914" s="1314"/>
      <c r="V1914" s="2417"/>
      <c r="W1914" s="2417"/>
      <c r="X1914" s="1314"/>
    </row>
    <row r="1915" spans="1:24" ht="18.75" customHeight="1">
      <c r="A1915" s="1620"/>
      <c r="B1915" s="1620" t="s">
        <v>2435</v>
      </c>
      <c r="C1915" s="1550" t="s">
        <v>4850</v>
      </c>
      <c r="D1915" s="1550"/>
      <c r="E1915" s="1550"/>
      <c r="F1915" s="1550"/>
      <c r="G1915" s="1550"/>
      <c r="H1915" s="1550"/>
      <c r="I1915" s="1550"/>
      <c r="J1915" s="1550"/>
      <c r="K1915" s="1550"/>
      <c r="L1915" s="1550"/>
      <c r="M1915" s="1550"/>
      <c r="N1915" s="1620" t="s">
        <v>2435</v>
      </c>
      <c r="O1915" s="1578">
        <f>'Part IX Scoring Criteria'!O267</f>
        <v>0</v>
      </c>
      <c r="P1915" s="1578"/>
      <c r="Q1915" s="1630"/>
      <c r="R1915" s="1314"/>
      <c r="S1915" s="1314"/>
      <c r="T1915" s="1314"/>
      <c r="U1915" s="1314"/>
      <c r="V1915" s="2417"/>
      <c r="W1915" s="2417"/>
      <c r="X1915" s="1314"/>
    </row>
    <row r="1916" spans="1:24">
      <c r="A1916" s="1511" t="s">
        <v>1984</v>
      </c>
      <c r="B1916" s="1317" t="s">
        <v>5124</v>
      </c>
      <c r="D1916" s="1314"/>
      <c r="G1916" s="1647" t="s">
        <v>3781</v>
      </c>
      <c r="O1916" s="1578" t="s">
        <v>2509</v>
      </c>
      <c r="P1916" s="1578" t="s">
        <v>2509</v>
      </c>
      <c r="Q1916" s="1372"/>
    </row>
    <row r="1917" spans="1:24" ht="18.75" customHeight="1">
      <c r="B1917" s="2452" t="s">
        <v>1985</v>
      </c>
      <c r="C1917" s="1550" t="s">
        <v>4031</v>
      </c>
      <c r="D1917" s="1550"/>
      <c r="E1917" s="1550"/>
      <c r="F1917" s="1550"/>
      <c r="G1917" s="1550"/>
      <c r="H1917" s="1550"/>
      <c r="I1917" s="1550"/>
      <c r="J1917" s="1550"/>
      <c r="K1917" s="1550"/>
      <c r="L1917" s="1550"/>
      <c r="M1917" s="1762" t="s">
        <v>1984</v>
      </c>
      <c r="N1917" s="1684" t="s">
        <v>1985</v>
      </c>
      <c r="O1917" s="1631">
        <f>'Part IX Scoring Criteria'!O269</f>
        <v>0</v>
      </c>
      <c r="P1917" s="1631"/>
      <c r="Q1917" s="1372"/>
      <c r="V1917" s="2417"/>
      <c r="W1917" s="2417"/>
    </row>
    <row r="1918" spans="1:24" ht="18">
      <c r="A1918" s="1620"/>
      <c r="B1918" s="2452" t="s">
        <v>1987</v>
      </c>
      <c r="C1918" s="1524" t="s">
        <v>4851</v>
      </c>
      <c r="D1918" s="1550"/>
      <c r="E1918" s="1550"/>
      <c r="F1918" s="1550"/>
      <c r="G1918" s="1550"/>
      <c r="H1918" s="1550"/>
      <c r="I1918" s="1550"/>
      <c r="J1918" s="1550"/>
      <c r="K1918" s="1550"/>
      <c r="L1918" s="1550"/>
      <c r="M1918" s="1550"/>
      <c r="N1918" s="1684" t="s">
        <v>1987</v>
      </c>
      <c r="O1918" s="1578">
        <f>'Part IX Scoring Criteria'!O270</f>
        <v>0</v>
      </c>
      <c r="P1918" s="1578"/>
      <c r="Q1918" s="1630"/>
      <c r="R1918" s="1314"/>
      <c r="S1918" s="1314"/>
      <c r="T1918" s="1314"/>
      <c r="U1918" s="1314"/>
      <c r="V1918" s="2457"/>
      <c r="W1918" s="2457"/>
      <c r="X1918" s="1314"/>
    </row>
    <row r="1919" spans="1:24" ht="18">
      <c r="A1919" s="1620"/>
      <c r="B1919" s="2452" t="s">
        <v>2533</v>
      </c>
      <c r="C1919" s="1524" t="s">
        <v>4852</v>
      </c>
      <c r="D1919" s="1550"/>
      <c r="E1919" s="1550"/>
      <c r="F1919" s="1550"/>
      <c r="G1919" s="1550"/>
      <c r="H1919" s="1550"/>
      <c r="I1919" s="1550"/>
      <c r="J1919" s="1550"/>
      <c r="K1919" s="1550"/>
      <c r="L1919" s="1550"/>
      <c r="M1919" s="1550"/>
      <c r="N1919" s="1684" t="s">
        <v>2533</v>
      </c>
      <c r="O1919" s="1578">
        <f>'Part IX Scoring Criteria'!O271</f>
        <v>0</v>
      </c>
      <c r="P1919" s="1578"/>
      <c r="Q1919" s="1630"/>
      <c r="R1919" s="1314"/>
      <c r="S1919" s="1314"/>
      <c r="T1919" s="1314"/>
      <c r="U1919" s="1314"/>
      <c r="V1919" s="2457"/>
      <c r="W1919" s="2457"/>
      <c r="X1919" s="1314"/>
    </row>
    <row r="1920" spans="1:24" ht="14.4">
      <c r="A1920" s="1314"/>
      <c r="B1920" s="1549" t="s">
        <v>3752</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15">
      <c r="A1921" s="1573">
        <f>'Part IX Scoring Criteria'!A273</f>
        <v>0</v>
      </c>
      <c r="B1921" s="1573"/>
      <c r="C1921" s="1573"/>
      <c r="D1921" s="1573"/>
      <c r="E1921" s="1573"/>
      <c r="F1921" s="1573"/>
      <c r="G1921" s="1573"/>
      <c r="H1921" s="1573"/>
      <c r="I1921" s="1573"/>
      <c r="J1921" s="1573"/>
      <c r="K1921" s="1573"/>
      <c r="L1921" s="1573"/>
      <c r="M1921" s="1573"/>
      <c r="N1921" s="1573"/>
      <c r="O1921" s="1573"/>
      <c r="P1921" s="1573"/>
      <c r="Q1921" s="2384" t="s">
        <v>1253</v>
      </c>
      <c r="R1921" s="1659"/>
      <c r="S1921" s="1659"/>
      <c r="T1921" s="1659"/>
      <c r="U1921" s="1659"/>
      <c r="V1921" s="1659"/>
      <c r="W1921" s="1659"/>
      <c r="X1921" s="1659"/>
    </row>
    <row r="1922" spans="1:24" ht="14.4">
      <c r="A1922" s="1314"/>
      <c r="B1922" s="1580" t="s">
        <v>1865</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2384"/>
      <c r="R1923" s="1659"/>
      <c r="S1923" s="1659"/>
      <c r="T1923" s="1659"/>
      <c r="U1923" s="1659"/>
      <c r="V1923" s="1659"/>
      <c r="W1923" s="1659"/>
      <c r="X1923" s="1659"/>
    </row>
    <row r="1924" spans="1:24">
      <c r="N1924" s="1320"/>
      <c r="O1924" s="1320"/>
      <c r="P1924" s="1320"/>
    </row>
    <row r="1925" spans="1:24" ht="14.4">
      <c r="A1925" s="2426" t="s">
        <v>426</v>
      </c>
      <c r="B1925" s="2362" t="s">
        <v>2784</v>
      </c>
      <c r="C1925" s="1676"/>
      <c r="D1925" s="1549"/>
      <c r="E1925" s="1549"/>
      <c r="F1925" s="1676"/>
      <c r="G1925" s="1335" t="s">
        <v>4177</v>
      </c>
      <c r="H1925" s="1676"/>
      <c r="I1925" s="1676"/>
      <c r="J1925" s="1676"/>
      <c r="K1925" s="1676"/>
      <c r="L1925" s="1676"/>
      <c r="M1925" s="1313">
        <v>6</v>
      </c>
      <c r="N1925" s="1313"/>
      <c r="O1925" s="1607">
        <f>'Part IX Scoring Criteria'!O277</f>
        <v>0</v>
      </c>
      <c r="P1925" s="1607">
        <f>P1927+P1936+P1941</f>
        <v>0</v>
      </c>
      <c r="Q1925" s="1313" t="s">
        <v>441</v>
      </c>
      <c r="R1925" s="1659"/>
      <c r="S1925" s="1676"/>
      <c r="T1925" s="1676"/>
      <c r="U1925" s="1676"/>
      <c r="V1925" s="1676"/>
      <c r="W1925" s="1676"/>
      <c r="X1925" s="1676"/>
    </row>
    <row r="1926" spans="1:24" ht="14.4">
      <c r="A1926" s="2426"/>
      <c r="B1926" s="2362"/>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4.4">
      <c r="A1927" s="2458" t="s">
        <v>3599</v>
      </c>
      <c r="B1927" s="1317" t="s">
        <v>4856</v>
      </c>
      <c r="C1927" s="1676"/>
      <c r="D1927" s="1549"/>
      <c r="E1927" s="1549"/>
      <c r="F1927" s="1676"/>
      <c r="G1927" s="1647" t="s">
        <v>4863</v>
      </c>
      <c r="H1927" s="1676"/>
      <c r="J1927" s="1754" t="str">
        <f>'Part I-Project Information'!$O$38</f>
        <v>203.00</v>
      </c>
      <c r="K1927" s="1754"/>
      <c r="L1927" s="1676"/>
      <c r="M1927" s="1313">
        <v>3</v>
      </c>
      <c r="N1927" s="1721"/>
      <c r="O1927" s="1607">
        <f>'Part IX Scoring Criteria'!O279</f>
        <v>0</v>
      </c>
      <c r="P1927" s="1313"/>
      <c r="Q1927" s="1313"/>
      <c r="R1927" s="1659"/>
      <c r="S1927" s="1676"/>
      <c r="T1927" s="1676"/>
      <c r="U1927" s="1676"/>
      <c r="V1927" s="1676"/>
      <c r="W1927" s="1676"/>
      <c r="X1927" s="1676"/>
    </row>
    <row r="1928" spans="1:24">
      <c r="A1928" s="2458"/>
      <c r="B1928" s="1317" t="s">
        <v>2792</v>
      </c>
      <c r="C1928" s="1204"/>
      <c r="D1928" s="1204"/>
      <c r="G1928" s="1317" t="str">
        <f>'Part I-Project Information'!$H$105</f>
        <v>Rural</v>
      </c>
      <c r="M1928" s="1626" t="s">
        <v>4857</v>
      </c>
      <c r="N1928" s="1721"/>
      <c r="O1928" s="1626" t="s">
        <v>2509</v>
      </c>
      <c r="P1928" s="1626" t="s">
        <v>2509</v>
      </c>
    </row>
    <row r="1929" spans="1:24" ht="12.75" customHeight="1">
      <c r="A1929" s="2458"/>
      <c r="B1929" s="1727" t="s">
        <v>1985</v>
      </c>
      <c r="C1929" s="1051" t="s">
        <v>2684</v>
      </c>
      <c r="M1929" s="1320"/>
      <c r="N1929" s="1696" t="s">
        <v>1985</v>
      </c>
      <c r="O1929" s="1578">
        <f>'Part IX Scoring Criteria'!O281</f>
        <v>0</v>
      </c>
      <c r="P1929" s="1578"/>
      <c r="Q1929" s="2459" t="str">
        <f>IF(AND(O1929="Yes",O1932="Yes"),"Only 1 or 4 can be 'Yes'!","")</f>
        <v/>
      </c>
      <c r="R1929" s="2459"/>
    </row>
    <row r="1930" spans="1:24" ht="12.75" customHeight="1">
      <c r="B1930" s="1727" t="s">
        <v>1987</v>
      </c>
      <c r="C1930" s="1051" t="s">
        <v>2737</v>
      </c>
      <c r="G1930" s="1051" t="s">
        <v>2388</v>
      </c>
      <c r="H1930" s="2460" t="str">
        <f>'Part IX Scoring Criteria'!H282</f>
        <v>&lt; Select &gt;</v>
      </c>
      <c r="I1930" s="1051" t="s">
        <v>2738</v>
      </c>
      <c r="L1930" s="457" t="s">
        <v>2736</v>
      </c>
      <c r="M1930" s="457" t="str">
        <f>IF(O1930&gt;H1930,"CHECK ACTUAL PERCENT!!!","")</f>
        <v/>
      </c>
      <c r="N1930" s="1696" t="s">
        <v>1987</v>
      </c>
      <c r="O1930" s="2461">
        <f>'Part IX Scoring Criteria'!O282</f>
        <v>0</v>
      </c>
      <c r="P1930" s="1766"/>
      <c r="Q1930" s="2459"/>
      <c r="R1930" s="2459"/>
    </row>
    <row r="1931" spans="1:24" ht="12.75" customHeight="1">
      <c r="B1931" s="1727" t="s">
        <v>2533</v>
      </c>
      <c r="C1931" s="1051" t="s">
        <v>2389</v>
      </c>
      <c r="G1931" s="1051" t="s">
        <v>2390</v>
      </c>
      <c r="J1931" s="1767" t="s">
        <v>5060</v>
      </c>
      <c r="L1931" s="1524" t="s">
        <v>2730</v>
      </c>
      <c r="M1931" s="1314"/>
      <c r="N1931" s="1696" t="s">
        <v>2533</v>
      </c>
      <c r="O1931" s="1578" t="str">
        <f>'Part IX Scoring Criteria'!O283</f>
        <v>&lt;Select&gt;</v>
      </c>
      <c r="P1931" s="1578" t="s">
        <v>201</v>
      </c>
      <c r="Q1931" s="2459"/>
      <c r="R1931" s="2459"/>
    </row>
    <row r="1932" spans="1:24" ht="12.75" customHeight="1">
      <c r="A1932" s="1596"/>
      <c r="B1932" s="2452" t="s">
        <v>1223</v>
      </c>
      <c r="C1932" s="1583" t="s">
        <v>5365</v>
      </c>
      <c r="D1932" s="1583"/>
      <c r="E1932" s="1583"/>
      <c r="F1932" s="1583"/>
      <c r="G1932" s="1583"/>
      <c r="H1932" s="1583"/>
      <c r="I1932" s="1583"/>
      <c r="J1932" s="1767"/>
      <c r="K1932" s="1767" t="s">
        <v>4038</v>
      </c>
      <c r="L1932" s="1596"/>
      <c r="M1932" s="1316">
        <v>2</v>
      </c>
      <c r="N1932" s="1696" t="s">
        <v>1223</v>
      </c>
      <c r="O1932" s="1631">
        <f>'Part IX Scoring Criteria'!O284</f>
        <v>0</v>
      </c>
      <c r="P1932" s="1631"/>
      <c r="Q1932" s="2459"/>
      <c r="R1932" s="2459"/>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4094</v>
      </c>
      <c r="M1933" s="1768"/>
      <c r="O1933" s="1320"/>
      <c r="P1933" s="1320"/>
    </row>
    <row r="1934" spans="1:24">
      <c r="B1934" s="1776"/>
      <c r="C1934" s="1583"/>
      <c r="D1934" s="1583"/>
      <c r="E1934" s="1583"/>
      <c r="F1934" s="1583"/>
      <c r="G1934" s="1583"/>
      <c r="H1934" s="1583"/>
      <c r="I1934" s="1583"/>
      <c r="J1934" s="2462">
        <f>'Part IX Scoring Criteria'!J286</f>
        <v>0</v>
      </c>
      <c r="K1934" s="2463">
        <f>'Part IX Scoring Criteria'!K286</f>
        <v>0</v>
      </c>
      <c r="L1934" s="2412">
        <f>O1709</f>
        <v>10</v>
      </c>
      <c r="M1934" s="2464">
        <f>P1709</f>
        <v>0</v>
      </c>
      <c r="O1934" s="1320"/>
      <c r="P1934" s="1320"/>
    </row>
    <row r="1935" spans="1:24">
      <c r="A1935" s="1204"/>
      <c r="B1935" s="1727"/>
      <c r="C1935" s="1051"/>
      <c r="M1935" s="1313"/>
      <c r="N1935" s="1315"/>
      <c r="O1935" s="1313"/>
      <c r="P1935" s="1313"/>
    </row>
    <row r="1936" spans="1:24">
      <c r="A1936" s="1204" t="s">
        <v>748</v>
      </c>
      <c r="B1936" s="1727" t="s">
        <v>4858</v>
      </c>
      <c r="C1936" s="1051"/>
      <c r="G1936" s="1051" t="s">
        <v>4859</v>
      </c>
      <c r="M1936" s="1313">
        <v>2</v>
      </c>
      <c r="N1936" s="1511" t="s">
        <v>748</v>
      </c>
      <c r="O1936" s="1607">
        <f>'Part IX Scoring Criteria'!O288</f>
        <v>0</v>
      </c>
      <c r="P1936" s="1607">
        <f>IF(OR(AND(P1937&gt;=60,P1938&gt;=60,P1939&gt;=60),AND(P1937&lt;60,P1938&gt;=60,P1939&gt;=60),AND(P1937&gt;=60,P1938&lt;60,P1939&gt;=60),AND(P1937&gt;=60,P1938&gt;=60,P1939&lt;60)),$M$288,IF(OR(P1937&gt;=60,P1938&gt;=60,P1939&gt;=60),1,0))</f>
        <v>0</v>
      </c>
    </row>
    <row r="1937" spans="1:24">
      <c r="A1937" s="1204"/>
      <c r="B1937" s="1727" t="s">
        <v>1985</v>
      </c>
      <c r="C1937" s="457" t="s">
        <v>5055</v>
      </c>
      <c r="D1937" s="457"/>
      <c r="G1937" s="457" t="s">
        <v>4860</v>
      </c>
      <c r="H1937" s="1550"/>
      <c r="I1937" s="1550"/>
      <c r="J1937" s="1314"/>
      <c r="K1937" s="1314"/>
      <c r="L1937" s="1314"/>
      <c r="M1937" s="1314"/>
      <c r="N1937" s="1696" t="s">
        <v>1985</v>
      </c>
      <c r="O1937" s="2465">
        <f>'Part IX Scoring Criteria'!O289</f>
        <v>0</v>
      </c>
      <c r="P1937" s="1692"/>
    </row>
    <row r="1938" spans="1:24">
      <c r="A1938" s="1204"/>
      <c r="B1938" s="1727" t="s">
        <v>1987</v>
      </c>
      <c r="C1938" s="457" t="s">
        <v>5056</v>
      </c>
      <c r="D1938" s="457"/>
      <c r="G1938" s="457" t="s">
        <v>4861</v>
      </c>
      <c r="H1938" s="1550"/>
      <c r="I1938" s="1550"/>
      <c r="J1938" s="1314"/>
      <c r="K1938" s="1314"/>
      <c r="L1938" s="1314"/>
      <c r="M1938" s="1314"/>
      <c r="N1938" s="1696" t="s">
        <v>1987</v>
      </c>
      <c r="O1938" s="2465">
        <f>'Part IX Scoring Criteria'!O290</f>
        <v>0</v>
      </c>
      <c r="P1938" s="1692"/>
      <c r="R1938" s="638" t="s">
        <v>5066</v>
      </c>
    </row>
    <row r="1939" spans="1:24">
      <c r="A1939" s="1204"/>
      <c r="B1939" s="1727" t="s">
        <v>2533</v>
      </c>
      <c r="C1939" s="457" t="s">
        <v>5057</v>
      </c>
      <c r="D1939" s="457"/>
      <c r="G1939" s="457" t="s">
        <v>4862</v>
      </c>
      <c r="H1939" s="1550"/>
      <c r="I1939" s="1550"/>
      <c r="J1939" s="1314"/>
      <c r="K1939" s="1314"/>
      <c r="L1939" s="1314"/>
      <c r="M1939" s="1314"/>
      <c r="N1939" s="1696" t="s">
        <v>2533</v>
      </c>
      <c r="O1939" s="2465">
        <f>'Part IX Scoring Criteria'!O291</f>
        <v>0</v>
      </c>
      <c r="P1939" s="1692"/>
    </row>
    <row r="1940" spans="1:24">
      <c r="A1940" s="1204"/>
      <c r="B1940" s="1727"/>
      <c r="C1940" s="1051"/>
      <c r="M1940" s="1313"/>
      <c r="N1940" s="1315"/>
      <c r="O1940" s="1313"/>
      <c r="P1940" s="1313"/>
    </row>
    <row r="1941" spans="1:24">
      <c r="A1941" s="1204" t="s">
        <v>2114</v>
      </c>
      <c r="B1941" s="1727" t="s">
        <v>3600</v>
      </c>
      <c r="C1941" s="1051"/>
      <c r="G1941" s="1578" t="s">
        <v>3604</v>
      </c>
      <c r="H1941" s="1766">
        <f>'Part IX Scoring Criteria'!H293</f>
        <v>0</v>
      </c>
      <c r="J1941" s="1636" t="s">
        <v>4864</v>
      </c>
      <c r="K1941" s="2466" t="str">
        <f>'Part I-Project Information'!$K$94</f>
        <v>40% of Units at 60% of AMI</v>
      </c>
      <c r="L1941" s="2466"/>
      <c r="M1941" s="1313">
        <v>1</v>
      </c>
      <c r="N1941" s="1315" t="s">
        <v>2114</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4.4">
      <c r="A1943" s="1314"/>
      <c r="B1943" s="1580" t="s">
        <v>1865</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2384"/>
      <c r="R1944" s="1659"/>
      <c r="S1944" s="1659"/>
      <c r="T1944" s="1659"/>
      <c r="U1944" s="1659"/>
      <c r="V1944" s="1659"/>
      <c r="W1944" s="1659"/>
      <c r="X1944" s="1659"/>
    </row>
    <row r="1945" spans="1:24" ht="14.4">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4.4">
      <c r="A1946" s="2426" t="s">
        <v>362</v>
      </c>
      <c r="B1946" s="2362" t="s">
        <v>4041</v>
      </c>
      <c r="C1946" s="1676"/>
      <c r="D1946" s="1549"/>
      <c r="E1946" s="1549"/>
      <c r="F1946" s="1676"/>
      <c r="G1946" s="1676"/>
      <c r="H1946" s="1335"/>
      <c r="I1946" s="1773" t="s">
        <v>3797</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1982</v>
      </c>
      <c r="B1947" s="1635" t="s">
        <v>3788</v>
      </c>
      <c r="D1947" s="1635"/>
      <c r="E1947" s="1635"/>
      <c r="F1947" s="1635"/>
      <c r="G1947" s="1635"/>
      <c r="H1947" s="1635"/>
      <c r="I1947" s="1635"/>
      <c r="J1947" s="1635"/>
      <c r="K1947" s="1635"/>
      <c r="L1947" s="1635"/>
      <c r="M1947" s="2353" t="str">
        <f>IF(OR(SUM(T1947:T1948)&gt;1,SUM(U1947:U1948)&gt;1),"Only one category can be met by other means!","")</f>
        <v/>
      </c>
      <c r="N1947" s="1620" t="s">
        <v>1982</v>
      </c>
      <c r="O1947" s="1578">
        <f>'Part IX Scoring Criteria'!O299</f>
        <v>0</v>
      </c>
      <c r="P1947" s="1578"/>
      <c r="U1947" s="1626">
        <f>IF(L1947="Yes",1,0)</f>
        <v>0</v>
      </c>
    </row>
    <row r="1948" spans="1:24">
      <c r="A1948" s="1316" t="s">
        <v>1984</v>
      </c>
      <c r="B1948" s="1635" t="s">
        <v>3789</v>
      </c>
      <c r="D1948" s="1635"/>
      <c r="L1948" s="1635"/>
      <c r="M1948" s="2353"/>
      <c r="N1948" s="1620" t="s">
        <v>1984</v>
      </c>
      <c r="O1948" s="1578">
        <f>'Part IX Scoring Criteria'!O300</f>
        <v>0</v>
      </c>
      <c r="P1948" s="1578"/>
      <c r="U1948" s="1626">
        <f>IF(L1948="Yes",1,0)</f>
        <v>0</v>
      </c>
    </row>
    <row r="1949" spans="1:24" ht="14.4">
      <c r="A1949" s="1314"/>
      <c r="B1949" s="1549" t="s">
        <v>3752</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15">
      <c r="A1950" s="1583">
        <f>'Part IX Scoring Criteria'!A302</f>
        <v>0</v>
      </c>
      <c r="B1950" s="1583"/>
      <c r="C1950" s="1583"/>
      <c r="D1950" s="1583"/>
      <c r="E1950" s="1583"/>
      <c r="F1950" s="1583"/>
      <c r="G1950" s="1583"/>
      <c r="H1950" s="1583"/>
      <c r="I1950" s="1583"/>
      <c r="J1950" s="1583"/>
      <c r="K1950" s="1583"/>
      <c r="L1950" s="1583"/>
      <c r="M1950" s="1583"/>
      <c r="N1950" s="1583"/>
      <c r="O1950" s="1583"/>
      <c r="P1950" s="1583"/>
      <c r="Q1950" s="2384" t="s">
        <v>1253</v>
      </c>
      <c r="R1950" s="1659"/>
      <c r="S1950" s="1659"/>
      <c r="T1950" s="1659"/>
      <c r="U1950" s="1659"/>
      <c r="V1950" s="1659"/>
      <c r="W1950" s="1659"/>
      <c r="X1950" s="1659"/>
    </row>
    <row r="1951" spans="1:24" ht="14.4">
      <c r="A1951" s="1314"/>
      <c r="B1951" s="1580" t="s">
        <v>1865</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2384"/>
      <c r="R1952" s="1659"/>
      <c r="S1952" s="1659"/>
      <c r="T1952" s="1659"/>
      <c r="U1952" s="1659"/>
      <c r="V1952" s="1659"/>
      <c r="W1952" s="1659"/>
      <c r="X1952" s="1659"/>
    </row>
    <row r="1953" spans="1:24" ht="14.4">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4.4">
      <c r="A1954" s="2426" t="s">
        <v>363</v>
      </c>
      <c r="B1954" s="2362" t="s">
        <v>2458</v>
      </c>
      <c r="C1954" s="1659"/>
      <c r="D1954" s="1695"/>
      <c r="E1954" s="1695"/>
      <c r="F1954" s="1695"/>
      <c r="G1954" s="1659"/>
      <c r="H1954" s="1525" t="s">
        <v>4868</v>
      </c>
      <c r="I1954" s="1659"/>
      <c r="J1954" s="457" t="s">
        <v>2792</v>
      </c>
      <c r="K1954" s="1317"/>
      <c r="L1954" s="457" t="str">
        <f>'Part I-Project Information'!$H$105</f>
        <v>Rural</v>
      </c>
      <c r="M1954" s="1313">
        <v>4</v>
      </c>
      <c r="N1954" s="1313"/>
      <c r="O1954" s="1313">
        <f>'Part IX Scoring Criteria'!O306</f>
        <v>0</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1982</v>
      </c>
      <c r="B1955" s="1317" t="s">
        <v>4589</v>
      </c>
      <c r="D1955" s="1314"/>
      <c r="E1955" s="1314"/>
      <c r="F1955" s="1314"/>
      <c r="H1955" s="457" t="s">
        <v>3681</v>
      </c>
      <c r="I1955" s="1051"/>
      <c r="J1955" s="457" t="str">
        <f>'Part I-Project Information'!$O$34</f>
        <v>No</v>
      </c>
      <c r="K1955" s="457"/>
      <c r="L1955" s="1647">
        <f>'Part I-Project Information'!$O$35</f>
        <v>0</v>
      </c>
      <c r="M1955" s="1313">
        <v>3</v>
      </c>
      <c r="N1955" s="1620" t="s">
        <v>1982</v>
      </c>
      <c r="O1955" s="1546">
        <f>'Part IX Scoring Criteria'!O307</f>
        <v>0</v>
      </c>
      <c r="P1955" s="1546"/>
      <c r="Q1955" s="2405" t="str">
        <f>IF(OR($O1955=$M1955,$O1955=0,$O1955=""),"","*CHECK!*")</f>
        <v/>
      </c>
      <c r="R1955" s="1372" t="s">
        <v>2705</v>
      </c>
    </row>
    <row r="1956" spans="1:24" ht="12.75" customHeight="1">
      <c r="A1956" s="1051"/>
      <c r="B1956" s="2452" t="s">
        <v>1985</v>
      </c>
      <c r="C1956" s="1583" t="s">
        <v>5125</v>
      </c>
      <c r="D1956" s="1583"/>
      <c r="E1956" s="1583"/>
      <c r="F1956" s="1583"/>
      <c r="G1956" s="1583"/>
      <c r="H1956" s="1583"/>
      <c r="I1956" s="1583"/>
      <c r="J1956" s="1583"/>
      <c r="K1956" s="1583"/>
      <c r="L1956" s="1583"/>
      <c r="M1956" s="1583"/>
      <c r="N1956" s="1684" t="s">
        <v>1985</v>
      </c>
      <c r="O1956" s="1631">
        <f>'Part IX Scoring Criteria'!O308</f>
        <v>0</v>
      </c>
      <c r="P1956" s="1631"/>
      <c r="Q1956" s="1583" t="s">
        <v>5366</v>
      </c>
      <c r="R1956" s="1583"/>
      <c r="S1956" s="1583"/>
      <c r="T1956" s="1583"/>
      <c r="U1956" s="1583"/>
      <c r="V1956" s="1583"/>
      <c r="W1956" s="1583"/>
      <c r="X1956" s="1583"/>
    </row>
    <row r="1957" spans="1:24">
      <c r="A1957" s="457"/>
      <c r="B1957" s="1727"/>
      <c r="C1957" s="457" t="s">
        <v>3803</v>
      </c>
      <c r="D1957" s="457"/>
      <c r="E1957" s="457"/>
      <c r="F1957" s="457"/>
      <c r="G1957" s="457"/>
      <c r="H1957" s="457"/>
      <c r="I1957" s="1620" t="s">
        <v>4869</v>
      </c>
      <c r="J1957" s="1524">
        <f>'Part IX Scoring Criteria'!J309</f>
        <v>0</v>
      </c>
      <c r="K1957" s="1524" t="s">
        <v>2300</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3858</v>
      </c>
      <c r="D1958" s="457"/>
      <c r="E1958" s="457"/>
      <c r="F1958" s="457"/>
      <c r="G1958" s="457"/>
      <c r="H1958" s="457"/>
      <c r="I1958" s="1620" t="s">
        <v>4869</v>
      </c>
      <c r="J1958" s="1524">
        <f>'Part IX Scoring Criteria'!J310</f>
        <v>0</v>
      </c>
      <c r="K1958" s="1524" t="s">
        <v>2300</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1987</v>
      </c>
      <c r="C1959" s="457" t="s">
        <v>962</v>
      </c>
      <c r="D1959" s="457"/>
      <c r="E1959" s="457"/>
      <c r="F1959" s="457"/>
      <c r="G1959" s="457"/>
      <c r="H1959" s="457"/>
      <c r="I1959" s="457"/>
      <c r="J1959" s="457"/>
      <c r="K1959" s="457"/>
      <c r="L1959" s="457"/>
      <c r="M1959" s="1313"/>
      <c r="N1959" s="1696" t="s">
        <v>1987</v>
      </c>
      <c r="O1959" s="1578">
        <f>'Part IX Scoring Criteria'!O311</f>
        <v>0</v>
      </c>
      <c r="P1959" s="1578"/>
      <c r="Q1959" s="1583"/>
      <c r="R1959" s="1583"/>
      <c r="S1959" s="1583"/>
      <c r="T1959" s="457"/>
      <c r="U1959" s="457"/>
      <c r="V1959" s="457"/>
      <c r="W1959" s="457"/>
      <c r="X1959" s="457"/>
    </row>
    <row r="1960" spans="1:24">
      <c r="A1960" s="457"/>
      <c r="B1960" s="1727" t="s">
        <v>2533</v>
      </c>
      <c r="C1960" s="457" t="s">
        <v>963</v>
      </c>
      <c r="D1960" s="457"/>
      <c r="E1960" s="457"/>
      <c r="F1960" s="457"/>
      <c r="G1960" s="457"/>
      <c r="H1960" s="457"/>
      <c r="I1960" s="457"/>
      <c r="J1960" s="457"/>
      <c r="K1960" s="457"/>
      <c r="L1960" s="457"/>
      <c r="M1960" s="1313"/>
      <c r="N1960" s="1696" t="s">
        <v>2533</v>
      </c>
      <c r="O1960" s="1578">
        <f>'Part IX Scoring Criteria'!O312</f>
        <v>0</v>
      </c>
      <c r="P1960" s="1578"/>
      <c r="Q1960" s="1583"/>
      <c r="R1960" s="1583"/>
      <c r="S1960" s="1583"/>
      <c r="T1960" s="457"/>
      <c r="U1960" s="457"/>
      <c r="V1960" s="457"/>
      <c r="W1960" s="457"/>
      <c r="X1960" s="457"/>
    </row>
    <row r="1961" spans="1:24">
      <c r="A1961" s="457"/>
      <c r="B1961" s="1727" t="s">
        <v>1223</v>
      </c>
      <c r="C1961" s="457" t="s">
        <v>4874</v>
      </c>
      <c r="D1961" s="457"/>
      <c r="E1961" s="457"/>
      <c r="F1961" s="457"/>
      <c r="G1961" s="457"/>
      <c r="H1961" s="457"/>
      <c r="I1961" s="457"/>
      <c r="J1961" s="457"/>
      <c r="K1961" s="457"/>
      <c r="L1961" s="457"/>
      <c r="M1961" s="1313"/>
      <c r="N1961" s="1696" t="s">
        <v>1223</v>
      </c>
      <c r="O1961" s="1578">
        <f>'Part IX Scoring Criteria'!O313</f>
        <v>0</v>
      </c>
      <c r="P1961" s="1578"/>
      <c r="Q1961" s="1583"/>
      <c r="R1961" s="1583"/>
      <c r="S1961" s="1583"/>
      <c r="T1961" s="457"/>
      <c r="U1961" s="457"/>
      <c r="V1961" s="457"/>
      <c r="W1961" s="457"/>
      <c r="X1961" s="457"/>
    </row>
    <row r="1962" spans="1:24">
      <c r="A1962" s="1620"/>
      <c r="B1962" s="1727" t="s">
        <v>1224</v>
      </c>
      <c r="C1962" s="457" t="s">
        <v>964</v>
      </c>
      <c r="D1962" s="457"/>
      <c r="E1962" s="457"/>
      <c r="F1962" s="457"/>
      <c r="G1962" s="457"/>
      <c r="H1962" s="457"/>
      <c r="I1962" s="457"/>
      <c r="J1962" s="457"/>
      <c r="K1962" s="457"/>
      <c r="L1962" s="457"/>
      <c r="M1962" s="1313"/>
      <c r="N1962" s="1696" t="s">
        <v>1224</v>
      </c>
      <c r="O1962" s="1578">
        <f>'Part IX Scoring Criteria'!O314</f>
        <v>0</v>
      </c>
      <c r="P1962" s="1578"/>
      <c r="Q1962" s="1583"/>
      <c r="R1962" s="1583"/>
      <c r="S1962" s="1583"/>
      <c r="T1962" s="457"/>
      <c r="U1962" s="457"/>
      <c r="V1962" s="457"/>
      <c r="W1962" s="457"/>
      <c r="X1962" s="457"/>
    </row>
    <row r="1963" spans="1:24">
      <c r="A1963" s="1316" t="s">
        <v>1984</v>
      </c>
      <c r="B1963" s="1317" t="s">
        <v>4591</v>
      </c>
      <c r="C1963" s="1314"/>
      <c r="D1963" s="1314"/>
      <c r="E1963" s="1314"/>
      <c r="F1963" s="1314"/>
      <c r="G1963" s="1314"/>
      <c r="H1963" s="1525" t="s">
        <v>4870</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4875</v>
      </c>
      <c r="C1964" s="1202"/>
      <c r="D1964" s="1202"/>
      <c r="E1964" s="1202"/>
      <c r="F1964" s="1202"/>
      <c r="G1964" s="1202"/>
      <c r="H1964" s="1202"/>
      <c r="I1964" s="1202"/>
      <c r="J1964" s="1202"/>
      <c r="K1964" s="1202"/>
      <c r="L1964" s="1202"/>
      <c r="M1964" s="1313">
        <v>3</v>
      </c>
      <c r="N1964" s="1620" t="s">
        <v>1984</v>
      </c>
      <c r="O1964" s="1546">
        <f>'Part IX Scoring Criteria'!O316</f>
        <v>0</v>
      </c>
      <c r="P1964" s="1546">
        <f>IF(AND(P1965&gt;0,P1966&gt;0),"choose",IF($L$306="Flexible", MIN($M$316, SUM(P1965:P1966)), 0))</f>
        <v>0</v>
      </c>
      <c r="Q1964" s="1314"/>
      <c r="R1964" s="1314"/>
      <c r="S1964" s="1314"/>
      <c r="T1964" s="1314"/>
      <c r="U1964" s="1314"/>
      <c r="V1964" s="1314"/>
      <c r="W1964" s="1314"/>
      <c r="X1964" s="1314"/>
    </row>
    <row r="1965" spans="1:24">
      <c r="A1965" s="1314"/>
      <c r="B1965" s="1727" t="s">
        <v>1985</v>
      </c>
      <c r="C1965" s="457" t="s">
        <v>5126</v>
      </c>
      <c r="D1965" s="1314"/>
      <c r="E1965" s="1314"/>
      <c r="F1965" s="1314"/>
      <c r="G1965" s="1314"/>
      <c r="H1965" s="1314"/>
      <c r="I1965" s="1314"/>
      <c r="J1965" s="1314"/>
      <c r="K1965" s="1314"/>
      <c r="L1965" s="2415" t="str">
        <f>IF(OR($O1965=$M1965,$O1965=0,$O1965=""),"","* * Check Score! * *")</f>
        <v/>
      </c>
      <c r="M1965" s="1313">
        <v>3</v>
      </c>
      <c r="N1965" s="1776" t="s">
        <v>1985</v>
      </c>
      <c r="O1965" s="1546">
        <f>'Part IX Scoring Criteria'!O317</f>
        <v>0</v>
      </c>
      <c r="P1965" s="1546"/>
      <c r="Q1965" s="2405" t="str">
        <f>IF(OR($O1965=$M1965,$O1965=0,$O1965=""),"","*CHECK!*")</f>
        <v/>
      </c>
      <c r="R1965" s="1372" t="s">
        <v>2705</v>
      </c>
      <c r="S1965" s="1314"/>
      <c r="T1965" s="1314"/>
      <c r="U1965" s="1314"/>
      <c r="V1965" s="1314"/>
      <c r="W1965" s="1314"/>
      <c r="X1965" s="1314"/>
    </row>
    <row r="1966" spans="1:24">
      <c r="A1966" s="1578"/>
      <c r="B1966" s="2452" t="s">
        <v>1987</v>
      </c>
      <c r="C1966" s="1051" t="s">
        <v>5127</v>
      </c>
      <c r="D1966" s="1314"/>
      <c r="E1966" s="1314"/>
      <c r="F1966" s="1314"/>
      <c r="G1966" s="1524"/>
      <c r="H1966" s="1525"/>
      <c r="I1966" s="1524"/>
      <c r="L1966" s="2415" t="str">
        <f>IF(OR($O1966=$M1966,$O1966=0,$O1966=""),"","* * Check Score! * *")</f>
        <v/>
      </c>
      <c r="M1966" s="1320">
        <v>2</v>
      </c>
      <c r="N1966" s="1776" t="s">
        <v>1987</v>
      </c>
      <c r="O1966" s="1546">
        <f>'Part IX Scoring Criteria'!O318</f>
        <v>0</v>
      </c>
      <c r="P1966" s="1546"/>
      <c r="Q1966" s="2405" t="str">
        <f>IF(OR($O1966=$M1966,$O1966=0,$O1966=""),"","*CHECK!*")</f>
        <v/>
      </c>
      <c r="R1966" s="1372" t="s">
        <v>2705</v>
      </c>
    </row>
    <row r="1967" spans="1:24">
      <c r="A1967" s="1316" t="s">
        <v>748</v>
      </c>
      <c r="B1967" s="1317" t="s">
        <v>4594</v>
      </c>
      <c r="C1967" s="1314"/>
      <c r="D1967" s="1314"/>
      <c r="E1967" s="1314"/>
      <c r="F1967" s="1314"/>
      <c r="G1967" s="1314"/>
      <c r="H1967" s="1525" t="s">
        <v>4871</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3608</v>
      </c>
      <c r="C1968" s="1314"/>
      <c r="D1968" s="1314"/>
      <c r="E1968" s="1314"/>
      <c r="F1968" s="1314"/>
      <c r="G1968" s="1314"/>
      <c r="H1968" s="1525"/>
      <c r="I1968" s="1314"/>
      <c r="J1968" s="1314"/>
      <c r="K1968" s="1314"/>
      <c r="L1968" s="1314"/>
      <c r="M1968" s="1313">
        <v>4</v>
      </c>
      <c r="N1968" s="1620" t="s">
        <v>748</v>
      </c>
      <c r="O1968" s="1546">
        <f>'Part IX Scoring Criteria'!O320</f>
        <v>0</v>
      </c>
      <c r="P1968" s="1546">
        <f>IF($L$306="Rural", MIN($M$320, SUM(P1969:P1971)), 0)</f>
        <v>0</v>
      </c>
      <c r="Q1968" s="1314"/>
      <c r="R1968" s="1314"/>
      <c r="S1968" s="1314"/>
      <c r="T1968" s="1314"/>
      <c r="U1968" s="1314"/>
      <c r="V1968" s="1314"/>
      <c r="W1968" s="1314"/>
      <c r="X1968" s="1314"/>
    </row>
    <row r="1969" spans="1:24">
      <c r="A1969" s="1314"/>
      <c r="B1969" s="1727" t="s">
        <v>1985</v>
      </c>
      <c r="C1969" s="1051" t="s">
        <v>3607</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1985</v>
      </c>
      <c r="O1969" s="1546">
        <f>'Part IX Scoring Criteria'!O321</f>
        <v>0</v>
      </c>
      <c r="P1969" s="1546"/>
      <c r="Q1969" s="2405" t="str">
        <f>IF(OR($O1969=$M1969,$O1969=0,$O1969=""),"","*CHECK!*")</f>
        <v/>
      </c>
      <c r="R1969" s="1372" t="s">
        <v>2705</v>
      </c>
      <c r="S1969" s="1314"/>
      <c r="T1969" s="1314"/>
      <c r="U1969" s="1314"/>
      <c r="V1969" s="1314"/>
      <c r="W1969" s="1314"/>
      <c r="X1969" s="1314"/>
    </row>
    <row r="1970" spans="1:24">
      <c r="A1970" s="1578"/>
      <c r="B1970" s="2452" t="s">
        <v>1987</v>
      </c>
      <c r="C1970" s="457" t="s">
        <v>5128</v>
      </c>
      <c r="D1970" s="1314"/>
      <c r="E1970" s="1314"/>
      <c r="F1970" s="1314"/>
      <c r="G1970" s="1524"/>
      <c r="H1970" s="1525"/>
      <c r="I1970" s="1524"/>
      <c r="K1970" s="1319"/>
      <c r="L1970" s="1319"/>
      <c r="M1970" s="1320">
        <v>3</v>
      </c>
      <c r="N1970" s="1776" t="s">
        <v>1987</v>
      </c>
      <c r="O1970" s="1546">
        <f>'Part IX Scoring Criteria'!O322</f>
        <v>0</v>
      </c>
      <c r="P1970" s="1546"/>
      <c r="Q1970" s="2405" t="str">
        <f>IF(OR($O1970=$M1970,$O1970=0,$O1970=""),"","*CHECK!*")</f>
        <v/>
      </c>
      <c r="R1970" s="1372" t="s">
        <v>2705</v>
      </c>
    </row>
    <row r="1971" spans="1:24">
      <c r="A1971" s="1578"/>
      <c r="B1971" s="2452" t="s">
        <v>2533</v>
      </c>
      <c r="C1971" s="1051" t="s">
        <v>5129</v>
      </c>
      <c r="D1971" s="1314"/>
      <c r="E1971" s="1314"/>
      <c r="F1971" s="1314"/>
      <c r="G1971" s="1524"/>
      <c r="H1971" s="1525"/>
      <c r="I1971" s="1524"/>
      <c r="K1971" s="1319"/>
      <c r="L1971" s="1319"/>
      <c r="M1971" s="1320">
        <v>2</v>
      </c>
      <c r="N1971" s="1776" t="s">
        <v>2533</v>
      </c>
      <c r="O1971" s="1546">
        <f>'Part IX Scoring Criteria'!O323</f>
        <v>0</v>
      </c>
      <c r="P1971" s="1546"/>
      <c r="Q1971" s="2405" t="str">
        <f>IF(OR($O1971=$M1971,$O1971=0,$O1971=""),"","*CHECK!*")</f>
        <v/>
      </c>
      <c r="R1971" s="1372" t="s">
        <v>2705</v>
      </c>
    </row>
    <row r="1972" spans="1:24" ht="14.4">
      <c r="A1972" s="1314"/>
      <c r="B1972" s="1549" t="s">
        <v>3752</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15">
      <c r="A1973" s="1583">
        <f>'Part IX Scoring Criteria'!A325</f>
        <v>0</v>
      </c>
      <c r="B1973" s="1583"/>
      <c r="C1973" s="1583"/>
      <c r="D1973" s="1583"/>
      <c r="E1973" s="1583"/>
      <c r="F1973" s="1583"/>
      <c r="G1973" s="1583"/>
      <c r="H1973" s="1583"/>
      <c r="I1973" s="1583"/>
      <c r="J1973" s="1583"/>
      <c r="K1973" s="1583"/>
      <c r="L1973" s="1583"/>
      <c r="M1973" s="1583"/>
      <c r="N1973" s="1583"/>
      <c r="O1973" s="1583"/>
      <c r="P1973" s="1583"/>
      <c r="Q1973" s="2384" t="s">
        <v>1253</v>
      </c>
      <c r="R1973" s="1659"/>
      <c r="S1973" s="1659"/>
      <c r="T1973" s="1659"/>
      <c r="U1973" s="1659"/>
      <c r="V1973" s="1659"/>
      <c r="W1973" s="1659"/>
      <c r="X1973" s="1659"/>
    </row>
    <row r="1974" spans="1:24" ht="14.4">
      <c r="A1974" s="1659"/>
      <c r="B1974" s="1580" t="s">
        <v>1865</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2384"/>
      <c r="R1975" s="1659"/>
      <c r="S1975" s="1659"/>
      <c r="T1975" s="1659"/>
      <c r="U1975" s="1659"/>
      <c r="V1975" s="1659"/>
      <c r="W1975" s="1659"/>
      <c r="X1975" s="1659"/>
    </row>
    <row r="1976" spans="1:24" ht="18">
      <c r="N1976" s="1320"/>
      <c r="O1976" s="1320"/>
      <c r="P1976" s="1320"/>
      <c r="T1976" s="2417"/>
      <c r="U1976" s="2417"/>
    </row>
    <row r="1977" spans="1:24" ht="18">
      <c r="A1977" s="2426" t="s">
        <v>364</v>
      </c>
      <c r="B1977" s="2362" t="s">
        <v>2825</v>
      </c>
      <c r="C1977" s="1659"/>
      <c r="D1977" s="1695"/>
      <c r="E1977" s="1695"/>
      <c r="F1977" s="1695"/>
      <c r="G1977" s="1659"/>
      <c r="H1977" s="1525" t="s">
        <v>400</v>
      </c>
      <c r="I1977" s="1659"/>
      <c r="J1977" s="1659"/>
      <c r="K1977" s="1317"/>
      <c r="L1977" s="1659"/>
      <c r="M1977" s="1313">
        <v>4</v>
      </c>
      <c r="N1977" s="1313"/>
      <c r="O1977" s="1546">
        <f>'Part IX Scoring Criteria'!O329</f>
        <v>0</v>
      </c>
      <c r="P1977" s="1546">
        <f>IF(AND(P1978&gt;0,P1982&gt;0),"AorB?",MIN($M1977,SUM(P1978,P1982,P1984)))</f>
        <v>0</v>
      </c>
      <c r="Q1977" s="1313" t="s">
        <v>441</v>
      </c>
      <c r="R1977" s="1659"/>
      <c r="S1977" s="1659"/>
      <c r="T1977" s="2417"/>
      <c r="U1977" s="2417"/>
      <c r="V1977" s="1659"/>
      <c r="W1977" s="1659"/>
      <c r="X1977" s="1659"/>
    </row>
    <row r="1978" spans="1:24" ht="18">
      <c r="A1978" s="1511" t="s">
        <v>1982</v>
      </c>
      <c r="B1978" s="1317" t="s">
        <v>2232</v>
      </c>
      <c r="C1978" s="1676"/>
      <c r="D1978" s="1525"/>
      <c r="E1978" s="1525"/>
      <c r="F1978" s="1655"/>
      <c r="H1978" s="1676"/>
      <c r="I1978" s="1676"/>
      <c r="J1978" s="1676"/>
      <c r="K1978" s="1676"/>
      <c r="L1978" s="2415"/>
      <c r="M1978" s="1313">
        <v>3</v>
      </c>
      <c r="N1978" s="1620" t="s">
        <v>1982</v>
      </c>
      <c r="O1978" s="1546">
        <f>'Part IX Scoring Criteria'!O330</f>
        <v>0</v>
      </c>
      <c r="P1978" s="1546">
        <f>IF(OR(AND(P1979="Yes",P1980="Yes",P1981="Yes"),AND(P1979="Yes",P1981="Yes"),AND(P1980="Yes",P1981="Yes"),AND(P1979="Yes",P1980="Yes")),"choose",IF(P1979="Yes",$M$331,IF(P1980="Yes",$M$332, IF(P1981="Yes",$M$333,0))))</f>
        <v>0</v>
      </c>
      <c r="Q1978" s="2405"/>
      <c r="R1978" s="1372"/>
      <c r="S1978" s="1676"/>
      <c r="T1978" s="2417"/>
      <c r="U1978" s="2417"/>
      <c r="V1978" s="1676"/>
      <c r="W1978" s="1676"/>
      <c r="X1978" s="1676"/>
    </row>
    <row r="1979" spans="1:24" ht="18">
      <c r="A1979" s="1511"/>
      <c r="B1979" s="1727" t="s">
        <v>1985</v>
      </c>
      <c r="C1979" s="1524" t="s">
        <v>4876</v>
      </c>
      <c r="D1979" s="1525"/>
      <c r="E1979" s="1525"/>
      <c r="F1979" s="1655"/>
      <c r="H1979" s="1676"/>
      <c r="I1979" s="1676"/>
      <c r="J1979" s="1676"/>
      <c r="K1979" s="1676"/>
      <c r="L1979" s="2415"/>
      <c r="M1979" s="1313">
        <v>3</v>
      </c>
      <c r="N1979" s="1776" t="s">
        <v>1985</v>
      </c>
      <c r="O1979" s="1578">
        <f>'Part IX Scoring Criteria'!O331</f>
        <v>0</v>
      </c>
      <c r="P1979" s="1578"/>
      <c r="Q1979" s="2405"/>
      <c r="R1979" s="1372"/>
      <c r="S1979" s="1676"/>
      <c r="T1979" s="2417"/>
      <c r="U1979" s="2417"/>
      <c r="V1979" s="1676"/>
      <c r="W1979" s="1676"/>
      <c r="X1979" s="1676"/>
    </row>
    <row r="1980" spans="1:24" ht="18">
      <c r="A1980" s="1511"/>
      <c r="B1980" s="2452" t="s">
        <v>1987</v>
      </c>
      <c r="C1980" s="1524" t="s">
        <v>4877</v>
      </c>
      <c r="D1980" s="1525"/>
      <c r="E1980" s="1525"/>
      <c r="F1980" s="1655"/>
      <c r="H1980" s="1676"/>
      <c r="I1980" s="1676"/>
      <c r="J1980" s="1676"/>
      <c r="K1980" s="1676"/>
      <c r="L1980" s="2415"/>
      <c r="M1980" s="1313">
        <v>2</v>
      </c>
      <c r="N1980" s="1776" t="s">
        <v>1987</v>
      </c>
      <c r="O1980" s="1578">
        <f>'Part IX Scoring Criteria'!O332</f>
        <v>0</v>
      </c>
      <c r="P1980" s="1578"/>
      <c r="Q1980" s="2405"/>
      <c r="R1980" s="1372"/>
      <c r="S1980" s="1676"/>
      <c r="T1980" s="2417"/>
      <c r="U1980" s="2417"/>
      <c r="V1980" s="1676"/>
      <c r="W1980" s="1676"/>
      <c r="X1980" s="1676"/>
    </row>
    <row r="1981" spans="1:24" ht="18">
      <c r="A1981" s="1511"/>
      <c r="B1981" s="2452" t="s">
        <v>2533</v>
      </c>
      <c r="C1981" s="1524" t="s">
        <v>4878</v>
      </c>
      <c r="D1981" s="1525"/>
      <c r="E1981" s="1525"/>
      <c r="F1981" s="1655"/>
      <c r="H1981" s="1676"/>
      <c r="I1981" s="1676"/>
      <c r="J1981" s="1676"/>
      <c r="K1981" s="1620"/>
      <c r="L1981" s="1676"/>
      <c r="M1981" s="1313">
        <v>1</v>
      </c>
      <c r="N1981" s="1776" t="s">
        <v>2533</v>
      </c>
      <c r="O1981" s="1578">
        <f>'Part IX Scoring Criteria'!O333</f>
        <v>0</v>
      </c>
      <c r="P1981" s="1578"/>
      <c r="Q1981" s="1676"/>
      <c r="R1981" s="1528"/>
      <c r="S1981" s="1676"/>
      <c r="T1981" s="2417"/>
      <c r="U1981" s="2417"/>
      <c r="V1981" s="1676"/>
      <c r="W1981" s="1676"/>
      <c r="X1981" s="1676"/>
    </row>
    <row r="1982" spans="1:24" ht="18">
      <c r="A1982" s="1511" t="s">
        <v>1984</v>
      </c>
      <c r="B1982" s="1317" t="s">
        <v>2233</v>
      </c>
      <c r="C1982" s="1659"/>
      <c r="D1982" s="457"/>
      <c r="E1982" s="1659"/>
      <c r="F1982" s="1659"/>
      <c r="G1982" s="1659"/>
      <c r="H1982" s="1659"/>
      <c r="I1982" s="1659"/>
      <c r="J1982" s="1659"/>
      <c r="K1982" s="457"/>
      <c r="L1982" s="2415" t="str">
        <f>IF(OR($O1982=$M1982,$O1982=0,$O1982=""),"","* * Check Score! * *")</f>
        <v/>
      </c>
      <c r="M1982" s="1313">
        <v>1</v>
      </c>
      <c r="N1982" s="1620" t="s">
        <v>1984</v>
      </c>
      <c r="O1982" s="1546">
        <f>'Part IX Scoring Criteria'!O334</f>
        <v>0</v>
      </c>
      <c r="P1982" s="1546">
        <f>IF(P1983="Yes",$M$334,0)</f>
        <v>0</v>
      </c>
      <c r="Q1982" s="2405" t="str">
        <f>IF(OR($O1982=$M1982,$O1982=0,$O1982=""),"","*CHECK!*")</f>
        <v/>
      </c>
      <c r="R1982" s="1372" t="s">
        <v>2705</v>
      </c>
      <c r="S1982" s="1659"/>
      <c r="T1982" s="2417"/>
      <c r="U1982" s="2417"/>
      <c r="V1982" s="1659"/>
      <c r="W1982" s="1659"/>
      <c r="X1982" s="1659"/>
    </row>
    <row r="1983" spans="1:24" ht="18.75" customHeight="1">
      <c r="A1983" s="2467"/>
      <c r="B1983" s="1550" t="s">
        <v>4880</v>
      </c>
      <c r="C1983" s="1550"/>
      <c r="D1983" s="1550"/>
      <c r="E1983" s="1550"/>
      <c r="F1983" s="1550"/>
      <c r="G1983" s="1550"/>
      <c r="H1983" s="1550"/>
      <c r="I1983" s="1550"/>
      <c r="J1983" s="1550"/>
      <c r="K1983" s="1550"/>
      <c r="L1983" s="1550"/>
      <c r="M1983" s="1313"/>
      <c r="N1983" s="1620"/>
      <c r="O1983" s="1631">
        <f>'Part IX Scoring Criteria'!O335</f>
        <v>0</v>
      </c>
      <c r="P1983" s="1631"/>
      <c r="Q1983" s="1528"/>
      <c r="R1983" s="2415"/>
      <c r="S1983" s="1659"/>
      <c r="T1983" s="2417"/>
      <c r="U1983" s="2417"/>
      <c r="V1983" s="1659"/>
      <c r="W1983" s="1659"/>
      <c r="X1983" s="1659"/>
    </row>
    <row r="1984" spans="1:24" ht="18">
      <c r="A1984" s="1511" t="s">
        <v>748</v>
      </c>
      <c r="B1984" s="1317" t="s">
        <v>4879</v>
      </c>
      <c r="C1984" s="1659"/>
      <c r="D1984" s="457"/>
      <c r="E1984" s="1659"/>
      <c r="F1984" s="1659"/>
      <c r="G1984" s="1659"/>
      <c r="H1984" s="1335"/>
      <c r="I1984" s="1659"/>
      <c r="J1984" s="1659"/>
      <c r="K1984" s="457"/>
      <c r="L1984" s="2415"/>
      <c r="M1984" s="1313">
        <v>1</v>
      </c>
      <c r="N1984" s="1620" t="s">
        <v>748</v>
      </c>
      <c r="O1984" s="1546">
        <f>'Part IX Scoring Criteria'!O336</f>
        <v>0</v>
      </c>
      <c r="P1984" s="1546">
        <f>IF(P1978=0,0,IF(P1985="Yes",$M$336,0))</f>
        <v>0</v>
      </c>
      <c r="Q1984" s="2405" t="str">
        <f>IF(OR($O1984=$M1984,$O1984=0,$O1984=""),"","*CHECK!*")</f>
        <v/>
      </c>
      <c r="R1984" s="1372" t="s">
        <v>2705</v>
      </c>
      <c r="S1984" s="1659"/>
      <c r="T1984" s="2417"/>
      <c r="U1984" s="2417"/>
      <c r="V1984" s="1659"/>
      <c r="W1984" s="1659"/>
      <c r="X1984" s="1659"/>
    </row>
    <row r="1985" spans="1:24" ht="18.75" customHeight="1">
      <c r="A1985" s="1659"/>
      <c r="B1985" s="1583" t="s">
        <v>5367</v>
      </c>
      <c r="C1985" s="1583"/>
      <c r="D1985" s="1583"/>
      <c r="E1985" s="1583"/>
      <c r="F1985" s="1583"/>
      <c r="G1985" s="1583"/>
      <c r="H1985" s="1583"/>
      <c r="I1985" s="1583"/>
      <c r="J1985" s="1583"/>
      <c r="K1985" s="1583"/>
      <c r="L1985" s="1583"/>
      <c r="M1985" s="1313"/>
      <c r="N1985" s="1620"/>
      <c r="O1985" s="1631">
        <f>'Part IX Scoring Criteria'!O337</f>
        <v>0</v>
      </c>
      <c r="P1985" s="1631"/>
      <c r="Q1985" s="1528"/>
      <c r="R1985" s="2415"/>
      <c r="S1985" s="1659"/>
      <c r="T1985" s="2417"/>
      <c r="U1985" s="2417"/>
      <c r="V1985" s="1659"/>
      <c r="W1985" s="1659"/>
      <c r="X1985" s="1659"/>
    </row>
    <row r="1986" spans="1:24" ht="18.75" customHeight="1">
      <c r="A1986" s="1659"/>
      <c r="B1986" s="1583" t="s">
        <v>5032</v>
      </c>
      <c r="C1986" s="1583"/>
      <c r="D1986" s="1583"/>
      <c r="E1986" s="1583"/>
      <c r="F1986" s="1583"/>
      <c r="G1986" s="1583"/>
      <c r="H1986" s="1583"/>
      <c r="I1986" s="1583"/>
      <c r="J1986" s="1583"/>
      <c r="K1986" s="1583"/>
      <c r="L1986" s="1583"/>
      <c r="M1986" s="1313"/>
      <c r="N1986" s="1313"/>
      <c r="O1986" s="1313"/>
      <c r="P1986" s="1313"/>
      <c r="Q1986" s="1528"/>
      <c r="R1986" s="2415"/>
      <c r="S1986" s="1659"/>
      <c r="T1986" s="2417"/>
      <c r="U1986" s="2417"/>
      <c r="V1986" s="1659"/>
      <c r="W1986" s="1659"/>
      <c r="X1986" s="1659"/>
    </row>
    <row r="1987" spans="1:24" ht="14.4">
      <c r="A1987" s="1314"/>
      <c r="B1987" s="1580" t="s">
        <v>1865</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2384"/>
      <c r="R1988" s="1659"/>
      <c r="S1988" s="1659"/>
      <c r="T1988" s="1659"/>
      <c r="U1988" s="1659"/>
      <c r="V1988" s="1659"/>
      <c r="W1988" s="1659"/>
      <c r="X1988" s="1659"/>
    </row>
    <row r="1989" spans="1:24" ht="14.4">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4.4">
      <c r="A1990" s="2467" t="s">
        <v>1725</v>
      </c>
      <c r="B1990" s="2362" t="s">
        <v>4049</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4.4">
      <c r="A1991" s="1511" t="s">
        <v>1982</v>
      </c>
      <c r="B1991" s="1317" t="s">
        <v>4050</v>
      </c>
      <c r="C1991" s="1638"/>
      <c r="D1991" s="1638"/>
      <c r="E1991" s="457"/>
      <c r="F1991" s="1659"/>
      <c r="G1991" s="1532">
        <f>'Part VIII-Threshold Criteria'!I2009</f>
        <v>0</v>
      </c>
      <c r="H1991" s="1659"/>
      <c r="I1991" s="1659"/>
      <c r="J1991" s="1524" t="s">
        <v>2685</v>
      </c>
      <c r="K1991" s="1659"/>
      <c r="L1991" s="457"/>
      <c r="M1991" s="1659"/>
      <c r="N1991" s="1620" t="s">
        <v>1982</v>
      </c>
      <c r="O1991" s="1316" t="str">
        <f>'Part I-Project Information'!$H$100</f>
        <v>No</v>
      </c>
      <c r="P1991" s="1313"/>
      <c r="Q1991" s="1313"/>
      <c r="R1991" s="1372" t="s">
        <v>2705</v>
      </c>
      <c r="S1991" s="1659"/>
      <c r="T1991" s="1659"/>
      <c r="U1991" s="1659"/>
      <c r="V1991" s="1659"/>
      <c r="W1991" s="1659"/>
      <c r="X1991" s="1659"/>
    </row>
    <row r="1992" spans="1:24" ht="14.4">
      <c r="A1992" s="1511"/>
      <c r="B1992" s="1776" t="s">
        <v>1985</v>
      </c>
      <c r="C1992" s="457" t="s">
        <v>4951</v>
      </c>
      <c r="D1992" s="1314"/>
      <c r="E1992" s="1676"/>
      <c r="F1992" s="1676"/>
      <c r="G1992" s="1676"/>
      <c r="H1992" s="1676"/>
      <c r="I1992" s="1676"/>
      <c r="J1992" s="1676"/>
      <c r="K1992" s="1676"/>
      <c r="L1992" s="1676"/>
      <c r="M1992" s="1676"/>
      <c r="N1992" s="1776" t="s">
        <v>4953</v>
      </c>
      <c r="O1992" s="1578">
        <f>'Part IX Scoring Criteria'!O344</f>
        <v>0</v>
      </c>
      <c r="P1992" s="1578"/>
      <c r="Q1992" s="1676"/>
      <c r="R1992" s="2415"/>
      <c r="S1992" s="1676"/>
      <c r="T1992" s="1676"/>
      <c r="U1992" s="1676"/>
      <c r="V1992" s="1676"/>
      <c r="W1992" s="1676"/>
      <c r="X1992" s="1676"/>
    </row>
    <row r="1993" spans="1:24" ht="14.4">
      <c r="A1993" s="1511"/>
      <c r="B1993" s="1776"/>
      <c r="C1993" s="457" t="s">
        <v>4952</v>
      </c>
      <c r="D1993" s="1314"/>
      <c r="E1993" s="1676"/>
      <c r="F1993" s="1676"/>
      <c r="G1993" s="1676"/>
      <c r="H1993" s="1676"/>
      <c r="I1993" s="1676"/>
      <c r="J1993" s="1676"/>
      <c r="K1993" s="1676"/>
      <c r="L1993" s="1676"/>
      <c r="M1993" s="1676"/>
      <c r="N1993" s="1776" t="s">
        <v>4954</v>
      </c>
      <c r="O1993" s="1578">
        <f>'Part IX Scoring Criteria'!O345</f>
        <v>0</v>
      </c>
      <c r="P1993" s="1578"/>
      <c r="Q1993" s="1676"/>
      <c r="R1993" s="2415"/>
      <c r="S1993" s="1676"/>
      <c r="T1993" s="1676"/>
      <c r="U1993" s="1676"/>
      <c r="V1993" s="1676"/>
      <c r="W1993" s="1676"/>
      <c r="X1993" s="1676"/>
    </row>
    <row r="1994" spans="1:24" ht="14.4">
      <c r="A1994" s="1511"/>
      <c r="B1994" s="1776" t="s">
        <v>1987</v>
      </c>
      <c r="C1994" s="457" t="s">
        <v>4067</v>
      </c>
      <c r="D1994" s="1314"/>
      <c r="E1994" s="1676"/>
      <c r="F1994" s="1676"/>
      <c r="G1994" s="1676"/>
      <c r="H1994" s="1676"/>
      <c r="I1994" s="1676"/>
      <c r="J1994" s="1676"/>
      <c r="K1994" s="1676"/>
      <c r="L1994" s="1676"/>
      <c r="M1994" s="1676"/>
      <c r="N1994" s="1776" t="s">
        <v>1987</v>
      </c>
      <c r="O1994" s="1578">
        <f>'Part IX Scoring Criteria'!O346</f>
        <v>0</v>
      </c>
      <c r="P1994" s="1578"/>
      <c r="Q1994" s="1676"/>
      <c r="R1994" s="2415"/>
      <c r="S1994" s="1676"/>
      <c r="T1994" s="1676"/>
      <c r="U1994" s="1676"/>
      <c r="V1994" s="1676"/>
      <c r="W1994" s="1676"/>
      <c r="X1994" s="1676"/>
    </row>
    <row r="1995" spans="1:24" ht="14.4">
      <c r="A1995" s="1511"/>
      <c r="B1995" s="1776" t="s">
        <v>2533</v>
      </c>
      <c r="C1995" s="457" t="s">
        <v>4955</v>
      </c>
      <c r="D1995" s="1314"/>
      <c r="E1995" s="1676"/>
      <c r="F1995" s="1676"/>
      <c r="G1995" s="1676"/>
      <c r="H1995" s="1676"/>
      <c r="I1995" s="1676"/>
      <c r="J1995" s="1676"/>
      <c r="K1995" s="1676"/>
      <c r="L1995" s="1676"/>
      <c r="M1995" s="1676"/>
      <c r="N1995" s="1776" t="s">
        <v>2533</v>
      </c>
      <c r="O1995" s="1578">
        <f>'Part IX Scoring Criteria'!O347</f>
        <v>0</v>
      </c>
      <c r="P1995" s="1578"/>
      <c r="Q1995" s="1676"/>
      <c r="R1995" s="2415"/>
      <c r="S1995" s="1676"/>
      <c r="T1995" s="1676"/>
      <c r="U1995" s="1676"/>
      <c r="V1995" s="1676"/>
      <c r="W1995" s="1676"/>
      <c r="X1995" s="1676"/>
    </row>
    <row r="1996" spans="1:24" ht="14.4">
      <c r="A1996" s="1676"/>
      <c r="B1996" s="1776" t="s">
        <v>1223</v>
      </c>
      <c r="C1996" s="457" t="s">
        <v>4881</v>
      </c>
      <c r="D1996" s="1314"/>
      <c r="E1996" s="1676"/>
      <c r="F1996" s="1676"/>
      <c r="G1996" s="1676"/>
      <c r="H1996" s="1676"/>
      <c r="I1996" s="1676"/>
      <c r="J1996" s="1676"/>
      <c r="K1996" s="1676"/>
      <c r="L1996" s="1676"/>
      <c r="M1996" s="1676"/>
      <c r="N1996" s="1776" t="s">
        <v>1223</v>
      </c>
      <c r="O1996" s="1578">
        <f>'Part IX Scoring Criteria'!O348</f>
        <v>0</v>
      </c>
      <c r="P1996" s="1578"/>
      <c r="Q1996" s="1676"/>
      <c r="R1996" s="2415"/>
      <c r="S1996" s="1676"/>
      <c r="T1996" s="1676"/>
      <c r="U1996" s="1676"/>
      <c r="V1996" s="1676"/>
      <c r="W1996" s="1676"/>
      <c r="X1996" s="1676"/>
    </row>
    <row r="1997" spans="1:24" ht="14.4">
      <c r="A1997" s="1511"/>
      <c r="B1997" s="1776" t="s">
        <v>1224</v>
      </c>
      <c r="C1997" s="457" t="s">
        <v>4882</v>
      </c>
      <c r="D1997" s="1314"/>
      <c r="E1997" s="1676"/>
      <c r="F1997" s="1676"/>
      <c r="G1997" s="1676"/>
      <c r="H1997" s="1676"/>
      <c r="I1997" s="1676"/>
      <c r="J1997" s="1676"/>
      <c r="K1997" s="1676"/>
      <c r="L1997" s="1676"/>
      <c r="M1997" s="1676"/>
      <c r="N1997" s="1776" t="s">
        <v>1224</v>
      </c>
      <c r="O1997" s="1578">
        <f>'Part IX Scoring Criteria'!O349</f>
        <v>0</v>
      </c>
      <c r="P1997" s="1578"/>
      <c r="Q1997" s="1676"/>
      <c r="R1997" s="2415"/>
      <c r="S1997" s="1676"/>
      <c r="T1997" s="1676"/>
      <c r="U1997" s="1676"/>
      <c r="V1997" s="1676"/>
      <c r="W1997" s="1676"/>
      <c r="X1997" s="1676"/>
    </row>
    <row r="1998" spans="1:24" ht="14.4">
      <c r="A1998" s="1511"/>
      <c r="B1998" s="1776" t="s">
        <v>1880</v>
      </c>
      <c r="C1998" s="457" t="s">
        <v>4068</v>
      </c>
      <c r="D1998" s="1314"/>
      <c r="E1998" s="1676"/>
      <c r="F1998" s="1676"/>
      <c r="G1998" s="1676"/>
      <c r="H1998" s="1676"/>
      <c r="I1998" s="1676"/>
      <c r="J1998" s="1676"/>
      <c r="K1998" s="1676"/>
      <c r="L1998" s="1676"/>
      <c r="M1998" s="1676"/>
      <c r="N1998" s="1776" t="s">
        <v>1880</v>
      </c>
      <c r="O1998" s="1578">
        <f>'Part IX Scoring Criteria'!O350</f>
        <v>0</v>
      </c>
      <c r="P1998" s="1578"/>
      <c r="Q1998" s="1676"/>
      <c r="R1998" s="2415"/>
      <c r="S1998" s="1676"/>
      <c r="T1998" s="1676"/>
      <c r="U1998" s="1676"/>
      <c r="V1998" s="1676"/>
      <c r="W1998" s="1676"/>
      <c r="X1998" s="1676"/>
    </row>
    <row r="1999" spans="1:24" ht="14.4">
      <c r="A1999" s="1511" t="s">
        <v>1984</v>
      </c>
      <c r="B1999" s="1317" t="s">
        <v>4051</v>
      </c>
      <c r="C1999" s="1638"/>
      <c r="D1999" s="1638"/>
      <c r="E1999" s="457"/>
      <c r="F1999" s="1659"/>
      <c r="G1999" s="1532">
        <f>'Part I-Project Information'!D1813</f>
        <v>0</v>
      </c>
      <c r="H1999" s="1659"/>
      <c r="I1999" s="1532"/>
      <c r="J1999" s="1659"/>
      <c r="K1999" s="1659"/>
      <c r="L1999" s="1626"/>
      <c r="M1999" s="1626"/>
      <c r="N1999" s="1620" t="s">
        <v>1984</v>
      </c>
      <c r="O1999" s="1659"/>
      <c r="P1999" s="1313"/>
      <c r="Q1999" s="1313"/>
      <c r="R1999" s="1372" t="s">
        <v>2705</v>
      </c>
      <c r="S1999" s="1659"/>
      <c r="T1999" s="1659"/>
      <c r="U1999" s="1659"/>
      <c r="V1999" s="1659"/>
      <c r="W1999" s="1659"/>
      <c r="X1999" s="1659"/>
    </row>
    <row r="2000" spans="1:24" ht="14.4">
      <c r="A2000" s="2467"/>
      <c r="B2000" s="1776" t="s">
        <v>1985</v>
      </c>
      <c r="C2000" s="457" t="s">
        <v>4951</v>
      </c>
      <c r="D2000" s="457"/>
      <c r="E2000" s="457"/>
      <c r="F2000" s="1676"/>
      <c r="G2000" s="1676"/>
      <c r="H2000" s="1676"/>
      <c r="I2000" s="1676"/>
      <c r="J2000" s="1676"/>
      <c r="K2000" s="1676"/>
      <c r="L2000" s="1676"/>
      <c r="M2000" s="1313"/>
      <c r="N2000" s="1776" t="s">
        <v>4953</v>
      </c>
      <c r="O2000" s="1578">
        <f>'Part IX Scoring Criteria'!O352</f>
        <v>0</v>
      </c>
      <c r="P2000" s="1578"/>
      <c r="Q2000" s="1313"/>
      <c r="R2000" s="1676"/>
      <c r="S2000" s="1676"/>
      <c r="T2000" s="1676"/>
      <c r="U2000" s="1676"/>
      <c r="V2000" s="1676"/>
      <c r="W2000" s="1676"/>
      <c r="X2000" s="1676"/>
    </row>
    <row r="2001" spans="1:24" ht="14.4">
      <c r="A2001" s="1511"/>
      <c r="B2001" s="1776"/>
      <c r="C2001" s="457" t="s">
        <v>4956</v>
      </c>
      <c r="D2001" s="1314"/>
      <c r="E2001" s="1676"/>
      <c r="F2001" s="1676"/>
      <c r="G2001" s="1676"/>
      <c r="H2001" s="1676"/>
      <c r="I2001" s="1676"/>
      <c r="J2001" s="1676"/>
      <c r="K2001" s="1676"/>
      <c r="L2001" s="1676"/>
      <c r="M2001" s="1676"/>
      <c r="N2001" s="1776" t="s">
        <v>4954</v>
      </c>
      <c r="O2001" s="1578">
        <f>'Part IX Scoring Criteria'!O353</f>
        <v>0</v>
      </c>
      <c r="P2001" s="1578"/>
      <c r="Q2001" s="1676"/>
      <c r="R2001" s="2415"/>
      <c r="S2001" s="1676"/>
      <c r="T2001" s="1676"/>
      <c r="U2001" s="1676"/>
      <c r="V2001" s="1676"/>
      <c r="W2001" s="1676"/>
      <c r="X2001" s="1676"/>
    </row>
    <row r="2002" spans="1:24" ht="14.4">
      <c r="A2002" s="1511"/>
      <c r="B2002" s="1776" t="s">
        <v>1987</v>
      </c>
      <c r="C2002" s="457" t="s">
        <v>4080</v>
      </c>
      <c r="D2002" s="1314"/>
      <c r="E2002" s="1676"/>
      <c r="F2002" s="1676"/>
      <c r="G2002" s="1676"/>
      <c r="H2002" s="1676"/>
      <c r="I2002" s="1676"/>
      <c r="J2002" s="1676"/>
      <c r="K2002" s="1676"/>
      <c r="L2002" s="1676"/>
      <c r="M2002" s="1676"/>
      <c r="N2002" s="1776" t="s">
        <v>1987</v>
      </c>
      <c r="O2002" s="1578">
        <f>'Part IX Scoring Criteria'!O354</f>
        <v>0</v>
      </c>
      <c r="P2002" s="1578"/>
      <c r="Q2002" s="1676"/>
      <c r="R2002" s="2415"/>
      <c r="S2002" s="1676"/>
      <c r="T2002" s="1676"/>
      <c r="U2002" s="1676"/>
      <c r="V2002" s="1676"/>
      <c r="W2002" s="1676"/>
      <c r="X2002" s="1676"/>
    </row>
    <row r="2003" spans="1:24" ht="14.4">
      <c r="A2003" s="1676"/>
      <c r="B2003" s="1776" t="s">
        <v>2533</v>
      </c>
      <c r="C2003" s="457" t="s">
        <v>4068</v>
      </c>
      <c r="D2003" s="1314"/>
      <c r="E2003" s="1676"/>
      <c r="F2003" s="1676"/>
      <c r="G2003" s="1676"/>
      <c r="H2003" s="1676"/>
      <c r="I2003" s="1676"/>
      <c r="J2003" s="1676"/>
      <c r="K2003" s="1676"/>
      <c r="L2003" s="1676"/>
      <c r="M2003" s="1676"/>
      <c r="N2003" s="1776" t="s">
        <v>2533</v>
      </c>
      <c r="O2003" s="1578">
        <f>'Part IX Scoring Criteria'!O355</f>
        <v>0</v>
      </c>
      <c r="P2003" s="1578"/>
      <c r="Q2003" s="1676"/>
      <c r="R2003" s="2415"/>
      <c r="S2003" s="1676"/>
      <c r="T2003" s="1676"/>
      <c r="U2003" s="1676"/>
      <c r="V2003" s="1676"/>
      <c r="W2003" s="1676"/>
      <c r="X2003" s="1676"/>
    </row>
    <row r="2004" spans="1:24" ht="14.4">
      <c r="A2004" s="1659"/>
      <c r="B2004" s="1580" t="s">
        <v>1865</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2384"/>
      <c r="R2005" s="1659"/>
      <c r="S2005" s="1659"/>
      <c r="T2005" s="1659"/>
      <c r="U2005" s="1659"/>
      <c r="V2005" s="1659"/>
      <c r="W2005" s="1659"/>
      <c r="X2005" s="1659"/>
    </row>
    <row r="2006" spans="1:24">
      <c r="N2006" s="1320"/>
      <c r="O2006" s="1320"/>
      <c r="P2006" s="1320"/>
    </row>
    <row r="2007" spans="1:24" ht="14.4">
      <c r="A2007" s="2467" t="s">
        <v>2780</v>
      </c>
      <c r="B2007" s="2362" t="s">
        <v>4052</v>
      </c>
      <c r="C2007" s="1659"/>
      <c r="D2007" s="1659"/>
      <c r="E2007" s="1659"/>
      <c r="F2007" s="1659"/>
      <c r="G2007" s="1659"/>
      <c r="H2007" s="1620" t="s">
        <v>3574</v>
      </c>
      <c r="I2007" s="1524" t="str">
        <f>'Part I-Project Information'!$H$105</f>
        <v>Rural</v>
      </c>
      <c r="J2007" s="1524"/>
      <c r="K2007" s="1659"/>
      <c r="L2007" s="2415" t="str">
        <f>IF(OR($O2007=$M2007,$O2007=0,$O2007=""),"","* * Check Score! * *")</f>
        <v/>
      </c>
      <c r="M2007" s="1313">
        <v>1</v>
      </c>
      <c r="N2007" s="2468"/>
      <c r="O2007" s="1313">
        <f>'Part IX Scoring Criteria'!O359</f>
        <v>1</v>
      </c>
      <c r="P2007" s="1313"/>
      <c r="Q2007" s="1313" t="s">
        <v>441</v>
      </c>
      <c r="R2007" s="1659"/>
      <c r="S2007" s="1659"/>
      <c r="T2007" s="1659"/>
      <c r="U2007" s="1659"/>
      <c r="V2007" s="1659"/>
      <c r="W2007" s="1659"/>
      <c r="X2007" s="1659"/>
    </row>
    <row r="2008" spans="1:24" ht="14.4">
      <c r="A2008" s="1659"/>
      <c r="B2008" s="1659"/>
      <c r="C2008" s="1583"/>
      <c r="D2008" s="1583"/>
      <c r="E2008" s="1583"/>
      <c r="F2008" s="1583"/>
      <c r="G2008" s="1583"/>
      <c r="H2008" s="1583"/>
      <c r="I2008" s="1604" t="s">
        <v>4883</v>
      </c>
      <c r="J2008" s="1604"/>
      <c r="K2008" s="1604"/>
      <c r="L2008" s="1604"/>
      <c r="M2008" s="1604"/>
      <c r="N2008" s="1604"/>
      <c r="O2008" s="1604"/>
      <c r="P2008" s="1604"/>
      <c r="Q2008" s="1659"/>
      <c r="R2008" s="2415"/>
      <c r="S2008" s="1659"/>
      <c r="T2008" s="1659"/>
      <c r="U2008" s="1659"/>
      <c r="V2008" s="1659"/>
      <c r="W2008" s="1659"/>
      <c r="X2008" s="1659"/>
    </row>
    <row r="2009" spans="1:24" ht="15" customHeight="1">
      <c r="A2009" s="1583"/>
      <c r="B2009" s="1583" t="s">
        <v>5130</v>
      </c>
      <c r="C2009" s="1583"/>
      <c r="D2009" s="1583"/>
      <c r="E2009" s="1583"/>
      <c r="F2009" s="1583"/>
      <c r="G2009" s="1583"/>
      <c r="H2009" s="1583"/>
      <c r="I2009" s="457">
        <f>'Part IX Scoring Criteria'!I361</f>
        <v>1</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2415"/>
      <c r="S2009" s="1659"/>
      <c r="T2009" s="1659"/>
      <c r="U2009" s="1659"/>
      <c r="V2009" s="1659"/>
      <c r="W2009" s="1659"/>
      <c r="X2009" s="1659"/>
    </row>
    <row r="2010" spans="1:24" ht="14.4">
      <c r="A2010" s="1583"/>
      <c r="B2010" s="1583"/>
      <c r="C2010" s="1583"/>
      <c r="D2010" s="1583"/>
      <c r="E2010" s="1583"/>
      <c r="F2010" s="1583"/>
      <c r="G2010" s="1583"/>
      <c r="H2010" s="1583"/>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2415"/>
      <c r="S2010" s="1659"/>
      <c r="T2010" s="1659"/>
      <c r="U2010" s="1659"/>
      <c r="V2010" s="1659"/>
      <c r="W2010" s="1659"/>
      <c r="X2010" s="1659"/>
    </row>
    <row r="2011" spans="1:24" ht="14.4">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2415"/>
      <c r="S2011" s="1659"/>
      <c r="T2011" s="1659"/>
      <c r="U2011" s="1659"/>
      <c r="V2011" s="1659"/>
      <c r="W2011" s="1659"/>
      <c r="X2011" s="1659"/>
    </row>
    <row r="2012" spans="1:24" ht="14.4">
      <c r="A2012" s="1314"/>
      <c r="B2012" s="1549" t="s">
        <v>3752</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71.400000000000006">
      <c r="A2013" s="1583" t="str">
        <f>'Part IX Scoring Criteria'!A365</f>
        <v>Woodstone Apartments II is the only project applied for by the project team.</v>
      </c>
      <c r="B2013" s="1583"/>
      <c r="C2013" s="1583"/>
      <c r="D2013" s="1583"/>
      <c r="E2013" s="1583"/>
      <c r="F2013" s="1583"/>
      <c r="G2013" s="1583"/>
      <c r="H2013" s="1583"/>
      <c r="I2013" s="1583"/>
      <c r="J2013" s="1583"/>
      <c r="K2013" s="1583"/>
      <c r="L2013" s="1583"/>
      <c r="M2013" s="1583"/>
      <c r="N2013" s="1583"/>
      <c r="O2013" s="1583"/>
      <c r="P2013" s="1583"/>
      <c r="Q2013" s="2384" t="s">
        <v>1253</v>
      </c>
      <c r="R2013" s="1659"/>
      <c r="S2013" s="1659"/>
      <c r="T2013" s="1659"/>
      <c r="U2013" s="1659"/>
      <c r="V2013" s="1659"/>
      <c r="W2013" s="1659"/>
      <c r="X2013" s="1659"/>
    </row>
    <row r="2014" spans="1:24" ht="14.4">
      <c r="A2014" s="1314"/>
      <c r="B2014" s="1549" t="s">
        <v>1865</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2384"/>
      <c r="R2015" s="1659"/>
      <c r="S2015" s="1659"/>
      <c r="T2015" s="1659"/>
      <c r="U2015" s="1659"/>
      <c r="V2015" s="1659"/>
      <c r="W2015" s="1659"/>
      <c r="X2015" s="1659"/>
    </row>
    <row r="2016" spans="1:24" ht="14.4">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4.4">
      <c r="A2017" s="2426" t="s">
        <v>2250</v>
      </c>
      <c r="B2017" s="2362" t="s">
        <v>1671</v>
      </c>
      <c r="C2017" s="1659"/>
      <c r="D2017" s="1638"/>
      <c r="E2017" s="1638"/>
      <c r="F2017" s="1659"/>
      <c r="G2017" s="457"/>
      <c r="H2017" s="1659"/>
      <c r="I2017" s="457"/>
      <c r="J2017" s="457"/>
      <c r="K2017" s="1659"/>
      <c r="L2017" s="1578"/>
      <c r="M2017" s="1313">
        <v>1</v>
      </c>
      <c r="N2017" s="2468"/>
      <c r="O2017" s="1546">
        <f>'Part IX Scoring Criteria'!O369</f>
        <v>0</v>
      </c>
      <c r="P2017" s="1546">
        <f>IF(AND(NOT($I$370="&lt; Select applicable GICH &gt;"),OR(P2019="Yes",P2020="Yes"),P2022="Yes",P2023="Yes",P2024="Yes"),$M$369,0)</f>
        <v>0</v>
      </c>
      <c r="Q2017" s="1313" t="s">
        <v>441</v>
      </c>
      <c r="R2017" s="1659"/>
      <c r="S2017" s="1659"/>
      <c r="T2017" s="1659"/>
      <c r="U2017" s="1659"/>
      <c r="V2017" s="1659"/>
      <c r="W2017" s="1659"/>
      <c r="X2017" s="1659"/>
    </row>
    <row r="2018" spans="1:24" ht="14.4">
      <c r="A2018" s="1511"/>
      <c r="B2018" s="1524" t="s">
        <v>3612</v>
      </c>
      <c r="C2018" s="1659"/>
      <c r="D2018" s="1638"/>
      <c r="E2018" s="1638"/>
      <c r="F2018" s="1659"/>
      <c r="G2018" s="457"/>
      <c r="H2018" s="1659"/>
      <c r="I2018" s="457" t="str">
        <f>'Part IX Scoring Criteria'!I370</f>
        <v>&lt; Select applicable GICH &gt;</v>
      </c>
      <c r="J2018" s="457">
        <f>'Part IX Scoring Criteria'!J370</f>
        <v>0</v>
      </c>
      <c r="K2018" s="457">
        <f>'Part IX Scoring Criteria'!K370</f>
        <v>0</v>
      </c>
      <c r="L2018" s="457">
        <f>'Part IX Scoring Criteria'!L370</f>
        <v>0</v>
      </c>
      <c r="M2018" s="1313"/>
      <c r="N2018" s="2468"/>
      <c r="O2018" s="1659"/>
      <c r="P2018" s="1659"/>
      <c r="Q2018" s="2405"/>
      <c r="R2018" s="1372" t="s">
        <v>2705</v>
      </c>
      <c r="S2018" s="1659"/>
      <c r="T2018" s="1659"/>
      <c r="U2018" s="1659"/>
      <c r="V2018" s="1659"/>
      <c r="W2018" s="1659"/>
      <c r="X2018" s="1659"/>
    </row>
    <row r="2019" spans="1:24" ht="14.4">
      <c r="A2019" s="1511"/>
      <c r="B2019" s="1776" t="s">
        <v>1985</v>
      </c>
      <c r="C2019" s="1051" t="s">
        <v>4899</v>
      </c>
      <c r="D2019" s="1638"/>
      <c r="E2019" s="1051" t="s">
        <v>4900</v>
      </c>
      <c r="F2019" s="1659"/>
      <c r="G2019" s="457"/>
      <c r="H2019" s="1659"/>
      <c r="I2019" s="457"/>
      <c r="J2019" s="1051"/>
      <c r="K2019" s="1051"/>
      <c r="L2019" s="1051"/>
      <c r="M2019" s="1578"/>
      <c r="N2019" s="1701"/>
      <c r="O2019" s="1578">
        <f>'Part IX Scoring Criteria'!O371</f>
        <v>0</v>
      </c>
      <c r="P2019" s="1578"/>
      <c r="Q2019" s="2469"/>
      <c r="R2019" s="1372"/>
      <c r="S2019" s="1659"/>
      <c r="T2019" s="1659"/>
      <c r="U2019" s="1659"/>
      <c r="V2019" s="1659"/>
      <c r="W2019" s="1659"/>
      <c r="X2019" s="1659"/>
    </row>
    <row r="2020" spans="1:24" ht="14.4">
      <c r="A2020" s="1511"/>
      <c r="B2020" s="1578"/>
      <c r="C2020" s="1051"/>
      <c r="D2020" s="1638"/>
      <c r="E2020" s="1638" t="s">
        <v>4901</v>
      </c>
      <c r="F2020" s="1659"/>
      <c r="G2020" s="457"/>
      <c r="H2020" s="457"/>
      <c r="I2020" s="1051"/>
      <c r="J2020" s="1051"/>
      <c r="K2020" s="1051"/>
      <c r="L2020" s="1701"/>
      <c r="M2020" s="1546">
        <f>'Part IX Scoring Criteria'!M372</f>
        <v>0</v>
      </c>
      <c r="N2020" s="1701"/>
      <c r="O2020" s="1578">
        <f>'Part IX Scoring Criteria'!O372</f>
        <v>0</v>
      </c>
      <c r="P2020" s="1578"/>
      <c r="Q2020" s="2469"/>
      <c r="R2020" s="1372"/>
      <c r="S2020" s="1659"/>
      <c r="T2020" s="1659"/>
      <c r="U2020" s="1659"/>
      <c r="V2020" s="1659"/>
      <c r="W2020" s="1659"/>
      <c r="X2020" s="1659"/>
    </row>
    <row r="2021" spans="1:24" ht="14.4">
      <c r="A2021" s="1659"/>
      <c r="B2021" s="1776" t="s">
        <v>1987</v>
      </c>
      <c r="C2021" s="1524" t="s">
        <v>5368</v>
      </c>
      <c r="D2021" s="1676"/>
      <c r="E2021" s="1638"/>
      <c r="F2021" s="457"/>
      <c r="G2021" s="457"/>
      <c r="H2021" s="1659"/>
      <c r="I2021" s="1659"/>
      <c r="J2021" s="1659"/>
      <c r="K2021" s="1659"/>
      <c r="L2021" s="1659"/>
      <c r="M2021" s="1659"/>
      <c r="N2021" s="1620" t="s">
        <v>1982</v>
      </c>
      <c r="O2021" s="1626" t="s">
        <v>2509</v>
      </c>
      <c r="P2021" s="1626" t="s">
        <v>2509</v>
      </c>
      <c r="Q2021" s="1659"/>
      <c r="R2021" s="1659"/>
      <c r="S2021" s="1659"/>
      <c r="T2021" s="1659"/>
      <c r="U2021" s="1659"/>
      <c r="V2021" s="1659"/>
      <c r="W2021" s="1659"/>
      <c r="X2021" s="1659"/>
    </row>
    <row r="2022" spans="1:24">
      <c r="A2022" s="457"/>
      <c r="B2022" s="1620" t="s">
        <v>2434</v>
      </c>
      <c r="C2022" s="1524" t="s">
        <v>4053</v>
      </c>
      <c r="D2022" s="457"/>
      <c r="E2022" s="457"/>
      <c r="F2022" s="457"/>
      <c r="G2022" s="457"/>
      <c r="H2022" s="457"/>
      <c r="I2022" s="457"/>
      <c r="J2022" s="457"/>
      <c r="K2022" s="457"/>
      <c r="L2022" s="457"/>
      <c r="M2022" s="457"/>
      <c r="N2022" s="1620" t="s">
        <v>2434</v>
      </c>
      <c r="O2022" s="1578">
        <f>'Part IX Scoring Criteria'!O374</f>
        <v>0</v>
      </c>
      <c r="P2022" s="1578"/>
      <c r="Q2022" s="457"/>
      <c r="R2022" s="457"/>
      <c r="S2022" s="457"/>
      <c r="T2022" s="457"/>
      <c r="U2022" s="457"/>
      <c r="V2022" s="457"/>
      <c r="W2022" s="457"/>
      <c r="X2022" s="457"/>
    </row>
    <row r="2023" spans="1:24">
      <c r="A2023" s="457"/>
      <c r="B2023" s="1627" t="s">
        <v>2435</v>
      </c>
      <c r="C2023" s="1524" t="s">
        <v>4054</v>
      </c>
      <c r="D2023" s="457"/>
      <c r="E2023" s="457"/>
      <c r="F2023" s="457"/>
      <c r="G2023" s="457"/>
      <c r="H2023" s="457"/>
      <c r="I2023" s="457"/>
      <c r="J2023" s="457"/>
      <c r="K2023" s="457"/>
      <c r="L2023" s="457"/>
      <c r="M2023" s="457"/>
      <c r="N2023" s="1627" t="s">
        <v>2435</v>
      </c>
      <c r="O2023" s="1578">
        <f>'Part IX Scoring Criteria'!O375</f>
        <v>0</v>
      </c>
      <c r="P2023" s="1578"/>
      <c r="Q2023" s="457"/>
      <c r="R2023" s="457"/>
      <c r="S2023" s="457"/>
      <c r="T2023" s="457"/>
      <c r="U2023" s="457"/>
      <c r="V2023" s="457"/>
      <c r="W2023" s="457"/>
      <c r="X2023" s="457"/>
    </row>
    <row r="2024" spans="1:24">
      <c r="A2024" s="457"/>
      <c r="B2024" s="1620" t="s">
        <v>2436</v>
      </c>
      <c r="C2024" s="1524" t="s">
        <v>4884</v>
      </c>
      <c r="D2024" s="457"/>
      <c r="E2024" s="457"/>
      <c r="F2024" s="457"/>
      <c r="G2024" s="457"/>
      <c r="H2024" s="457"/>
      <c r="I2024" s="457"/>
      <c r="J2024" s="457"/>
      <c r="K2024" s="457"/>
      <c r="L2024" s="457"/>
      <c r="M2024" s="457"/>
      <c r="N2024" s="1620" t="s">
        <v>2436</v>
      </c>
      <c r="O2024" s="1578">
        <f>'Part IX Scoring Criteria'!O376</f>
        <v>0</v>
      </c>
      <c r="P2024" s="1578"/>
      <c r="Q2024" s="457"/>
      <c r="R2024" s="457"/>
      <c r="S2024" s="457"/>
      <c r="T2024" s="457"/>
      <c r="U2024" s="457"/>
      <c r="V2024" s="457"/>
      <c r="W2024" s="457"/>
      <c r="X2024" s="457"/>
    </row>
    <row r="2025" spans="1:24">
      <c r="A2025" s="1051"/>
      <c r="B2025" s="1723" t="s">
        <v>3613</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4.4">
      <c r="A2027" s="1314"/>
      <c r="B2027" s="1549" t="s">
        <v>3752</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15">
      <c r="A2028" s="1583">
        <f>'Part IX Scoring Criteria'!A380</f>
        <v>0</v>
      </c>
      <c r="B2028" s="1583"/>
      <c r="C2028" s="1583"/>
      <c r="D2028" s="1583"/>
      <c r="E2028" s="1583"/>
      <c r="F2028" s="1583"/>
      <c r="G2028" s="1583"/>
      <c r="H2028" s="1583"/>
      <c r="I2028" s="1583"/>
      <c r="J2028" s="1583"/>
      <c r="K2028" s="1583"/>
      <c r="L2028" s="1583"/>
      <c r="M2028" s="1583"/>
      <c r="N2028" s="1583"/>
      <c r="O2028" s="1583"/>
      <c r="P2028" s="1583"/>
      <c r="Q2028" s="2384" t="s">
        <v>1253</v>
      </c>
      <c r="R2028" s="1659"/>
      <c r="S2028" s="1659"/>
      <c r="T2028" s="1659"/>
      <c r="U2028" s="1659"/>
      <c r="V2028" s="1659"/>
      <c r="W2028" s="1659"/>
      <c r="X2028" s="1659"/>
    </row>
    <row r="2029" spans="1:24" ht="14.4">
      <c r="A2029" s="1314"/>
      <c r="B2029" s="1549" t="s">
        <v>1865</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2384"/>
      <c r="R2030" s="1659"/>
      <c r="S2030" s="1659"/>
      <c r="T2030" s="1659"/>
      <c r="U2030" s="1659"/>
      <c r="V2030" s="1659"/>
      <c r="W2030" s="1659"/>
      <c r="X2030" s="1659"/>
    </row>
    <row r="2031" spans="1:24">
      <c r="N2031" s="1320"/>
      <c r="O2031" s="1320"/>
      <c r="P2031" s="1320"/>
    </row>
    <row r="2032" spans="1:24" ht="14.4">
      <c r="A2032" s="2426" t="s">
        <v>4098</v>
      </c>
      <c r="B2032" s="2362" t="s">
        <v>4059</v>
      </c>
      <c r="C2032" s="1659"/>
      <c r="D2032" s="1638"/>
      <c r="E2032" s="1638"/>
      <c r="F2032" s="457"/>
      <c r="G2032" s="457"/>
      <c r="H2032" s="1317" t="s">
        <v>2792</v>
      </c>
      <c r="I2032" s="1659"/>
      <c r="J2032" s="1317" t="str">
        <f>'Part I-Project Information'!$H$105</f>
        <v>Rural</v>
      </c>
      <c r="K2032" s="1659"/>
      <c r="L2032" s="2415" t="str">
        <f>IF(OR($O2032=$M2032,$O2032=$M2039,$O2032=$M2059,$O2032=0,$O2032=""),"","* * Check Score! * *")</f>
        <v/>
      </c>
      <c r="M2032" s="1546">
        <v>4</v>
      </c>
      <c r="N2032" s="1313"/>
      <c r="O2032" s="1546">
        <f>'Part IX Scoring Criteria'!O384</f>
        <v>0</v>
      </c>
      <c r="P2032" s="1546">
        <f>P2039+P2059</f>
        <v>0</v>
      </c>
      <c r="Q2032" s="1313" t="s">
        <v>441</v>
      </c>
      <c r="R2032" s="1659"/>
      <c r="S2032" s="1659"/>
      <c r="T2032" s="1659"/>
      <c r="U2032" s="1659"/>
      <c r="V2032" s="1659"/>
      <c r="W2032" s="1659"/>
      <c r="X2032" s="1659"/>
    </row>
    <row r="2033" spans="1:24" ht="14.4">
      <c r="A2033" s="1314"/>
      <c r="B2033" s="1524" t="s">
        <v>5369</v>
      </c>
      <c r="C2033" s="1659"/>
      <c r="D2033" s="1659"/>
      <c r="E2033" s="1638"/>
      <c r="F2033" s="457"/>
      <c r="G2033" s="457"/>
      <c r="H2033" s="457"/>
      <c r="I2033" s="457"/>
      <c r="J2033" s="1659"/>
      <c r="K2033" s="1578"/>
      <c r="L2033" s="1779"/>
      <c r="M2033" s="1659"/>
      <c r="N2033" s="1659"/>
      <c r="O2033" s="1578" t="s">
        <v>2509</v>
      </c>
      <c r="P2033" s="1578" t="s">
        <v>2509</v>
      </c>
      <c r="Q2033" s="1659"/>
      <c r="R2033" s="1659"/>
      <c r="S2033" s="1659"/>
      <c r="T2033" s="1659"/>
      <c r="U2033" s="1659"/>
      <c r="V2033" s="1659"/>
      <c r="W2033" s="1659"/>
      <c r="X2033" s="1659"/>
    </row>
    <row r="2034" spans="1:24" ht="15" customHeight="1">
      <c r="A2034" s="1051"/>
      <c r="B2034" s="1620" t="s">
        <v>2434</v>
      </c>
      <c r="C2034" s="457" t="s">
        <v>2826</v>
      </c>
      <c r="D2034" s="1051"/>
      <c r="E2034" s="1638"/>
      <c r="F2034" s="457"/>
      <c r="G2034" s="457"/>
      <c r="H2034" s="457"/>
      <c r="I2034" s="457"/>
      <c r="J2034" s="1659"/>
      <c r="K2034" s="1578"/>
      <c r="L2034" s="1583" t="str">
        <f>IF(OR(O2034="No",O2034="",O2035="No",O2035="",O2036="No",O2036="",O2037="No",O2037=""),"Unmet criterion results in no points!","")</f>
        <v/>
      </c>
      <c r="M2034" s="1583"/>
      <c r="N2034" s="1620" t="s">
        <v>2434</v>
      </c>
      <c r="O2034" s="1578">
        <f>'Part IX Scoring Criteria'!O386</f>
        <v>0</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2435</v>
      </c>
      <c r="C2035" s="457" t="s">
        <v>3806</v>
      </c>
      <c r="D2035" s="1051"/>
      <c r="E2035" s="1051"/>
      <c r="F2035" s="1051"/>
      <c r="G2035" s="1051"/>
      <c r="H2035" s="1051"/>
      <c r="I2035" s="1051"/>
      <c r="J2035" s="1051"/>
      <c r="K2035" s="1051"/>
      <c r="L2035" s="1583"/>
      <c r="M2035" s="1583"/>
      <c r="N2035" s="1620" t="s">
        <v>2435</v>
      </c>
      <c r="O2035" s="1578">
        <f>'Part IX Scoring Criteria'!O387</f>
        <v>0</v>
      </c>
      <c r="P2035" s="1578"/>
      <c r="Q2035" s="1051"/>
      <c r="R2035" s="1583"/>
      <c r="S2035" s="1583"/>
      <c r="T2035" s="1051"/>
      <c r="U2035" s="1051"/>
      <c r="V2035" s="1051"/>
      <c r="W2035" s="1051"/>
      <c r="X2035" s="1051"/>
    </row>
    <row r="2036" spans="1:24">
      <c r="A2036" s="1051"/>
      <c r="B2036" s="1620" t="s">
        <v>2436</v>
      </c>
      <c r="C2036" s="457" t="s">
        <v>3805</v>
      </c>
      <c r="D2036" s="1051"/>
      <c r="E2036" s="1051"/>
      <c r="F2036" s="1051"/>
      <c r="G2036" s="1051"/>
      <c r="H2036" s="1051"/>
      <c r="I2036" s="1051"/>
      <c r="J2036" s="1051"/>
      <c r="K2036" s="1051"/>
      <c r="L2036" s="1583"/>
      <c r="M2036" s="1583"/>
      <c r="N2036" s="1620" t="s">
        <v>2436</v>
      </c>
      <c r="O2036" s="1578">
        <f>'Part IX Scoring Criteria'!O388</f>
        <v>0</v>
      </c>
      <c r="P2036" s="1578"/>
      <c r="Q2036" s="1051"/>
      <c r="R2036" s="1583"/>
      <c r="S2036" s="1583"/>
      <c r="T2036" s="1051"/>
      <c r="U2036" s="1051"/>
      <c r="V2036" s="1051"/>
      <c r="W2036" s="1051"/>
      <c r="X2036" s="1051"/>
    </row>
    <row r="2037" spans="1:24" ht="12.75" customHeight="1">
      <c r="A2037" s="1051"/>
      <c r="B2037" s="1627" t="s">
        <v>2437</v>
      </c>
      <c r="C2037" s="1583" t="s">
        <v>4885</v>
      </c>
      <c r="D2037" s="1583"/>
      <c r="E2037" s="1583"/>
      <c r="F2037" s="1583"/>
      <c r="G2037" s="1583"/>
      <c r="H2037" s="1583"/>
      <c r="I2037" s="1583"/>
      <c r="J2037" s="1583"/>
      <c r="K2037" s="1583"/>
      <c r="L2037" s="1583"/>
      <c r="M2037" s="1583"/>
      <c r="N2037" s="1627" t="s">
        <v>2437</v>
      </c>
      <c r="O2037" s="1631">
        <f>'Part IX Scoring Criteria'!O389</f>
        <v>0</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2470" t="s">
        <v>1982</v>
      </c>
      <c r="B2039" s="1317" t="s">
        <v>4061</v>
      </c>
      <c r="L2039" s="2415" t="str">
        <f>IF(OR($O2039=$M2039,$O2039=0,$O2039=""),"","* * Check Score! * *")</f>
        <v/>
      </c>
      <c r="M2039" s="1316">
        <v>3</v>
      </c>
      <c r="N2039" s="1620" t="s">
        <v>1982</v>
      </c>
      <c r="O2039" s="1546">
        <f>'Part IX Scoring Criteria'!O391</f>
        <v>0</v>
      </c>
      <c r="P2039" s="1546"/>
      <c r="Q2039" s="2405" t="str">
        <f>IF(OR($O2039=$M2039,$O2039=0,$O2039=""),"","*CHECK!*")</f>
        <v/>
      </c>
      <c r="R2039" s="1372" t="s">
        <v>2705</v>
      </c>
    </row>
    <row r="2040" spans="1:24">
      <c r="A2040" s="2470"/>
      <c r="B2040" s="2452" t="s">
        <v>1985</v>
      </c>
      <c r="C2040" s="1604" t="s">
        <v>4888</v>
      </c>
      <c r="D2040" s="1604"/>
      <c r="E2040" s="1604"/>
      <c r="F2040" s="1604"/>
      <c r="G2040" s="1604"/>
      <c r="H2040" s="1604"/>
      <c r="I2040" s="1604"/>
    </row>
    <row r="2041" spans="1:24">
      <c r="A2041" s="2470"/>
      <c r="B2041" s="1704"/>
      <c r="C2041" s="1604" t="s">
        <v>4887</v>
      </c>
      <c r="D2041" s="1604"/>
      <c r="E2041" s="1604"/>
      <c r="F2041" s="1604"/>
      <c r="G2041" s="1604"/>
      <c r="H2041" s="1604"/>
      <c r="I2041" s="1604"/>
      <c r="J2041" s="1722" t="s">
        <v>1989</v>
      </c>
      <c r="K2041" s="1722"/>
      <c r="M2041" s="1722" t="s">
        <v>1989</v>
      </c>
      <c r="N2041" s="1722"/>
      <c r="O2041" s="1722"/>
      <c r="P2041" s="1722"/>
    </row>
    <row r="2042" spans="1:24" ht="14.4">
      <c r="A2042" s="1624"/>
      <c r="B2042" s="1620" t="s">
        <v>2434</v>
      </c>
      <c r="C2042" s="457" t="s">
        <v>1481</v>
      </c>
      <c r="D2042" s="1659"/>
      <c r="E2042" s="1659"/>
      <c r="F2042" s="1659"/>
      <c r="G2042" s="1659"/>
      <c r="H2042" s="1659"/>
      <c r="I2042" s="1620" t="s">
        <v>2434</v>
      </c>
      <c r="J2042" s="1545">
        <f>'Part IX Scoring Criteria'!J394</f>
        <v>0</v>
      </c>
      <c r="K2042" s="1545">
        <f>'Part IX Scoring Criteria'!K394</f>
        <v>0</v>
      </c>
      <c r="L2042" s="1620" t="s">
        <v>2434</v>
      </c>
      <c r="M2042" s="1545"/>
      <c r="N2042" s="1545"/>
      <c r="O2042" s="1545"/>
      <c r="P2042" s="1545"/>
      <c r="Q2042" s="1659"/>
      <c r="R2042" s="2415"/>
      <c r="S2042" s="1659"/>
      <c r="T2042" s="1659"/>
      <c r="U2042" s="1659"/>
      <c r="V2042" s="1659"/>
      <c r="W2042" s="1659"/>
      <c r="X2042" s="1659"/>
    </row>
    <row r="2043" spans="1:24">
      <c r="A2043" s="1562"/>
      <c r="B2043" s="1627" t="s">
        <v>2435</v>
      </c>
      <c r="C2043" s="457" t="s">
        <v>3619</v>
      </c>
      <c r="I2043" s="1627" t="s">
        <v>2435</v>
      </c>
      <c r="J2043" s="1545">
        <f>'Part IX Scoring Criteria'!J395</f>
        <v>0</v>
      </c>
      <c r="K2043" s="1545">
        <f>'Part IX Scoring Criteria'!K395</f>
        <v>0</v>
      </c>
      <c r="L2043" s="1627" t="s">
        <v>2435</v>
      </c>
      <c r="M2043" s="1545"/>
      <c r="N2043" s="1545"/>
      <c r="O2043" s="1545"/>
      <c r="P2043" s="1545"/>
      <c r="R2043" s="2415"/>
    </row>
    <row r="2044" spans="1:24">
      <c r="B2044" s="1620" t="s">
        <v>2436</v>
      </c>
      <c r="C2044" s="457" t="s">
        <v>2625</v>
      </c>
      <c r="I2044" s="1620" t="s">
        <v>2436</v>
      </c>
      <c r="J2044" s="1545">
        <f>'Part IX Scoring Criteria'!J396</f>
        <v>0</v>
      </c>
      <c r="K2044" s="1545">
        <f>'Part IX Scoring Criteria'!K396</f>
        <v>0</v>
      </c>
      <c r="L2044" s="1620" t="s">
        <v>2436</v>
      </c>
      <c r="M2044" s="1545"/>
      <c r="N2044" s="1545"/>
      <c r="O2044" s="1545"/>
      <c r="P2044" s="1545"/>
      <c r="R2044" s="2415"/>
    </row>
    <row r="2045" spans="1:24">
      <c r="A2045" s="1562"/>
      <c r="B2045" s="1620" t="s">
        <v>2437</v>
      </c>
      <c r="C2045" s="457" t="s">
        <v>3459</v>
      </c>
      <c r="I2045" s="1620" t="s">
        <v>2437</v>
      </c>
      <c r="J2045" s="1545">
        <f>'Part IX Scoring Criteria'!J397</f>
        <v>0</v>
      </c>
      <c r="K2045" s="1545">
        <f>'Part IX Scoring Criteria'!K397</f>
        <v>0</v>
      </c>
      <c r="L2045" s="1620" t="s">
        <v>2437</v>
      </c>
      <c r="M2045" s="1545"/>
      <c r="N2045" s="1545"/>
      <c r="O2045" s="1545"/>
      <c r="P2045" s="1545"/>
      <c r="R2045" s="2415"/>
    </row>
    <row r="2046" spans="1:24" ht="14.4">
      <c r="A2046" s="1624"/>
      <c r="B2046" s="1627" t="s">
        <v>2438</v>
      </c>
      <c r="C2046" s="457" t="s">
        <v>2729</v>
      </c>
      <c r="D2046" s="1659"/>
      <c r="E2046" s="1659"/>
      <c r="F2046" s="1659"/>
      <c r="G2046" s="1659"/>
      <c r="H2046" s="1659"/>
      <c r="I2046" s="1627" t="s">
        <v>2438</v>
      </c>
      <c r="J2046" s="1545">
        <f>'Part IX Scoring Criteria'!J398</f>
        <v>0</v>
      </c>
      <c r="K2046" s="1545">
        <f>'Part IX Scoring Criteria'!K398</f>
        <v>0</v>
      </c>
      <c r="L2046" s="1627" t="s">
        <v>2438</v>
      </c>
      <c r="M2046" s="1545"/>
      <c r="N2046" s="1545"/>
      <c r="O2046" s="1545"/>
      <c r="P2046" s="1545"/>
      <c r="Q2046" s="1659"/>
      <c r="R2046" s="2415"/>
      <c r="S2046" s="1659"/>
      <c r="T2046" s="1659"/>
      <c r="U2046" s="1659"/>
      <c r="V2046" s="1659"/>
      <c r="W2046" s="1659"/>
      <c r="X2046" s="1659"/>
    </row>
    <row r="2047" spans="1:24">
      <c r="B2047" s="1620" t="s">
        <v>2454</v>
      </c>
      <c r="C2047" s="457" t="s">
        <v>1480</v>
      </c>
      <c r="I2047" s="1620" t="s">
        <v>2454</v>
      </c>
      <c r="J2047" s="1545">
        <f>'Part IX Scoring Criteria'!J399</f>
        <v>0</v>
      </c>
      <c r="K2047" s="1545">
        <f>'Part IX Scoring Criteria'!K399</f>
        <v>0</v>
      </c>
      <c r="L2047" s="1620" t="s">
        <v>2454</v>
      </c>
      <c r="M2047" s="1545"/>
      <c r="N2047" s="1545"/>
      <c r="O2047" s="1545"/>
      <c r="P2047" s="1545"/>
      <c r="R2047" s="2415"/>
    </row>
    <row r="2048" spans="1:24">
      <c r="A2048" s="1562"/>
      <c r="B2048" s="1620" t="s">
        <v>2455</v>
      </c>
      <c r="C2048" s="457" t="s">
        <v>3617</v>
      </c>
      <c r="I2048" s="1620" t="s">
        <v>2455</v>
      </c>
      <c r="J2048" s="1545">
        <f>'Part IX Scoring Criteria'!J400</f>
        <v>0</v>
      </c>
      <c r="K2048" s="1545">
        <f>'Part IX Scoring Criteria'!K400</f>
        <v>0</v>
      </c>
      <c r="L2048" s="1620" t="s">
        <v>2455</v>
      </c>
      <c r="M2048" s="1545"/>
      <c r="N2048" s="1545"/>
      <c r="O2048" s="1545"/>
      <c r="P2048" s="1545"/>
      <c r="R2048" s="2415"/>
    </row>
    <row r="2049" spans="1:24">
      <c r="B2049" s="1620" t="s">
        <v>2456</v>
      </c>
      <c r="C2049" s="457" t="s">
        <v>5088</v>
      </c>
      <c r="I2049" s="1620" t="s">
        <v>2456</v>
      </c>
      <c r="J2049" s="1545">
        <f>'Part IX Scoring Criteria'!J401</f>
        <v>0</v>
      </c>
      <c r="K2049" s="1545">
        <f>'Part IX Scoring Criteria'!K401</f>
        <v>0</v>
      </c>
      <c r="L2049" s="1620" t="s">
        <v>2456</v>
      </c>
      <c r="M2049" s="1545"/>
      <c r="N2049" s="1545"/>
      <c r="O2049" s="1545"/>
      <c r="P2049" s="1545"/>
      <c r="R2049" s="2415"/>
    </row>
    <row r="2050" spans="1:24">
      <c r="B2050" s="1620" t="s">
        <v>2457</v>
      </c>
      <c r="C2050" s="457" t="s">
        <v>4890</v>
      </c>
      <c r="I2050" s="1620" t="s">
        <v>2457</v>
      </c>
      <c r="J2050" s="1545">
        <f>'Part IX Scoring Criteria'!J402</f>
        <v>0</v>
      </c>
      <c r="K2050" s="1545">
        <f>'Part IX Scoring Criteria'!K402</f>
        <v>0</v>
      </c>
      <c r="L2050" s="1620" t="s">
        <v>2457</v>
      </c>
      <c r="M2050" s="1545"/>
      <c r="N2050" s="1545"/>
      <c r="O2050" s="1545"/>
      <c r="P2050" s="1545"/>
      <c r="R2050" s="2415"/>
    </row>
    <row r="2051" spans="1:24">
      <c r="B2051" s="1620" t="s">
        <v>3620</v>
      </c>
      <c r="C2051" s="457" t="s">
        <v>4891</v>
      </c>
      <c r="I2051" s="1620" t="s">
        <v>3620</v>
      </c>
      <c r="J2051" s="1545">
        <f>'Part IX Scoring Criteria'!J403</f>
        <v>0</v>
      </c>
      <c r="K2051" s="1545">
        <f>'Part IX Scoring Criteria'!K403</f>
        <v>0</v>
      </c>
      <c r="L2051" s="1620" t="s">
        <v>3620</v>
      </c>
      <c r="M2051" s="1545"/>
      <c r="N2051" s="1545"/>
      <c r="O2051" s="1545"/>
      <c r="P2051" s="1545"/>
      <c r="R2051" s="2415"/>
    </row>
    <row r="2052" spans="1:24">
      <c r="B2052" s="1781" t="s">
        <v>5131</v>
      </c>
      <c r="H2052" s="1524" t="s">
        <v>2627</v>
      </c>
      <c r="J2052" s="1545">
        <f>SUM(J2042:K2051)</f>
        <v>0</v>
      </c>
      <c r="K2052" s="1545"/>
      <c r="M2052" s="1545">
        <f>SUM($M2042:$M2051)</f>
        <v>0</v>
      </c>
      <c r="N2052" s="1545"/>
      <c r="O2052" s="1545"/>
      <c r="P2052" s="1545"/>
      <c r="R2052" s="2415"/>
    </row>
    <row r="2053" spans="1:24" ht="14.4">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ht="13.8">
      <c r="B2054" s="2471" t="s">
        <v>1987</v>
      </c>
      <c r="C2054" s="1204" t="s">
        <v>2626</v>
      </c>
      <c r="M2054" s="1330"/>
      <c r="N2054" s="1330"/>
      <c r="P2054" s="1330"/>
    </row>
    <row r="2055" spans="1:24" ht="15" customHeight="1">
      <c r="A2055" s="1314"/>
      <c r="B2055" s="1659"/>
      <c r="C2055" s="1468" t="s">
        <v>5370</v>
      </c>
      <c r="D2055" s="1468"/>
      <c r="E2055" s="1468"/>
      <c r="F2055" s="1524" t="s">
        <v>4934</v>
      </c>
      <c r="G2055" s="1659"/>
      <c r="I2055" s="1506">
        <f>'Part IX Scoring Criteria'!I407</f>
        <v>0</v>
      </c>
      <c r="J2055" s="1545">
        <f>'Part IV-A-Uses of Funds'!$G$132</f>
        <v>5168536</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4933</v>
      </c>
      <c r="I2056" s="2472">
        <f>'Part IX Scoring Criteria'!I408</f>
        <v>0</v>
      </c>
      <c r="J2056" s="1783">
        <f>IF($J2055=0,0,$J2052/$J2055)</f>
        <v>0</v>
      </c>
      <c r="K2056" s="1783"/>
      <c r="M2056" s="1783">
        <f>'Part IX Scoring Criteria'!M408</f>
        <v>0</v>
      </c>
      <c r="N2056" s="1783">
        <f>'Part IX Scoring Criteria'!N408</f>
        <v>0</v>
      </c>
      <c r="O2056" s="1783">
        <f>'Part IX Scoring Criteria'!O408</f>
        <v>0</v>
      </c>
      <c r="P2056" s="1783">
        <f>'Part IX Scoring Criteria'!P408</f>
        <v>0</v>
      </c>
    </row>
    <row r="2057" spans="1:24" ht="14.4">
      <c r="A2057" s="1659"/>
      <c r="B2057" s="1659"/>
      <c r="C2057" s="1468"/>
      <c r="D2057" s="1468"/>
      <c r="E2057" s="1468"/>
      <c r="F2057" s="1638" t="s">
        <v>4932</v>
      </c>
      <c r="G2057" s="1659"/>
      <c r="H2057" s="1659"/>
      <c r="I2057" s="1506">
        <f>'Part IX Scoring Criteria'!I409</f>
        <v>0</v>
      </c>
      <c r="J2057" s="1529">
        <f>'Part IX Scoring Criteria'!J409</f>
        <v>0</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
      <c r="A2059" s="1511" t="s">
        <v>1984</v>
      </c>
      <c r="B2059" s="1723" t="s">
        <v>3621</v>
      </c>
      <c r="C2059" s="1676"/>
      <c r="D2059" s="457"/>
      <c r="E2059" s="457"/>
      <c r="F2059" s="1313"/>
      <c r="G2059" s="1676"/>
      <c r="H2059" s="457"/>
      <c r="I2059" s="1313"/>
      <c r="J2059" s="1524"/>
      <c r="K2059" s="1524"/>
      <c r="L2059" s="2415" t="str">
        <f>IF(OR($O2059=$M2059,$O2059=0,$O2059=""),"","* * Check Score! * *")</f>
        <v/>
      </c>
      <c r="M2059" s="1316">
        <v>1</v>
      </c>
      <c r="N2059" s="1620" t="s">
        <v>1984</v>
      </c>
      <c r="O2059" s="1546">
        <f>'Part IX Scoring Criteria'!O411</f>
        <v>0</v>
      </c>
      <c r="P2059" s="1546"/>
      <c r="Q2059" s="1313" t="s">
        <v>441</v>
      </c>
      <c r="R2059" s="1372" t="s">
        <v>2705</v>
      </c>
      <c r="S2059" s="1676"/>
      <c r="T2059" s="1676"/>
      <c r="U2059" s="1676"/>
      <c r="V2059" s="2417"/>
      <c r="W2059" s="2417"/>
      <c r="X2059" s="1676"/>
    </row>
    <row r="2060" spans="1:24" ht="18.75" customHeight="1">
      <c r="A2060" s="1511"/>
      <c r="B2060" s="1627" t="s">
        <v>2434</v>
      </c>
      <c r="C2060" s="1583" t="s">
        <v>4063</v>
      </c>
      <c r="D2060" s="1583"/>
      <c r="E2060" s="1583"/>
      <c r="F2060" s="1583"/>
      <c r="G2060" s="1583"/>
      <c r="H2060" s="1583"/>
      <c r="I2060" s="1583"/>
      <c r="J2060" s="1583"/>
      <c r="K2060" s="1583"/>
      <c r="L2060" s="1583"/>
      <c r="M2060" s="1583"/>
      <c r="N2060" s="1627" t="s">
        <v>2434</v>
      </c>
      <c r="O2060" s="1631">
        <f>'Part IX Scoring Criteria'!O412</f>
        <v>0</v>
      </c>
      <c r="P2060" s="1631"/>
      <c r="Q2060" s="1659"/>
      <c r="R2060" s="1659"/>
      <c r="S2060" s="1659"/>
      <c r="T2060" s="1659"/>
      <c r="U2060" s="1659"/>
      <c r="V2060" s="2417"/>
      <c r="W2060" s="2417"/>
      <c r="X2060" s="1659"/>
    </row>
    <row r="2061" spans="1:24" ht="18">
      <c r="A2061" s="1511"/>
      <c r="B2061" s="1620" t="s">
        <v>2435</v>
      </c>
      <c r="C2061" s="457" t="s">
        <v>3798</v>
      </c>
      <c r="D2061" s="457"/>
      <c r="E2061" s="457"/>
      <c r="F2061" s="457"/>
      <c r="G2061" s="457"/>
      <c r="H2061" s="457"/>
      <c r="I2061" s="457"/>
      <c r="J2061" s="457"/>
      <c r="K2061" s="457"/>
      <c r="L2061" s="1659"/>
      <c r="M2061" s="457"/>
      <c r="N2061" s="1627" t="s">
        <v>2435</v>
      </c>
      <c r="O2061" s="1578">
        <f>'Part IX Scoring Criteria'!O413</f>
        <v>0</v>
      </c>
      <c r="P2061" s="1578"/>
      <c r="Q2061" s="1659"/>
      <c r="R2061" s="1659"/>
      <c r="S2061" s="1659"/>
      <c r="T2061" s="1659"/>
      <c r="U2061" s="1659"/>
      <c r="V2061" s="2417"/>
      <c r="W2061" s="2417"/>
      <c r="X2061" s="1659"/>
    </row>
    <row r="2062" spans="1:24">
      <c r="B2062" s="1620" t="s">
        <v>2436</v>
      </c>
      <c r="C2062" s="1051" t="s">
        <v>4893</v>
      </c>
      <c r="N2062" s="1620" t="s">
        <v>2436</v>
      </c>
      <c r="O2062" s="1578">
        <f>'Part IX Scoring Criteria'!O414</f>
        <v>0</v>
      </c>
      <c r="P2062" s="1578"/>
    </row>
    <row r="2063" spans="1:24">
      <c r="B2063" s="1549" t="s">
        <v>3752</v>
      </c>
      <c r="N2063" s="1320"/>
      <c r="O2063" s="1320"/>
      <c r="P2063" s="1320"/>
    </row>
    <row r="2064" spans="1:24" ht="15">
      <c r="A2064" s="1583">
        <f>'Part IX Scoring Criteria'!A416</f>
        <v>0</v>
      </c>
      <c r="B2064" s="1583"/>
      <c r="C2064" s="1583"/>
      <c r="D2064" s="1583"/>
      <c r="E2064" s="1583"/>
      <c r="F2064" s="1583"/>
      <c r="G2064" s="1583"/>
      <c r="H2064" s="1583"/>
      <c r="I2064" s="1583"/>
      <c r="J2064" s="1583"/>
      <c r="K2064" s="1583"/>
      <c r="L2064" s="1583"/>
      <c r="M2064" s="1583"/>
      <c r="N2064" s="1583"/>
      <c r="O2064" s="1583"/>
      <c r="P2064" s="1583"/>
      <c r="Q2064" s="2384" t="s">
        <v>1253</v>
      </c>
      <c r="R2064" s="1659"/>
      <c r="S2064" s="1659"/>
      <c r="T2064" s="1659"/>
      <c r="U2064" s="1659"/>
      <c r="V2064" s="1659"/>
      <c r="W2064" s="1659"/>
      <c r="X2064" s="1659"/>
    </row>
    <row r="2065" spans="1:24" ht="14.4">
      <c r="A2065" s="1314"/>
      <c r="B2065" s="1354" t="s">
        <v>1865</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2384"/>
      <c r="R2066" s="1659"/>
      <c r="S2066" s="1659"/>
      <c r="T2066" s="1659"/>
      <c r="U2066" s="1659"/>
      <c r="V2066" s="1659"/>
      <c r="W2066" s="1659"/>
      <c r="X2066" s="1659"/>
    </row>
    <row r="2067" spans="1:24" ht="14.4">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4.4">
      <c r="A2068" s="2426" t="s">
        <v>4099</v>
      </c>
      <c r="B2068" s="2362" t="s">
        <v>2720</v>
      </c>
      <c r="C2068" s="1659"/>
      <c r="D2068" s="1524"/>
      <c r="E2068" s="1659"/>
      <c r="F2068" s="1659"/>
      <c r="G2068" s="1525" t="s">
        <v>3389</v>
      </c>
      <c r="H2068" s="1659"/>
      <c r="I2068" s="1659"/>
      <c r="J2068" s="457"/>
      <c r="K2068" s="457"/>
      <c r="L2068" s="457"/>
      <c r="M2068" s="1313">
        <v>2</v>
      </c>
      <c r="N2068" s="1620"/>
      <c r="O2068" s="1313">
        <f>'Part IX Scoring Criteria'!O420</f>
        <v>0</v>
      </c>
      <c r="P2068" s="1313">
        <f>MIN($M2068,P2072+P2079)</f>
        <v>0</v>
      </c>
      <c r="Q2068" s="1313" t="s">
        <v>441</v>
      </c>
      <c r="R2068" s="2415" t="str">
        <f>IF(OR($O2072=$M2068,$O2072=0,$O2072=""),"","* * Check Score! * *")</f>
        <v/>
      </c>
      <c r="S2068" s="1659"/>
      <c r="T2068" s="1659"/>
      <c r="U2068" s="1659"/>
      <c r="V2068" s="1659"/>
      <c r="W2068" s="1659"/>
      <c r="X2068" s="1659"/>
    </row>
    <row r="2069" spans="1:24" ht="14.4">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4.4">
      <c r="A2070" s="2467"/>
      <c r="B2070" s="1727" t="s">
        <v>3460</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2830</v>
      </c>
      <c r="K2070" s="1711"/>
      <c r="L2070" s="1506">
        <f>'Part III-Sources of Funds'!$I$51</f>
        <v>0</v>
      </c>
      <c r="M2070" s="1713"/>
      <c r="N2070" s="1713"/>
      <c r="O2070" s="1713"/>
      <c r="P2070" s="1713"/>
      <c r="Q2070" s="1335"/>
      <c r="R2070" s="1711"/>
      <c r="S2070" s="1711"/>
      <c r="T2070" s="1711"/>
      <c r="U2070" s="1711"/>
      <c r="V2070" s="1711"/>
      <c r="W2070" s="1711"/>
      <c r="X2070" s="1711"/>
    </row>
    <row r="2071" spans="1:24" ht="14.4">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4.4">
      <c r="A2072" s="2434" t="s">
        <v>1982</v>
      </c>
      <c r="B2072" s="457" t="s">
        <v>5371</v>
      </c>
      <c r="C2072" s="1604"/>
      <c r="D2072" s="1604"/>
      <c r="E2072" s="1604"/>
      <c r="F2072" s="1604"/>
      <c r="G2072" s="1604"/>
      <c r="H2072" s="1604"/>
      <c r="I2072" s="1604"/>
      <c r="J2072" s="1711"/>
      <c r="K2072" s="1711"/>
      <c r="L2072" s="1711"/>
      <c r="M2072" s="1713">
        <v>2</v>
      </c>
      <c r="N2072" s="1627" t="s">
        <v>1982</v>
      </c>
      <c r="O2072" s="1546">
        <f>'Part IX Scoring Criteria'!O424</f>
        <v>0</v>
      </c>
      <c r="P2072" s="1546"/>
      <c r="Q2072" s="2405" t="str">
        <f>IF(OR($O2072=$M2072,$O2072=0,$O2072=""),"","*CHECK!*")</f>
        <v/>
      </c>
      <c r="R2072" s="1372" t="s">
        <v>2705</v>
      </c>
      <c r="S2072" s="1711"/>
      <c r="T2072" s="1711"/>
      <c r="U2072" s="1711"/>
      <c r="V2072" s="1711"/>
      <c r="W2072" s="1711"/>
      <c r="X2072" s="1711"/>
    </row>
    <row r="2073" spans="1:24" ht="15" customHeight="1">
      <c r="A2073" s="1713"/>
      <c r="B2073" s="1550" t="s">
        <v>4192</v>
      </c>
      <c r="C2073" s="1550"/>
      <c r="D2073" s="1550"/>
      <c r="E2073" s="1550"/>
      <c r="F2073" s="1550"/>
      <c r="G2073" s="1550"/>
      <c r="H2073" s="1550"/>
      <c r="I2073" s="1550"/>
      <c r="J2073" s="1550"/>
      <c r="K2073" s="1550"/>
      <c r="L2073" s="1550"/>
      <c r="M2073" s="1573" t="s">
        <v>5372</v>
      </c>
      <c r="N2073" s="1573"/>
      <c r="O2073" s="1711"/>
      <c r="P2073" s="1711"/>
      <c r="Q2073" s="1335"/>
      <c r="R2073" s="1711"/>
      <c r="S2073" s="1711"/>
      <c r="T2073" s="1711"/>
      <c r="U2073" s="1711"/>
      <c r="V2073" s="1711"/>
      <c r="W2073" s="1711"/>
      <c r="X2073" s="1711"/>
    </row>
    <row r="2074" spans="1:24" ht="14.4">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4.4">
      <c r="A2075" s="1711"/>
      <c r="B2075" s="1550"/>
      <c r="C2075" s="1550"/>
      <c r="D2075" s="1550"/>
      <c r="E2075" s="1550"/>
      <c r="F2075" s="1550"/>
      <c r="G2075" s="1550"/>
      <c r="H2075" s="1550"/>
      <c r="I2075" s="1550"/>
      <c r="J2075" s="1550"/>
      <c r="K2075" s="1550"/>
      <c r="L2075" s="1550"/>
      <c r="M2075" s="1372" t="s">
        <v>2828</v>
      </c>
      <c r="N2075" s="1713"/>
      <c r="O2075" s="1835">
        <f>'Part VI-Revenues &amp; Expenses'!$O$67</f>
        <v>40</v>
      </c>
      <c r="P2075" s="1835"/>
      <c r="Q2075" s="1335"/>
      <c r="R2075" s="1711"/>
      <c r="S2075" s="1711"/>
      <c r="T2075" s="1711"/>
      <c r="U2075" s="1711"/>
      <c r="V2075" s="1711"/>
      <c r="W2075" s="1711"/>
      <c r="X2075" s="1711"/>
    </row>
    <row r="2076" spans="1:24" ht="14.4">
      <c r="A2076" s="1711"/>
      <c r="B2076" s="1550"/>
      <c r="C2076" s="1550"/>
      <c r="D2076" s="1550"/>
      <c r="E2076" s="1550"/>
      <c r="F2076" s="1550"/>
      <c r="G2076" s="1550"/>
      <c r="H2076" s="1550"/>
      <c r="I2076" s="1550"/>
      <c r="J2076" s="1550"/>
      <c r="K2076" s="1550"/>
      <c r="L2076" s="1550"/>
      <c r="M2076" s="1372" t="s">
        <v>2829</v>
      </c>
      <c r="N2076" s="1713"/>
      <c r="O2076" s="2473">
        <f>IF(O2075=0,0,O2074/O2075)</f>
        <v>0</v>
      </c>
      <c r="P2076" s="2473"/>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2384" t="s">
        <v>1253</v>
      </c>
      <c r="R2077" s="2384"/>
      <c r="S2077" s="2384"/>
      <c r="T2077" s="1659"/>
      <c r="U2077" s="1659"/>
      <c r="V2077" s="1659"/>
      <c r="W2077" s="1659"/>
      <c r="X2077" s="1659"/>
    </row>
    <row r="2078" spans="1:24" ht="14.4">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4.4">
      <c r="A2079" s="2474" t="s">
        <v>5373</v>
      </c>
      <c r="B2079" s="1604" t="s">
        <v>3355</v>
      </c>
      <c r="C2079" s="1604"/>
      <c r="D2079" s="1711"/>
      <c r="E2079" s="1711"/>
      <c r="F2079" s="1711"/>
      <c r="G2079" s="1711"/>
      <c r="H2079" s="1604"/>
      <c r="I2079" s="1711"/>
      <c r="J2079" s="1711"/>
      <c r="K2079" s="1711"/>
      <c r="L2079" s="1711"/>
      <c r="M2079" s="1713">
        <v>2</v>
      </c>
      <c r="N2079" s="1627" t="s">
        <v>1984</v>
      </c>
      <c r="O2079" s="1546">
        <f>'Part IX Scoring Criteria'!O431</f>
        <v>0</v>
      </c>
      <c r="P2079" s="1546"/>
      <c r="Q2079" s="2405" t="str">
        <f>IF(OR($O2079=$M2079,$O2079=0,$O2079=""),"","*CHECK!*")</f>
        <v/>
      </c>
      <c r="R2079" s="1372" t="s">
        <v>2705</v>
      </c>
      <c r="S2079" s="1711"/>
      <c r="T2079" s="1711"/>
      <c r="U2079" s="1711"/>
      <c r="V2079" s="1711"/>
      <c r="W2079" s="1711"/>
      <c r="X2079" s="1711"/>
    </row>
    <row r="2080" spans="1:24" ht="15" customHeight="1">
      <c r="A2080" s="2474"/>
      <c r="B2080" s="1583" t="s">
        <v>5132</v>
      </c>
      <c r="C2080" s="1583"/>
      <c r="D2080" s="1583"/>
      <c r="E2080" s="1583"/>
      <c r="F2080" s="1583"/>
      <c r="G2080" s="1583"/>
      <c r="H2080" s="1583"/>
      <c r="I2080" s="1583"/>
      <c r="J2080" s="1583"/>
      <c r="K2080" s="1583"/>
      <c r="L2080" s="1583"/>
      <c r="M2080" s="1738" t="s">
        <v>4896</v>
      </c>
      <c r="N2080" s="1711"/>
      <c r="O2080" s="1835">
        <f>'Part VI-Revenues &amp; Expenses'!$O$113</f>
        <v>0</v>
      </c>
      <c r="P2080" s="1835"/>
      <c r="Q2080" s="1335"/>
      <c r="R2080" s="1711"/>
      <c r="S2080" s="1711"/>
      <c r="T2080" s="1711"/>
      <c r="U2080" s="1711"/>
      <c r="V2080" s="1711"/>
      <c r="W2080" s="1711"/>
      <c r="X2080" s="1711"/>
    </row>
    <row r="2081" spans="1:24" ht="14.4">
      <c r="A2081" s="2474"/>
      <c r="B2081" s="1583"/>
      <c r="C2081" s="1583"/>
      <c r="D2081" s="1583"/>
      <c r="E2081" s="1583"/>
      <c r="F2081" s="1583"/>
      <c r="G2081" s="1583"/>
      <c r="H2081" s="1583"/>
      <c r="I2081" s="1583"/>
      <c r="J2081" s="1583"/>
      <c r="K2081" s="1583"/>
      <c r="L2081" s="1583"/>
      <c r="M2081" s="1784" t="s">
        <v>2828</v>
      </c>
      <c r="N2081" s="1713"/>
      <c r="O2081" s="1835">
        <f>'Part VI-Revenues &amp; Expenses'!$O$67</f>
        <v>40</v>
      </c>
      <c r="P2081" s="1835"/>
      <c r="Q2081" s="1335"/>
      <c r="R2081" s="1711"/>
      <c r="S2081" s="1711"/>
      <c r="T2081" s="1711"/>
      <c r="U2081" s="1711"/>
      <c r="V2081" s="1711"/>
      <c r="W2081" s="1711"/>
      <c r="X2081" s="1711"/>
    </row>
    <row r="2082" spans="1:24" ht="14.4">
      <c r="A2082" s="2474"/>
      <c r="B2082" s="1583"/>
      <c r="C2082" s="1583"/>
      <c r="D2082" s="1583"/>
      <c r="E2082" s="1583"/>
      <c r="F2082" s="1583"/>
      <c r="G2082" s="1583"/>
      <c r="H2082" s="1583"/>
      <c r="I2082" s="1583"/>
      <c r="J2082" s="1583"/>
      <c r="K2082" s="1583"/>
      <c r="L2082" s="1583"/>
      <c r="M2082" s="1372" t="s">
        <v>2829</v>
      </c>
      <c r="N2082" s="1713"/>
      <c r="O2082" s="2473">
        <f>IF(O2081=0,0,L2068/O2081)</f>
        <v>0</v>
      </c>
      <c r="P2082" s="2473"/>
      <c r="Q2082" s="1335"/>
      <c r="R2082" s="1711"/>
      <c r="S2082" s="1711"/>
      <c r="T2082" s="1711"/>
      <c r="U2082" s="1711"/>
      <c r="V2082" s="1711"/>
      <c r="W2082" s="1711"/>
      <c r="X2082" s="1711"/>
    </row>
    <row r="2083" spans="1:24" ht="14.4">
      <c r="A2083" s="1314"/>
      <c r="B2083" s="1549" t="s">
        <v>3752</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15">
      <c r="A2084" s="1583">
        <f>'Part IX Scoring Criteria'!A436</f>
        <v>0</v>
      </c>
      <c r="B2084" s="1583"/>
      <c r="C2084" s="1583"/>
      <c r="D2084" s="1583"/>
      <c r="E2084" s="1583"/>
      <c r="F2084" s="1583"/>
      <c r="G2084" s="1583"/>
      <c r="H2084" s="1583"/>
      <c r="I2084" s="1583"/>
      <c r="J2084" s="1583"/>
      <c r="K2084" s="1583"/>
      <c r="L2084" s="1583"/>
      <c r="M2084" s="1583"/>
      <c r="N2084" s="1583"/>
      <c r="O2084" s="1583"/>
      <c r="P2084" s="1583"/>
      <c r="Q2084" s="2384" t="s">
        <v>1253</v>
      </c>
      <c r="R2084" s="2384"/>
      <c r="S2084" s="1659"/>
      <c r="T2084" s="1659"/>
      <c r="U2084" s="1659"/>
      <c r="V2084" s="1659"/>
      <c r="W2084" s="1659"/>
      <c r="X2084" s="1659"/>
    </row>
    <row r="2085" spans="1:24" ht="14.4">
      <c r="A2085" s="1659"/>
      <c r="B2085" s="1580" t="s">
        <v>1865</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2384"/>
      <c r="R2086" s="1659"/>
      <c r="S2086" s="1659"/>
      <c r="T2086" s="1659"/>
      <c r="U2086" s="1659"/>
      <c r="V2086" s="1659"/>
      <c r="W2086" s="1659"/>
      <c r="X2086" s="1659"/>
    </row>
    <row r="2087" spans="1:24" ht="14.4">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4.4">
      <c r="A2088" s="2467" t="s">
        <v>4097</v>
      </c>
      <c r="B2088" s="2362" t="s">
        <v>1672</v>
      </c>
      <c r="C2088" s="1676"/>
      <c r="D2088" s="1549"/>
      <c r="E2088" s="1549"/>
      <c r="F2088" s="457"/>
      <c r="G2088" s="457"/>
      <c r="H2088" s="1676"/>
      <c r="I2088" s="457"/>
      <c r="J2088" s="457"/>
      <c r="K2088" s="457"/>
      <c r="L2088" s="2415"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4.4">
      <c r="A2089" s="2467"/>
      <c r="B2089" s="2362"/>
      <c r="C2089" s="1676"/>
      <c r="D2089" s="1549"/>
      <c r="E2089" s="1549"/>
      <c r="F2089" s="457"/>
      <c r="G2089" s="457"/>
      <c r="H2089" s="1676"/>
      <c r="I2089" s="457"/>
      <c r="J2089" s="457"/>
      <c r="K2089" s="457"/>
      <c r="L2089" s="2415"/>
      <c r="M2089" s="1313"/>
      <c r="N2089" s="1313"/>
      <c r="O2089" s="1313"/>
      <c r="P2089" s="1313"/>
      <c r="Q2089" s="1313"/>
      <c r="R2089" s="1676"/>
      <c r="S2089" s="1676"/>
      <c r="T2089" s="1676"/>
      <c r="U2089" s="1676"/>
      <c r="V2089" s="1676"/>
      <c r="W2089" s="1676"/>
      <c r="X2089" s="1676"/>
    </row>
    <row r="2090" spans="1:24" ht="14.4">
      <c r="A2090" s="2467"/>
      <c r="B2090" s="457" t="s">
        <v>3655</v>
      </c>
      <c r="C2090" s="1676"/>
      <c r="D2090" s="1549"/>
      <c r="E2090" s="1549"/>
      <c r="F2090" s="457"/>
      <c r="G2090" s="457"/>
      <c r="H2090" s="1676"/>
      <c r="I2090" s="457"/>
      <c r="J2090" s="457"/>
      <c r="K2090" s="457"/>
      <c r="L2090" s="2415"/>
      <c r="M2090" s="1313"/>
      <c r="N2090" s="1313"/>
      <c r="O2090" s="1546">
        <f>'Part IX Scoring Criteria'!O442</f>
        <v>10</v>
      </c>
      <c r="P2090" s="1546">
        <v>10</v>
      </c>
      <c r="Q2090" s="1313"/>
      <c r="R2090" s="1676"/>
      <c r="S2090" s="1676"/>
      <c r="T2090" s="1676"/>
      <c r="U2090" s="1676"/>
      <c r="V2090" s="1676"/>
      <c r="W2090" s="1676"/>
      <c r="X2090" s="1676"/>
    </row>
    <row r="2091" spans="1:24" ht="14.4">
      <c r="A2091" s="2467"/>
      <c r="B2091" s="457" t="s">
        <v>3656</v>
      </c>
      <c r="C2091" s="1676"/>
      <c r="D2091" s="1549"/>
      <c r="E2091" s="1549"/>
      <c r="F2091" s="457"/>
      <c r="G2091" s="457"/>
      <c r="H2091" s="1676"/>
      <c r="I2091" s="457"/>
      <c r="J2091" s="457"/>
      <c r="K2091" s="457"/>
      <c r="L2091" s="2415"/>
      <c r="M2091" s="1313"/>
      <c r="N2091" s="1313"/>
      <c r="O2091" s="1546">
        <f>'Part IX Scoring Criteria'!O443</f>
        <v>0</v>
      </c>
      <c r="P2091" s="1546"/>
      <c r="Q2091" s="1313"/>
      <c r="R2091" s="1676"/>
      <c r="S2091" s="1676"/>
      <c r="T2091" s="1676"/>
      <c r="U2091" s="1676"/>
      <c r="V2091" s="1676"/>
      <c r="W2091" s="1676"/>
      <c r="X2091" s="1676"/>
    </row>
    <row r="2092" spans="1:24" ht="14.4">
      <c r="A2092" s="2467"/>
      <c r="B2092" s="457" t="s">
        <v>3657</v>
      </c>
      <c r="C2092" s="1676"/>
      <c r="D2092" s="1549"/>
      <c r="E2092" s="1549"/>
      <c r="F2092" s="457"/>
      <c r="G2092" s="457"/>
      <c r="H2092" s="1676"/>
      <c r="I2092" s="457"/>
      <c r="J2092" s="457"/>
      <c r="K2092" s="457"/>
      <c r="L2092" s="2415"/>
      <c r="M2092" s="1313"/>
      <c r="N2092" s="1313"/>
      <c r="O2092" s="1546">
        <f>'Part IX Scoring Criteria'!O444</f>
        <v>0</v>
      </c>
      <c r="P2092" s="1546"/>
      <c r="Q2092" s="1313"/>
      <c r="R2092" s="1676"/>
      <c r="S2092" s="1676"/>
      <c r="T2092" s="1676"/>
      <c r="U2092" s="1676"/>
      <c r="V2092" s="1676"/>
      <c r="W2092" s="1676"/>
      <c r="X2092" s="1676"/>
    </row>
    <row r="2093" spans="1:24" ht="14.4">
      <c r="A2093" s="1549"/>
      <c r="B2093" s="1549" t="s">
        <v>1865</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2384"/>
      <c r="R2094" s="2384"/>
      <c r="S2094" s="1659"/>
      <c r="T2094" s="1659"/>
      <c r="U2094" s="1659"/>
      <c r="V2094" s="1659"/>
      <c r="W2094" s="1659"/>
      <c r="X2094" s="1659"/>
    </row>
    <row r="2095" spans="1:24" ht="14.4">
      <c r="A2095" s="2467"/>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4.4">
      <c r="A2096" s="2467"/>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31</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2420"/>
      <c r="G2097" s="2420"/>
      <c r="H2097" s="1317" t="s">
        <v>4187</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2420"/>
      <c r="G2098" s="2420"/>
      <c r="H2098" s="1317" t="s">
        <v>4188</v>
      </c>
      <c r="I2098" s="1314"/>
      <c r="J2098" s="1794"/>
      <c r="K2098" s="1794"/>
      <c r="L2098" s="1659"/>
      <c r="N2098" s="1313"/>
      <c r="O2098" s="1685"/>
      <c r="P2098" s="1685">
        <f>P1990</f>
        <v>0</v>
      </c>
      <c r="Q2098" s="1314"/>
      <c r="R2098" s="1314"/>
      <c r="S2098" s="1314"/>
      <c r="T2098" s="1314"/>
      <c r="U2098" s="1314"/>
      <c r="V2098" s="1314"/>
      <c r="W2098" s="1314"/>
      <c r="X2098" s="1314"/>
    </row>
    <row r="2099" spans="1:24" ht="14.4">
      <c r="A2099" s="1314"/>
      <c r="B2099" s="1659"/>
      <c r="C2099" s="1659"/>
      <c r="D2099" s="457"/>
      <c r="E2099" s="457"/>
      <c r="F2099" s="1313"/>
      <c r="G2099" s="1659"/>
      <c r="H2099" s="1317" t="s">
        <v>4195</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2420"/>
      <c r="I2100" s="2420"/>
      <c r="J2100" s="1794"/>
      <c r="K2100" s="1794"/>
      <c r="L2100" s="1659"/>
      <c r="N2100" s="1313"/>
      <c r="O2100" s="1313"/>
      <c r="P2100" s="1546"/>
    </row>
    <row r="2101" spans="1:24" ht="15" customHeight="1">
      <c r="A2101" s="2475" t="s">
        <v>3686</v>
      </c>
      <c r="B2101" s="2475"/>
      <c r="C2101" s="2475"/>
      <c r="D2101" s="2475"/>
      <c r="E2101" s="2475"/>
      <c r="F2101" s="2475"/>
      <c r="G2101" s="2475"/>
      <c r="H2101" s="2475"/>
      <c r="I2101" s="2475"/>
      <c r="J2101" s="2475"/>
      <c r="K2101" s="2475"/>
      <c r="L2101" s="2475"/>
      <c r="M2101" s="2475"/>
      <c r="N2101" s="2475"/>
      <c r="O2101" s="2475"/>
      <c r="P2101" s="2475"/>
      <c r="Q2101" s="1659"/>
      <c r="R2101" s="1659"/>
      <c r="S2101" s="1659"/>
      <c r="T2101" s="1659"/>
      <c r="U2101" s="1659"/>
      <c r="V2101" s="1659"/>
      <c r="W2101" s="1659"/>
      <c r="X2101" s="1659"/>
    </row>
    <row r="2102" spans="1:24" ht="15">
      <c r="A2102" s="1583">
        <f>'Part IX Scoring Criteria'!A454</f>
        <v>0</v>
      </c>
      <c r="B2102" s="1583"/>
      <c r="C2102" s="1583"/>
      <c r="D2102" s="1583"/>
      <c r="E2102" s="1583"/>
      <c r="F2102" s="1583"/>
      <c r="G2102" s="1583"/>
      <c r="H2102" s="1583"/>
      <c r="I2102" s="1583"/>
      <c r="J2102" s="1583"/>
      <c r="K2102" s="1583"/>
      <c r="L2102" s="1583"/>
      <c r="M2102" s="1583"/>
      <c r="N2102" s="1583"/>
      <c r="O2102" s="1583"/>
      <c r="P2102" s="1583"/>
      <c r="Q2102" s="2384" t="s">
        <v>1253</v>
      </c>
      <c r="R2102" s="2384"/>
      <c r="S2102" s="1659"/>
      <c r="T2102" s="1659"/>
      <c r="U2102" s="1659"/>
      <c r="V2102" s="1659"/>
      <c r="W2102" s="1659"/>
      <c r="X2102" s="1659"/>
    </row>
  </sheetData>
  <sheetProtection algorithmName="SHA-512" hashValue="ttytp91HxZLZGb/5KA7bKKCPIizIFgngdo7+9pBGGlp62/EXpZD3Xn2Mh/IIFr7gNfVefbVe7FT0aJfU4UxiNA==" saltValue="ugxwqcF2R9xahWeCXIzhUg==" spinCount="100000" sheet="1" objects="1" scenarios="1" selectLockedCells="1" selectUnlockedCell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33203125" defaultRowHeight="13.2"/>
  <cols>
    <col min="1" max="7" width="9.33203125" style="638" bestFit="1" customWidth="1"/>
    <col min="8" max="8" width="12.33203125" style="638" bestFit="1" customWidth="1"/>
    <col min="9" max="10" width="14.33203125" style="638" bestFit="1" customWidth="1"/>
    <col min="11" max="14" width="9.33203125" style="638" bestFit="1" customWidth="1"/>
    <col min="15" max="16" width="12.33203125" style="638" bestFit="1" customWidth="1"/>
    <col min="17" max="278" width="9.33203125" style="638" bestFit="1" customWidth="1"/>
    <col min="279" max="16384" width="9.33203125" style="638"/>
  </cols>
  <sheetData>
    <row r="1" spans="1:16" ht="15.6">
      <c r="A1" s="1326" t="s">
        <v>978</v>
      </c>
    </row>
    <row r="2" spans="1:16" ht="13.8">
      <c r="A2" s="1327" t="str">
        <f>'Part I-Project Information'!F34</f>
        <v>Woodstone Apartments II</v>
      </c>
    </row>
    <row r="3" spans="1:16" ht="13.8">
      <c r="A3" s="1327" t="str">
        <f>CONCATENATE('Part I-Project Information'!F38,", ", 'Part I-Project Information'!J39," County")</f>
        <v>Leesburg, Lee County</v>
      </c>
    </row>
    <row r="5" spans="1:16" ht="12.75" customHeight="1">
      <c r="A5" s="1365" t="str">
        <f>'Project Narrative'!$A$5</f>
        <v xml:space="preserve">Woodstone Apartments II will be a substantial rehab of the existing Woodstone Apartments located at 320 Main Street just east of downtown Leesburg. The complex has 40 low income tax credit/HOME units and a community building. There are 12, one-bedroom units, 24 units that are two-bedroom, and 4, three-bedroom units. Woodstone is a well maintained and well managed property that has served the residents of this community for over 20 years. The complex is only 2 blocks from the Lee County High School and near downtown Leesburg. This location provides convenient and easy access to all area amenities and services. The PNA and scope of work indicate the  need for significant rehabilitation as originally planned. Some items include replacing all HVAC units, appliances, siding and gable repairs as needed, cabinets, stairways and railings, gutters and downspouts, grounds improvements and other cosmetic work as necessary. Also included will be all necessary work to guarantee proper accessibility. An outdoor gathering space will be added as well as a computer center in the community building. With the ability to bring energy efficiency to the complex and an elimination of debt, Woodstone Apartments will operate efficiently and be in a position to serve low income residents for many years to come. This project meets all the requirements for the Rural HOME Preservation set-aside and is a worthwhile preservation of existing housing.  The project team of Olympia Construction and its affiliates has 30 years of experience in Affordable Housing ownership, development, construction, and management in many states. This experience does include a substantial number of rehab and preservation projects. With the assistance of CRS, Relocation Specialists, Woodstone Apartments II anticipates nominal disturbance to tenants and expects to be able to relocate tenants within the complex and not displace anyone during renovation. </v>
      </c>
    </row>
    <row r="6" spans="1:16" ht="13.8">
      <c r="A6" s="1365"/>
    </row>
    <row r="7" spans="1:16" ht="13.8">
      <c r="A7" s="1365"/>
    </row>
    <row r="8" spans="1:16" ht="13.8">
      <c r="A8" s="1365"/>
    </row>
    <row r="9" spans="1:16" ht="13.8">
      <c r="A9" s="1365"/>
    </row>
    <row r="10" spans="1:16" ht="13.8">
      <c r="A10" s="1365"/>
    </row>
    <row r="11" spans="1:16" ht="13.8">
      <c r="A11" s="1365"/>
    </row>
    <row r="12" spans="1:16" ht="13.8">
      <c r="A12" s="1311" t="str">
        <f>CONCATENATE("PART ONE - PROJECT INFORMATION"," - ",$O$6," ",$F$34,", ",'Part I-Project Information'!F49,", ",'Part I-Project Information'!J50," County")</f>
        <v>PART ONE - PROJECT INFORMATION -  359500032, 317634366,  County</v>
      </c>
      <c r="B12" s="1311"/>
      <c r="C12" s="1311"/>
      <c r="D12" s="1311"/>
      <c r="E12" s="1311"/>
      <c r="F12" s="1311"/>
      <c r="G12" s="1311"/>
      <c r="H12" s="1311"/>
      <c r="I12" s="1311"/>
      <c r="J12" s="1311"/>
      <c r="K12" s="1311"/>
      <c r="L12" s="1311"/>
      <c r="M12" s="1311"/>
      <c r="N12" s="1311"/>
      <c r="O12" s="1311"/>
      <c r="P12" s="1311"/>
    </row>
    <row r="13" spans="1:16" ht="13.8">
      <c r="A13" s="1328"/>
      <c r="B13" s="1328"/>
      <c r="C13" s="1328"/>
      <c r="D13" s="1328"/>
      <c r="E13" s="1328"/>
      <c r="F13" s="1328"/>
      <c r="G13" s="1328"/>
      <c r="H13" s="1328"/>
      <c r="I13" s="1328"/>
      <c r="J13" s="1328"/>
      <c r="K13" s="1328"/>
      <c r="L13" s="1328"/>
      <c r="M13" s="1328"/>
      <c r="N13" s="1328"/>
      <c r="O13" s="1328"/>
      <c r="P13" s="1328"/>
    </row>
    <row r="14" spans="1:16" ht="12.75" customHeight="1">
      <c r="A14" s="1329" t="s">
        <v>4457</v>
      </c>
      <c r="B14" s="1329"/>
      <c r="C14" s="1329"/>
      <c r="D14" s="1329"/>
      <c r="E14" s="1329"/>
      <c r="F14" s="1329"/>
      <c r="G14" s="1329"/>
      <c r="H14" s="1329"/>
      <c r="I14" s="1329"/>
      <c r="J14" s="1329"/>
      <c r="K14" s="1329"/>
      <c r="L14" s="1329"/>
      <c r="M14" s="1329"/>
      <c r="N14" s="1329"/>
      <c r="O14" s="1329"/>
      <c r="P14" s="1329"/>
    </row>
    <row r="15" spans="1:16" ht="13.8">
      <c r="A15" s="1328"/>
      <c r="B15" s="1328"/>
      <c r="C15" s="1328"/>
      <c r="D15" s="1328"/>
      <c r="E15" s="1328"/>
      <c r="F15" s="1328"/>
      <c r="G15" s="1328"/>
      <c r="H15" s="1328"/>
      <c r="I15" s="1328"/>
      <c r="J15" s="1328"/>
      <c r="K15" s="1328"/>
      <c r="L15" s="1328"/>
      <c r="M15" s="1328"/>
      <c r="N15" s="1328"/>
      <c r="O15" s="1328"/>
      <c r="P15" s="1328"/>
    </row>
    <row r="16" spans="1:16" ht="13.8">
      <c r="A16" s="1330"/>
      <c r="B16" s="1331" t="s">
        <v>2363</v>
      </c>
      <c r="C16" s="1330"/>
      <c r="D16" s="1330"/>
      <c r="E16" s="1330"/>
      <c r="F16" s="1328"/>
      <c r="G16" s="1332" t="s">
        <v>4479</v>
      </c>
      <c r="H16" s="1330"/>
      <c r="I16" s="1330"/>
      <c r="J16" s="1330"/>
      <c r="K16" s="1330"/>
      <c r="L16" s="1328"/>
      <c r="M16" s="1330"/>
      <c r="N16" s="1330"/>
      <c r="O16" s="1330"/>
      <c r="P16" s="1333" t="s">
        <v>3867</v>
      </c>
    </row>
    <row r="17" spans="1:16" ht="14.25" customHeight="1">
      <c r="A17" s="1330"/>
      <c r="B17" s="1314"/>
      <c r="C17" s="1314"/>
      <c r="D17" s="1314"/>
      <c r="E17" s="1314"/>
      <c r="F17" s="1328"/>
      <c r="G17" s="1332" t="s">
        <v>4480</v>
      </c>
      <c r="H17" s="1334"/>
      <c r="I17" s="1334"/>
      <c r="J17" s="1334"/>
      <c r="K17" s="1330"/>
      <c r="L17" s="1330"/>
      <c r="M17" s="1330"/>
      <c r="N17" s="1330"/>
      <c r="O17" s="1311" t="str">
        <f>'Part I-Project Information'!$O$6</f>
        <v>2019-049</v>
      </c>
      <c r="P17" s="1311"/>
    </row>
    <row r="18" spans="1:16" ht="13.8">
      <c r="A18" s="1330"/>
      <c r="B18" s="1314"/>
      <c r="C18" s="1314"/>
      <c r="D18" s="1314"/>
      <c r="E18" s="1314"/>
      <c r="F18" s="1311"/>
      <c r="G18" s="1335" t="s">
        <v>3316</v>
      </c>
      <c r="H18" s="1334"/>
      <c r="I18" s="1334"/>
      <c r="J18" s="1334"/>
      <c r="K18" s="1330"/>
      <c r="L18" s="1330"/>
      <c r="M18" s="1330"/>
      <c r="N18" s="1330"/>
      <c r="O18" s="1330"/>
      <c r="P18" s="1330"/>
    </row>
    <row r="19" spans="1:16" ht="13.8">
      <c r="A19" s="1328"/>
      <c r="B19" s="1311"/>
      <c r="C19" s="1311"/>
      <c r="D19" s="1311"/>
      <c r="E19" s="1334"/>
      <c r="F19" s="1330"/>
      <c r="G19" s="1330"/>
      <c r="H19" s="1334"/>
      <c r="I19" s="1334"/>
      <c r="J19" s="1330"/>
      <c r="K19" s="1330"/>
      <c r="L19" s="1330"/>
      <c r="M19" s="1334"/>
      <c r="N19" s="1330"/>
      <c r="O19" s="1330"/>
      <c r="P19" s="1330"/>
    </row>
    <row r="20" spans="1:16" ht="13.8">
      <c r="A20" s="1311" t="s">
        <v>615</v>
      </c>
      <c r="B20" s="1311" t="s">
        <v>2374</v>
      </c>
      <c r="C20" s="1330"/>
      <c r="D20" s="1336"/>
      <c r="E20" s="1334"/>
      <c r="F20" s="1337" t="s">
        <v>3795</v>
      </c>
      <c r="G20" s="1330"/>
      <c r="H20" s="1330"/>
      <c r="I20" s="1338">
        <f>'Part IV-A-Uses of Funds'!$J$175</f>
        <v>369181</v>
      </c>
      <c r="J20" s="1338"/>
      <c r="K20" s="1330"/>
      <c r="L20" s="1330" t="s">
        <v>3796</v>
      </c>
      <c r="M20" s="1330"/>
      <c r="N20" s="1330"/>
      <c r="O20" s="1339">
        <f>'Part III-Sources of Funds'!$H$5</f>
        <v>0</v>
      </c>
      <c r="P20" s="1339"/>
    </row>
    <row r="21" spans="1:16" ht="13.8">
      <c r="A21" s="1311"/>
      <c r="B21" s="1311"/>
      <c r="C21" s="1330"/>
      <c r="D21" s="1336"/>
      <c r="E21" s="1334"/>
      <c r="F21" s="1334"/>
      <c r="G21" s="1330"/>
      <c r="H21" s="1330"/>
      <c r="I21" s="1331"/>
      <c r="J21" s="1330"/>
      <c r="K21" s="1330"/>
      <c r="L21" s="1330"/>
      <c r="M21" s="1330"/>
      <c r="N21" s="1340"/>
      <c r="O21" s="1330"/>
      <c r="P21" s="1330"/>
    </row>
    <row r="22" spans="1:16" ht="13.8">
      <c r="A22" s="1331" t="s">
        <v>739</v>
      </c>
      <c r="B22" s="1311" t="s">
        <v>2039</v>
      </c>
      <c r="C22" s="1330"/>
      <c r="D22" s="1330"/>
      <c r="E22" s="1330"/>
      <c r="F22" s="1393" t="str">
        <f>'Part I-Project Information'!$F$11</f>
        <v>9% Credit Competitive Round only</v>
      </c>
      <c r="G22" s="1393"/>
      <c r="H22" s="1393"/>
      <c r="I22" s="1797" t="s">
        <v>3712</v>
      </c>
      <c r="J22" s="1311" t="s">
        <v>4481</v>
      </c>
      <c r="K22" s="1311"/>
      <c r="L22" s="1334"/>
      <c r="M22" s="1330"/>
      <c r="N22" s="1330"/>
      <c r="O22" s="1330" t="str">
        <f>'Part I-Project Information'!$O$11</f>
        <v>2019PA-033</v>
      </c>
      <c r="P22" s="1330"/>
    </row>
    <row r="23" spans="1:16" ht="13.5" customHeight="1">
      <c r="A23" s="1328"/>
      <c r="B23" s="1341" t="s">
        <v>4458</v>
      </c>
      <c r="C23" s="1341"/>
      <c r="D23" s="1341"/>
      <c r="E23" s="1330"/>
      <c r="F23" s="1330"/>
      <c r="G23" s="1330"/>
      <c r="H23" s="1334"/>
      <c r="I23" s="1330"/>
      <c r="J23" s="1337" t="s">
        <v>2731</v>
      </c>
      <c r="K23" s="1331"/>
      <c r="L23" s="1330"/>
      <c r="M23" s="1334"/>
      <c r="N23" s="1330"/>
      <c r="O23" s="1393" t="str">
        <f>'Part I-Project Information'!$O$12</f>
        <v>No</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ht="13.8">
      <c r="A25" s="1328"/>
      <c r="B25" s="1341"/>
      <c r="C25" s="1341"/>
      <c r="D25" s="1341"/>
      <c r="E25" s="1330"/>
      <c r="F25" s="1412" t="str">
        <f>'Part I-Project Information'!$F$14</f>
        <v>No</v>
      </c>
      <c r="G25" s="1337" t="s">
        <v>3793</v>
      </c>
      <c r="K25" s="1330"/>
      <c r="L25" s="1330"/>
      <c r="M25" s="1330"/>
      <c r="N25" s="1330"/>
      <c r="O25" s="1330"/>
      <c r="P25" s="1330"/>
    </row>
    <row r="26" spans="1:16" ht="13.8">
      <c r="A26" s="1328"/>
      <c r="B26" s="1330" t="s">
        <v>3868</v>
      </c>
      <c r="C26" s="1330"/>
      <c r="D26" s="1311"/>
      <c r="E26" s="1330"/>
      <c r="F26" s="1706">
        <f>'Part I-Project Information'!$F$15</f>
        <v>0</v>
      </c>
      <c r="G26" s="1706"/>
      <c r="H26" s="1706"/>
      <c r="I26" s="1706"/>
      <c r="J26" s="1706"/>
      <c r="K26" s="1706"/>
      <c r="L26" s="1330" t="s">
        <v>3792</v>
      </c>
      <c r="M26" s="1330"/>
      <c r="N26" s="1330"/>
      <c r="O26" s="1330">
        <f>'Part I-Project Information'!$O$15</f>
        <v>0</v>
      </c>
      <c r="P26" s="1330"/>
    </row>
    <row r="27" spans="1:16" ht="13.8">
      <c r="A27" s="1328"/>
      <c r="B27" s="1330" t="s">
        <v>3794</v>
      </c>
      <c r="C27" s="1330"/>
      <c r="D27" s="1330"/>
      <c r="E27" s="1330"/>
      <c r="F27" s="1412" t="str">
        <f>'Part I-Project Information'!F16</f>
        <v>No</v>
      </c>
      <c r="G27" s="1330" t="s">
        <v>3850</v>
      </c>
      <c r="H27" s="1334"/>
      <c r="I27" s="1335"/>
      <c r="J27" s="1337"/>
      <c r="K27" s="1330"/>
      <c r="L27" s="1330"/>
      <c r="M27" s="1534" t="str">
        <f>'Part I-Project Information'!N16</f>
        <v>Qualified w/out Conditions</v>
      </c>
      <c r="N27" s="1534"/>
      <c r="O27" s="1534"/>
      <c r="P27" s="1534"/>
    </row>
    <row r="28" spans="1:16" ht="13.8">
      <c r="A28" s="1330"/>
      <c r="B28" s="1330"/>
      <c r="C28" s="1330"/>
      <c r="D28" s="1330"/>
      <c r="E28" s="1330"/>
      <c r="F28" s="1330"/>
      <c r="G28" s="1330"/>
      <c r="H28" s="1330"/>
      <c r="I28" s="1336"/>
      <c r="J28" s="1336"/>
      <c r="K28" s="1336"/>
      <c r="L28" s="1336"/>
      <c r="M28" s="1336"/>
      <c r="N28" s="1336"/>
      <c r="O28" s="1336"/>
      <c r="P28" s="1336"/>
    </row>
    <row r="29" spans="1:16" ht="13.8">
      <c r="A29" s="1331" t="s">
        <v>741</v>
      </c>
      <c r="B29" s="1311" t="s">
        <v>1472</v>
      </c>
      <c r="C29" s="1330"/>
      <c r="D29" s="1337"/>
      <c r="E29" s="1334"/>
      <c r="F29" s="1330"/>
      <c r="G29" s="1334"/>
      <c r="H29" s="1334"/>
      <c r="I29" s="1334"/>
      <c r="J29" s="1330"/>
      <c r="K29" s="1330"/>
      <c r="L29" s="1340"/>
      <c r="M29" s="1330"/>
      <c r="N29" s="1330"/>
      <c r="O29" s="1330"/>
      <c r="P29" s="1330"/>
    </row>
    <row r="30" spans="1:16" ht="13.8">
      <c r="A30" s="1331"/>
      <c r="B30" s="1334"/>
      <c r="C30" s="1311"/>
      <c r="D30" s="1337"/>
      <c r="E30" s="1334"/>
      <c r="F30" s="1330"/>
      <c r="G30" s="1334"/>
      <c r="H30" s="1334"/>
      <c r="I30" s="1334"/>
      <c r="J30" s="1330"/>
      <c r="K30" s="1340"/>
      <c r="L30" s="1340"/>
      <c r="M30" s="1330"/>
      <c r="N30" s="1330"/>
      <c r="O30" s="1328"/>
      <c r="P30" s="1330"/>
    </row>
    <row r="31" spans="1:16" ht="13.8">
      <c r="A31" s="1330"/>
      <c r="B31" s="1330" t="s">
        <v>3877</v>
      </c>
      <c r="C31" s="1330"/>
      <c r="D31" s="1330"/>
      <c r="E31" s="1330"/>
      <c r="F31" s="1330" t="str">
        <f>'Part I-Project Information'!F20</f>
        <v>Woodstone Apartments II, LP</v>
      </c>
      <c r="G31" s="1330">
        <f>'Part I-Project Information'!G20</f>
        <v>0</v>
      </c>
      <c r="H31" s="1330">
        <f>'Part I-Project Information'!H20</f>
        <v>0</v>
      </c>
      <c r="I31" s="1330" t="s">
        <v>1796</v>
      </c>
      <c r="J31" s="1330" t="str">
        <f>'Part I-Project Information'!J20</f>
        <v>Pat Dobbins</v>
      </c>
      <c r="K31" s="1330">
        <f>'Part I-Project Information'!K20</f>
        <v>0</v>
      </c>
      <c r="L31" s="1330">
        <f>'Part I-Project Information'!L20</f>
        <v>0</v>
      </c>
      <c r="M31" s="1337" t="s">
        <v>1979</v>
      </c>
      <c r="N31" s="1330" t="str">
        <f>'Part I-Project Information'!N20</f>
        <v>CFO</v>
      </c>
      <c r="O31" s="1330">
        <f>'Part I-Project Information'!O20</f>
        <v>0</v>
      </c>
      <c r="P31" s="1330">
        <f>'Part I-Project Information'!P20</f>
        <v>0</v>
      </c>
    </row>
    <row r="32" spans="1:16" ht="12.75" customHeight="1">
      <c r="A32" s="1330"/>
      <c r="B32" s="1337" t="s">
        <v>1980</v>
      </c>
      <c r="C32" s="1330"/>
      <c r="D32" s="1330"/>
      <c r="E32" s="1330"/>
      <c r="F32" s="1330" t="str">
        <f>'Part I-Project Information'!F21</f>
        <v>P.O. Box 1909</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3876</v>
      </c>
      <c r="N32" s="1342"/>
      <c r="O32" s="1342"/>
      <c r="P32" s="1342"/>
    </row>
    <row r="33" spans="1:16" ht="12.75" customHeight="1">
      <c r="A33" s="1330"/>
      <c r="B33" s="1337" t="s">
        <v>617</v>
      </c>
      <c r="C33" s="1330"/>
      <c r="D33" s="1330"/>
      <c r="E33" s="1330"/>
      <c r="F33" s="1330" t="str">
        <f>'Part I-Project Information'!F22</f>
        <v>Albertville</v>
      </c>
      <c r="G33" s="1330">
        <f>'Part I-Project Information'!G22</f>
        <v>0</v>
      </c>
      <c r="H33" s="1330">
        <f>'Part I-Project Information'!H22</f>
        <v>0</v>
      </c>
      <c r="I33" s="1337" t="s">
        <v>1798</v>
      </c>
      <c r="J33" s="1363" t="str">
        <f>'Part I-Project Information'!J22</f>
        <v>AL</v>
      </c>
      <c r="K33" s="1330"/>
      <c r="L33" s="1330"/>
      <c r="M33" s="1342"/>
      <c r="N33" s="1342"/>
      <c r="O33" s="1342"/>
      <c r="P33" s="1342"/>
    </row>
    <row r="34" spans="1:16" ht="13.8">
      <c r="A34" s="1330"/>
      <c r="B34" s="1337" t="s">
        <v>2228</v>
      </c>
      <c r="C34" s="1330"/>
      <c r="D34" s="1330"/>
      <c r="E34" s="1330"/>
      <c r="F34" s="1798">
        <f>'Part I-Project Information'!F23</f>
        <v>359500032</v>
      </c>
      <c r="G34" s="1798">
        <f>'Part I-Project Information'!G23</f>
        <v>0</v>
      </c>
      <c r="H34" s="1798">
        <f>'Part I-Project Information'!H23</f>
        <v>0</v>
      </c>
      <c r="I34" s="1337" t="s">
        <v>1719</v>
      </c>
      <c r="J34" s="1799">
        <f>'Part I-Project Information'!J23</f>
        <v>2568786054</v>
      </c>
      <c r="K34" s="1799">
        <f>'Part I-Project Information'!K23</f>
        <v>0</v>
      </c>
      <c r="L34" s="1334" t="s">
        <v>1718</v>
      </c>
      <c r="M34" s="1334">
        <f>'Part I-Project Information'!M23</f>
        <v>0</v>
      </c>
      <c r="N34" s="1337" t="s">
        <v>1720</v>
      </c>
      <c r="O34" s="1799">
        <f>'Part I-Project Information'!O23</f>
        <v>2568786054</v>
      </c>
      <c r="P34" s="1799">
        <f>'Part I-Project Information'!P23</f>
        <v>0</v>
      </c>
    </row>
    <row r="35" spans="1:16" ht="13.8">
      <c r="A35" s="1330"/>
      <c r="B35" s="1337" t="s">
        <v>1983</v>
      </c>
      <c r="C35" s="1330"/>
      <c r="D35" s="1330"/>
      <c r="E35" s="1330"/>
      <c r="F35" s="1330" t="str">
        <f>'Part I-Project Information'!F24</f>
        <v>patdobbins@olympiaconstruction.net</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1978</v>
      </c>
      <c r="O35" s="1799">
        <f>'Part I-Project Information'!O24</f>
        <v>2565582773</v>
      </c>
      <c r="P35" s="1799">
        <f>'Part I-Project Information'!P24</f>
        <v>0</v>
      </c>
    </row>
    <row r="36" spans="1:16" ht="13.8">
      <c r="A36" s="1328"/>
      <c r="B36" s="1311" t="s">
        <v>4065</v>
      </c>
      <c r="C36" s="1336"/>
      <c r="D36" s="1330"/>
      <c r="E36" s="1330"/>
      <c r="F36" s="1330"/>
      <c r="G36" s="1330"/>
      <c r="H36" s="1334"/>
      <c r="I36" s="1330"/>
      <c r="J36" s="1336"/>
      <c r="K36" s="1330"/>
      <c r="L36" s="1330"/>
      <c r="M36" s="1330"/>
      <c r="N36" s="1330"/>
      <c r="O36" s="1330"/>
      <c r="P36" s="1343"/>
    </row>
    <row r="37" spans="1:16" ht="13.8">
      <c r="A37" s="1330"/>
      <c r="B37" s="1330" t="s">
        <v>3877</v>
      </c>
      <c r="C37" s="1330"/>
      <c r="D37" s="1330"/>
      <c r="E37" s="1330"/>
      <c r="F37" s="1330" t="str">
        <f>'Part I-Project Information'!F26</f>
        <v>Woodstone Apartments II, LP</v>
      </c>
      <c r="G37" s="1330">
        <f>'Part I-Project Information'!G26</f>
        <v>0</v>
      </c>
      <c r="H37" s="1330">
        <f>'Part I-Project Information'!H26</f>
        <v>0</v>
      </c>
      <c r="I37" s="1330" t="s">
        <v>1796</v>
      </c>
      <c r="J37" s="1330" t="str">
        <f>'Part I-Project Information'!J26</f>
        <v>Butch Richardson</v>
      </c>
      <c r="K37" s="1330">
        <f>'Part I-Project Information'!K26</f>
        <v>0</v>
      </c>
      <c r="L37" s="1330">
        <f>'Part I-Project Information'!L26</f>
        <v>0</v>
      </c>
      <c r="M37" s="1337" t="s">
        <v>1979</v>
      </c>
      <c r="N37" s="1330" t="str">
        <f>'Part I-Project Information'!N26</f>
        <v>Manager of Development</v>
      </c>
      <c r="O37" s="1330">
        <f>'Part I-Project Information'!O26</f>
        <v>0</v>
      </c>
      <c r="P37" s="1330">
        <f>'Part I-Project Information'!P26</f>
        <v>0</v>
      </c>
    </row>
    <row r="38" spans="1:16" ht="12.75" customHeight="1">
      <c r="A38" s="1330"/>
      <c r="B38" s="1337" t="s">
        <v>1980</v>
      </c>
      <c r="C38" s="1330"/>
      <c r="D38" s="1330"/>
      <c r="E38" s="1330"/>
      <c r="F38" s="1330" t="str">
        <f>'Part I-Project Information'!F27</f>
        <v>P.O. Box 1909</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3876</v>
      </c>
      <c r="N38" s="1342"/>
      <c r="O38" s="1342"/>
      <c r="P38" s="1342"/>
    </row>
    <row r="39" spans="1:16" ht="12.75" customHeight="1">
      <c r="A39" s="1330"/>
      <c r="B39" s="1337" t="s">
        <v>617</v>
      </c>
      <c r="C39" s="1330"/>
      <c r="D39" s="1330"/>
      <c r="E39" s="1330"/>
      <c r="F39" s="1330" t="str">
        <f>'Part I-Project Information'!F28</f>
        <v>Albertville</v>
      </c>
      <c r="G39" s="1330">
        <f>'Part I-Project Information'!G28</f>
        <v>0</v>
      </c>
      <c r="H39" s="1330">
        <f>'Part I-Project Information'!H28</f>
        <v>0</v>
      </c>
      <c r="I39" s="1337" t="s">
        <v>1798</v>
      </c>
      <c r="J39" s="1363" t="str">
        <f>'Part I-Project Information'!J28</f>
        <v>AL</v>
      </c>
      <c r="K39" s="1330"/>
      <c r="L39" s="1330"/>
      <c r="M39" s="1342"/>
      <c r="N39" s="1342"/>
      <c r="O39" s="1342"/>
      <c r="P39" s="1342"/>
    </row>
    <row r="40" spans="1:16" ht="13.8">
      <c r="A40" s="1330"/>
      <c r="B40" s="1337" t="s">
        <v>2228</v>
      </c>
      <c r="C40" s="1330"/>
      <c r="D40" s="1330"/>
      <c r="E40" s="1330"/>
      <c r="F40" s="1798">
        <f>'Part I-Project Information'!F29</f>
        <v>359500032</v>
      </c>
      <c r="G40" s="1798">
        <f>'Part I-Project Information'!G29</f>
        <v>0</v>
      </c>
      <c r="H40" s="1798">
        <f>'Part I-Project Information'!H29</f>
        <v>0</v>
      </c>
      <c r="I40" s="1337" t="s">
        <v>1719</v>
      </c>
      <c r="J40" s="1799">
        <f>'Part I-Project Information'!J29</f>
        <v>2568786054</v>
      </c>
      <c r="K40" s="1799">
        <f>'Part I-Project Information'!K29</f>
        <v>0</v>
      </c>
      <c r="L40" s="1334" t="s">
        <v>1718</v>
      </c>
      <c r="M40" s="1334">
        <f>'Part I-Project Information'!M29</f>
        <v>0</v>
      </c>
      <c r="N40" s="1337" t="s">
        <v>1720</v>
      </c>
      <c r="O40" s="1799">
        <f>'Part I-Project Information'!O29</f>
        <v>2568786054</v>
      </c>
      <c r="P40" s="1799">
        <f>'Part I-Project Information'!P29</f>
        <v>0</v>
      </c>
    </row>
    <row r="41" spans="1:16" ht="13.8">
      <c r="A41" s="1330"/>
      <c r="B41" s="1337" t="s">
        <v>1983</v>
      </c>
      <c r="C41" s="1330"/>
      <c r="D41" s="1330"/>
      <c r="E41" s="1330"/>
      <c r="F41" s="1330" t="str">
        <f>'Part I-Project Information'!F30</f>
        <v>tobutch51@yahoo.com</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1978</v>
      </c>
      <c r="O41" s="1799">
        <f>'Part I-Project Information'!O30</f>
        <v>2565722208</v>
      </c>
      <c r="P41" s="1799">
        <f>'Part I-Project Information'!P30</f>
        <v>0</v>
      </c>
    </row>
    <row r="42" spans="1:16" ht="13.8">
      <c r="A42" s="1328"/>
      <c r="B42" s="1328"/>
      <c r="C42" s="1336"/>
      <c r="D42" s="1330"/>
      <c r="E42" s="1330"/>
      <c r="F42" s="1330"/>
      <c r="G42" s="1330"/>
      <c r="H42" s="1334"/>
      <c r="I42" s="1330"/>
      <c r="J42" s="1336"/>
      <c r="K42" s="1330"/>
      <c r="L42" s="1330"/>
      <c r="M42" s="1330"/>
      <c r="N42" s="1330"/>
      <c r="O42" s="1330"/>
      <c r="P42" s="1343"/>
    </row>
    <row r="43" spans="1:16" ht="13.8">
      <c r="A43" s="1331" t="s">
        <v>1791</v>
      </c>
      <c r="B43" s="1311" t="s">
        <v>1473</v>
      </c>
      <c r="C43" s="1330"/>
      <c r="D43" s="1336"/>
      <c r="E43" s="1334"/>
      <c r="F43" s="1334"/>
      <c r="G43" s="1337"/>
      <c r="H43" s="1334"/>
      <c r="I43" s="1334"/>
      <c r="J43" s="1334"/>
      <c r="K43" s="1330"/>
      <c r="L43" s="1340"/>
      <c r="M43" s="1340"/>
      <c r="N43" s="1330"/>
      <c r="O43" s="1330"/>
      <c r="P43" s="1330"/>
    </row>
    <row r="44" spans="1:16" ht="13.8">
      <c r="A44" s="1331"/>
      <c r="B44" s="1311"/>
      <c r="C44" s="1330"/>
      <c r="D44" s="1336"/>
      <c r="E44" s="1334"/>
      <c r="F44" s="1334"/>
      <c r="G44" s="1337"/>
      <c r="H44" s="1334"/>
      <c r="I44" s="1334"/>
      <c r="J44" s="1334"/>
      <c r="K44" s="1330"/>
      <c r="L44" s="1340"/>
      <c r="M44" s="1330"/>
      <c r="N44" s="1330"/>
      <c r="O44" s="1330"/>
      <c r="P44" s="1330"/>
    </row>
    <row r="45" spans="1:16" ht="13.8">
      <c r="A45" s="1311"/>
      <c r="B45" s="1330" t="s">
        <v>616</v>
      </c>
      <c r="C45" s="1330"/>
      <c r="D45" s="1311"/>
      <c r="E45" s="1330"/>
      <c r="F45" s="1706" t="str">
        <f>'Part I-Project Information'!F34</f>
        <v>Woodstone Apartments II</v>
      </c>
      <c r="G45" s="1706">
        <f>'Part I-Project Information'!G34</f>
        <v>0</v>
      </c>
      <c r="H45" s="1706">
        <f>'Part I-Project Information'!H34</f>
        <v>0</v>
      </c>
      <c r="I45" s="1706">
        <f>'Part I-Project Information'!I34</f>
        <v>0</v>
      </c>
      <c r="J45" s="1706">
        <f>'Part I-Project Information'!J34</f>
        <v>0</v>
      </c>
      <c r="K45" s="1706">
        <f>'Part I-Project Information'!K34</f>
        <v>0</v>
      </c>
      <c r="L45" s="1337" t="s">
        <v>2191</v>
      </c>
      <c r="M45" s="1330"/>
      <c r="N45" s="1330"/>
      <c r="O45" s="1330" t="str">
        <f>'Part I-Project Information'!O34</f>
        <v>No</v>
      </c>
      <c r="P45" s="1330">
        <f>'Part I-Project Information'!P34</f>
        <v>0</v>
      </c>
    </row>
    <row r="46" spans="1:16" ht="13.8">
      <c r="A46" s="1333"/>
      <c r="B46" s="1330" t="s">
        <v>2698</v>
      </c>
      <c r="C46" s="1330"/>
      <c r="D46" s="1340"/>
      <c r="E46" s="1330"/>
      <c r="F46" s="1330" t="str">
        <f>'Part I-Project Information'!F35</f>
        <v>320 Main Street East</v>
      </c>
      <c r="G46" s="1330">
        <f>'Part I-Project Information'!G35</f>
        <v>0</v>
      </c>
      <c r="H46" s="1330">
        <f>'Part I-Project Information'!H35</f>
        <v>0</v>
      </c>
      <c r="I46" s="1330">
        <f>'Part I-Project Information'!I35</f>
        <v>0</v>
      </c>
      <c r="J46" s="1330">
        <f>'Part I-Project Information'!J35</f>
        <v>0</v>
      </c>
      <c r="K46" s="1330">
        <f>'Part I-Project Information'!K35</f>
        <v>0</v>
      </c>
      <c r="L46" s="1330" t="s">
        <v>3680</v>
      </c>
      <c r="M46" s="1330"/>
      <c r="N46" s="1330"/>
      <c r="O46" s="1330">
        <f>'Part I-Project Information'!O35</f>
        <v>0</v>
      </c>
      <c r="P46" s="1330">
        <f>'Part I-Project Information'!P35</f>
        <v>0</v>
      </c>
    </row>
    <row r="47" spans="1:16" ht="13.8">
      <c r="A47" s="1333"/>
      <c r="B47" s="1330" t="s">
        <v>4482</v>
      </c>
      <c r="C47" s="1330"/>
      <c r="D47" s="1340"/>
      <c r="E47" s="1330"/>
      <c r="F47" s="1330" t="str">
        <f>'Part I-Project Information'!F36</f>
        <v>320 Main Street East</v>
      </c>
      <c r="G47" s="1330">
        <f>'Part I-Project Information'!G36</f>
        <v>0</v>
      </c>
      <c r="H47" s="1330">
        <f>'Part I-Project Information'!H36</f>
        <v>0</v>
      </c>
      <c r="I47" s="1330">
        <f>'Part I-Project Information'!I36</f>
        <v>0</v>
      </c>
      <c r="J47" s="1330">
        <f>'Part I-Project Information'!J36</f>
        <v>0</v>
      </c>
      <c r="K47" s="1330">
        <f>'Part I-Project Information'!K36</f>
        <v>0</v>
      </c>
      <c r="L47" s="1337" t="s">
        <v>2049</v>
      </c>
      <c r="M47" s="1330"/>
      <c r="N47" s="1334" t="str">
        <f>'Part I-Project Information'!N36</f>
        <v>No</v>
      </c>
      <c r="O47" s="1334" t="s">
        <v>3679</v>
      </c>
      <c r="P47" s="1334">
        <f>'Part I-Project Information'!P36</f>
        <v>1</v>
      </c>
    </row>
    <row r="48" spans="1:16" ht="13.8">
      <c r="A48" s="1333"/>
      <c r="B48" s="1330" t="s">
        <v>3733</v>
      </c>
      <c r="C48" s="1330"/>
      <c r="D48" s="1340"/>
      <c r="E48" s="1330"/>
      <c r="F48" s="1330" t="s">
        <v>3714</v>
      </c>
      <c r="G48" s="1800">
        <f>'Part I-Project Information'!G37</f>
        <v>31.732171999999998</v>
      </c>
      <c r="H48" s="1800">
        <f>'Part I-Project Information'!H37</f>
        <v>0</v>
      </c>
      <c r="I48" s="1334" t="s">
        <v>3715</v>
      </c>
      <c r="J48" s="1800">
        <f>'Part I-Project Information'!J37</f>
        <v>84.153563000000005</v>
      </c>
      <c r="K48" s="1800">
        <f>'Part I-Project Information'!K37</f>
        <v>0</v>
      </c>
      <c r="L48" s="1337" t="s">
        <v>2282</v>
      </c>
      <c r="M48" s="1330"/>
      <c r="N48" s="1330"/>
      <c r="O48" s="1801">
        <f>'Part I-Project Information'!O37</f>
        <v>5.7460000000000004</v>
      </c>
      <c r="P48" s="1801">
        <f>'Part I-Project Information'!P37</f>
        <v>0</v>
      </c>
    </row>
    <row r="49" spans="1:16" ht="14.4">
      <c r="A49" s="1328"/>
      <c r="B49" s="1330" t="s">
        <v>617</v>
      </c>
      <c r="C49" s="1330"/>
      <c r="D49" s="1330"/>
      <c r="E49" s="1330"/>
      <c r="F49" s="1330" t="str">
        <f>'Part I-Project Information'!F38</f>
        <v>Leesburg</v>
      </c>
      <c r="G49" s="1330">
        <f>'Part I-Project Information'!G38</f>
        <v>0</v>
      </c>
      <c r="H49" s="1330">
        <f>'Part I-Project Information'!H38</f>
        <v>0</v>
      </c>
      <c r="I49" s="1344" t="s">
        <v>4483</v>
      </c>
      <c r="J49" s="1798">
        <f>'Part I-Project Information'!J38</f>
        <v>317633787</v>
      </c>
      <c r="K49" s="1798">
        <f>'Part I-Project Information'!K38</f>
        <v>0</v>
      </c>
      <c r="L49" s="1311" t="str">
        <f>IF(AND(NOT(F45=""),NOT(F49="Select from list"),J49=""),"Enter Zip!","")</f>
        <v/>
      </c>
      <c r="M49" s="1345" t="s">
        <v>2904</v>
      </c>
      <c r="N49" s="1330"/>
      <c r="O49" s="1802" t="str">
        <f>'Part I-Project Information'!O38</f>
        <v>203.00</v>
      </c>
      <c r="P49" s="1803">
        <f>'Part I-Project Information'!P38</f>
        <v>0</v>
      </c>
    </row>
    <row r="50" spans="1:16" ht="13.8">
      <c r="A50" s="1328"/>
      <c r="B50" s="1330" t="s">
        <v>3566</v>
      </c>
      <c r="C50" s="1330"/>
      <c r="D50" s="1330"/>
      <c r="E50" s="1330"/>
      <c r="F50" s="1330" t="str">
        <f>'Part I-Project Information'!F39</f>
        <v>Within City Limits</v>
      </c>
      <c r="G50" s="1330">
        <f>'Part I-Project Information'!G39</f>
        <v>0</v>
      </c>
      <c r="H50" s="1330">
        <f>'Part I-Project Information'!H39</f>
        <v>0</v>
      </c>
      <c r="I50" s="1346" t="s">
        <v>618</v>
      </c>
      <c r="J50" s="1706" t="str">
        <f>'Part I-Project Information'!J39</f>
        <v>Lee</v>
      </c>
      <c r="K50" s="1706">
        <f>'Part I-Project Information'!K39</f>
        <v>0</v>
      </c>
      <c r="L50" s="1330"/>
      <c r="M50" s="1337" t="s">
        <v>451</v>
      </c>
      <c r="N50" s="1347" t="str">
        <f>'Part I-Project Information'!N39</f>
        <v>No</v>
      </c>
      <c r="O50" s="1334" t="s">
        <v>452</v>
      </c>
      <c r="P50" s="1347" t="str">
        <f>'Part I-Project Information'!P39</f>
        <v>No</v>
      </c>
    </row>
    <row r="51" spans="1:16" ht="13.8">
      <c r="A51" s="1328"/>
      <c r="B51" s="1311"/>
      <c r="C51" s="1330" t="s">
        <v>1557</v>
      </c>
      <c r="D51" s="1330"/>
      <c r="E51" s="1330"/>
      <c r="F51" s="1337" t="str">
        <f>'Part I-Project Information'!F40</f>
        <v>Yes</v>
      </c>
      <c r="G51" s="1330" t="s">
        <v>2779</v>
      </c>
      <c r="H51" s="1330"/>
      <c r="I51" s="1334" t="str">
        <f>'Part I-Project Information'!I40</f>
        <v>Yes</v>
      </c>
      <c r="J51" s="1334" t="s">
        <v>2799</v>
      </c>
      <c r="K51" s="1334" t="str">
        <f>'Part I-Project Information'!K40</f>
        <v>Rural</v>
      </c>
      <c r="L51" s="1330"/>
      <c r="M51" s="1337" t="s">
        <v>2610</v>
      </c>
      <c r="N51" s="1328" t="str">
        <f>'Part I-Project Information'!N40</f>
        <v>MSA</v>
      </c>
      <c r="O51" s="1330" t="str">
        <f>'Part I-Project Information'!O40</f>
        <v>Albany</v>
      </c>
      <c r="P51" s="1330">
        <f>'Part I-Project Information'!P40</f>
        <v>0</v>
      </c>
    </row>
    <row r="52" spans="1:16" ht="13.8">
      <c r="A52" s="1328"/>
      <c r="B52" s="1311"/>
      <c r="C52" s="1311"/>
      <c r="D52" s="1330"/>
      <c r="E52" s="1330"/>
      <c r="F52" s="1330"/>
      <c r="G52" s="1330"/>
      <c r="H52" s="1330"/>
      <c r="I52" s="1337"/>
      <c r="J52" s="1330"/>
      <c r="K52" s="1330"/>
      <c r="L52" s="1347"/>
      <c r="M52" s="1347"/>
      <c r="N52" s="1347"/>
      <c r="O52" s="1347"/>
      <c r="P52" s="1347"/>
    </row>
    <row r="53" spans="1:16" ht="13.8">
      <c r="A53" s="1328"/>
      <c r="B53" s="1330"/>
      <c r="C53" s="1330" t="s">
        <v>4484</v>
      </c>
      <c r="D53" s="1330"/>
      <c r="E53" s="1330"/>
      <c r="F53" s="1348" t="s">
        <v>2760</v>
      </c>
      <c r="G53" s="1348"/>
      <c r="H53" s="1330" t="s">
        <v>735</v>
      </c>
      <c r="I53" s="1330"/>
      <c r="J53" s="1330" t="s">
        <v>736</v>
      </c>
      <c r="K53" s="1330"/>
      <c r="L53" s="1349" t="s">
        <v>4485</v>
      </c>
      <c r="M53" s="1330"/>
      <c r="N53" s="1330"/>
      <c r="O53" s="1330"/>
      <c r="P53" s="1330"/>
    </row>
    <row r="54" spans="1:16" ht="13.8">
      <c r="A54" s="1328"/>
      <c r="B54" s="1330" t="s">
        <v>4486</v>
      </c>
      <c r="C54" s="1330"/>
      <c r="D54" s="1311"/>
      <c r="E54" s="1330"/>
      <c r="F54" s="1804">
        <f>'Part I-Project Information'!F43</f>
        <v>2</v>
      </c>
      <c r="G54" s="1804">
        <f>'Part I-Project Information'!G43</f>
        <v>0</v>
      </c>
      <c r="H54" s="1804">
        <f>'Part I-Project Information'!H43</f>
        <v>13</v>
      </c>
      <c r="I54" s="1804">
        <f>'Part I-Project Information'!I43</f>
        <v>0</v>
      </c>
      <c r="J54" s="1804">
        <f>'Part I-Project Information'!J43</f>
        <v>152</v>
      </c>
      <c r="K54" s="1804">
        <f>'Part I-Project Information'!K43</f>
        <v>0</v>
      </c>
      <c r="L54" s="1335" t="s">
        <v>1282</v>
      </c>
      <c r="M54" s="1330"/>
      <c r="N54" s="1350" t="s">
        <v>1283</v>
      </c>
      <c r="O54" s="1350"/>
      <c r="P54" s="1350"/>
    </row>
    <row r="55" spans="1:16" ht="13.8">
      <c r="A55" s="1328"/>
      <c r="B55" s="1337" t="s">
        <v>737</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2758</v>
      </c>
      <c r="M55" s="1330"/>
      <c r="N55" s="1351" t="s">
        <v>2757</v>
      </c>
      <c r="O55" s="1351"/>
      <c r="P55" s="1330"/>
    </row>
    <row r="56" spans="1:16" ht="13.8">
      <c r="A56" s="1328"/>
      <c r="B56" s="1330"/>
      <c r="C56" s="1330"/>
      <c r="D56" s="1330"/>
      <c r="E56" s="1330"/>
      <c r="F56" s="1330"/>
      <c r="G56" s="1330"/>
      <c r="H56" s="1330"/>
      <c r="I56" s="1347"/>
      <c r="J56" s="1347"/>
      <c r="K56" s="1347"/>
      <c r="L56" s="1330"/>
      <c r="M56" s="1330"/>
      <c r="N56" s="1330"/>
      <c r="O56" s="1330"/>
      <c r="P56" s="1330"/>
    </row>
    <row r="57" spans="1:16" ht="13.8">
      <c r="A57" s="1328"/>
      <c r="B57" s="1311" t="s">
        <v>636</v>
      </c>
      <c r="C57" s="1330"/>
      <c r="D57" s="1330"/>
      <c r="E57" s="1330"/>
      <c r="F57" s="1462" t="str">
        <f>'Part I-Project Information'!F46</f>
        <v>City of Leesburg</v>
      </c>
      <c r="G57" s="1462">
        <f>'Part I-Project Information'!G46</f>
        <v>0</v>
      </c>
      <c r="H57" s="1462">
        <f>'Part I-Project Information'!H46</f>
        <v>0</v>
      </c>
      <c r="I57" s="1462">
        <f>'Part I-Project Information'!I46</f>
        <v>0</v>
      </c>
      <c r="J57" s="1462">
        <f>'Part I-Project Information'!J46</f>
        <v>0</v>
      </c>
      <c r="K57" s="1462">
        <f>'Part I-Project Information'!K46</f>
        <v>0</v>
      </c>
      <c r="L57" s="1352" t="s">
        <v>2703</v>
      </c>
      <c r="M57" s="1330" t="str">
        <f>'Part I-Project Information'!M46</f>
        <v xml:space="preserve">http://www.cityofleesburgga.com/index.php </v>
      </c>
      <c r="N57" s="1330">
        <f>'Part I-Project Information'!N46</f>
        <v>0</v>
      </c>
      <c r="O57" s="1330">
        <f>'Part I-Project Information'!O46</f>
        <v>0</v>
      </c>
      <c r="P57" s="1330">
        <f>'Part I-Project Information'!P46</f>
        <v>0</v>
      </c>
    </row>
    <row r="58" spans="1:16" ht="13.8">
      <c r="A58" s="1328"/>
      <c r="B58" s="1330" t="s">
        <v>637</v>
      </c>
      <c r="C58" s="1330"/>
      <c r="D58" s="1330"/>
      <c r="E58" s="1330"/>
      <c r="F58" s="1462" t="str">
        <f>'Part I-Project Information'!F47</f>
        <v>Jim Quinn</v>
      </c>
      <c r="G58" s="1462">
        <f>'Part I-Project Information'!G47</f>
        <v>0</v>
      </c>
      <c r="H58" s="1462">
        <f>'Part I-Project Information'!H47</f>
        <v>0</v>
      </c>
      <c r="I58" s="1334" t="s">
        <v>1979</v>
      </c>
      <c r="J58" s="1330" t="str">
        <f>'Part I-Project Information'!J47</f>
        <v>Mayor</v>
      </c>
      <c r="K58" s="1330">
        <f>'Part I-Project Information'!K47</f>
        <v>0</v>
      </c>
      <c r="L58" s="1352"/>
      <c r="M58" s="1330"/>
      <c r="N58" s="1330"/>
      <c r="O58" s="1330"/>
      <c r="P58" s="1330"/>
    </row>
    <row r="59" spans="1:16" ht="13.8">
      <c r="A59" s="1328"/>
      <c r="B59" s="1330" t="s">
        <v>1980</v>
      </c>
      <c r="C59" s="1330"/>
      <c r="D59" s="1330"/>
      <c r="E59" s="1330"/>
      <c r="F59" s="1462" t="str">
        <f>'Part I-Project Information'!F48</f>
        <v>107 Walnut Ave South</v>
      </c>
      <c r="G59" s="1462">
        <f>'Part I-Project Information'!G48</f>
        <v>0</v>
      </c>
      <c r="H59" s="1462">
        <f>'Part I-Project Information'!H48</f>
        <v>0</v>
      </c>
      <c r="I59" s="1462">
        <f>'Part I-Project Information'!I48</f>
        <v>0</v>
      </c>
      <c r="J59" s="1462">
        <f>'Part I-Project Information'!J48</f>
        <v>0</v>
      </c>
      <c r="K59" s="1462">
        <f>'Part I-Project Information'!K48</f>
        <v>0</v>
      </c>
      <c r="L59" s="1337" t="s">
        <v>617</v>
      </c>
      <c r="M59" s="1462" t="str">
        <f>'Part I-Project Information'!M48</f>
        <v>Leesburg</v>
      </c>
      <c r="N59" s="1462">
        <f>'Part I-Project Information'!N48</f>
        <v>0</v>
      </c>
      <c r="O59" s="1462">
        <f>'Part I-Project Information'!O48</f>
        <v>0</v>
      </c>
      <c r="P59" s="1462">
        <f>'Part I-Project Information'!P48</f>
        <v>0</v>
      </c>
    </row>
    <row r="60" spans="1:16" ht="13.8">
      <c r="A60" s="1328"/>
      <c r="B60" s="1337" t="s">
        <v>2228</v>
      </c>
      <c r="C60" s="1330"/>
      <c r="D60" s="1330"/>
      <c r="E60" s="1330"/>
      <c r="F60" s="1798">
        <f>'Part I-Project Information'!F49</f>
        <v>317634366</v>
      </c>
      <c r="G60" s="1798">
        <f>'Part I-Project Information'!G49</f>
        <v>0</v>
      </c>
      <c r="H60" s="1334" t="s">
        <v>1981</v>
      </c>
      <c r="I60" s="1799">
        <f>'Part I-Project Information'!I49</f>
        <v>2297596465</v>
      </c>
      <c r="J60" s="1799">
        <f>'Part I-Project Information'!J49</f>
        <v>0</v>
      </c>
      <c r="K60" s="1799">
        <f>'Part I-Project Information'!K49</f>
        <v>0</v>
      </c>
      <c r="L60" s="1337" t="s">
        <v>1799</v>
      </c>
      <c r="M60" s="1462" t="str">
        <f>'Part I-Project Information'!M49</f>
        <v>spayne@cityofleesburgga.com</v>
      </c>
      <c r="N60" s="1462">
        <f>'Part I-Project Information'!N49</f>
        <v>0</v>
      </c>
      <c r="O60" s="1462">
        <f>'Part I-Project Information'!O49</f>
        <v>0</v>
      </c>
      <c r="P60" s="1462">
        <f>'Part I-Project Information'!P49</f>
        <v>0</v>
      </c>
    </row>
    <row r="61" spans="1:16" ht="13.8">
      <c r="A61" s="1328"/>
      <c r="B61" s="1328"/>
      <c r="C61" s="1353"/>
      <c r="D61" s="1344"/>
      <c r="E61" s="1344"/>
      <c r="F61" s="1334"/>
      <c r="G61" s="1334"/>
      <c r="H61" s="1334"/>
      <c r="I61" s="1334"/>
      <c r="J61" s="1344"/>
      <c r="K61" s="1334"/>
      <c r="L61" s="1334"/>
      <c r="M61" s="1330"/>
      <c r="N61" s="1330"/>
      <c r="O61" s="1330"/>
      <c r="P61" s="1343"/>
    </row>
    <row r="62" spans="1:16" ht="13.8">
      <c r="A62" s="1328"/>
      <c r="B62" s="1328"/>
      <c r="C62" s="1353"/>
      <c r="D62" s="1344"/>
      <c r="E62" s="1344"/>
      <c r="F62" s="1334"/>
      <c r="G62" s="1334"/>
      <c r="H62" s="1334"/>
      <c r="I62" s="1334"/>
      <c r="J62" s="1344"/>
      <c r="K62" s="1334"/>
      <c r="L62" s="1334"/>
      <c r="M62" s="1330"/>
      <c r="N62" s="1330"/>
      <c r="O62" s="1330"/>
      <c r="P62" s="1343"/>
    </row>
    <row r="63" spans="1:16" ht="13.8">
      <c r="A63" s="1331" t="s">
        <v>1793</v>
      </c>
      <c r="B63" s="1311" t="s">
        <v>1474</v>
      </c>
      <c r="C63" s="1330"/>
      <c r="D63" s="1330"/>
      <c r="E63" s="1330"/>
      <c r="F63" s="1354"/>
      <c r="G63" s="1330"/>
      <c r="H63" s="1330"/>
      <c r="I63" s="1337"/>
      <c r="J63" s="1330"/>
      <c r="K63" s="1330"/>
      <c r="L63" s="1330"/>
      <c r="M63" s="1330"/>
      <c r="N63" s="1330"/>
      <c r="O63" s="1330"/>
      <c r="P63" s="1330"/>
    </row>
    <row r="64" spans="1:16" ht="13.8">
      <c r="A64" s="1328"/>
      <c r="B64" s="1311"/>
      <c r="C64" s="1311"/>
      <c r="D64" s="1330"/>
      <c r="E64" s="1330"/>
      <c r="F64" s="1330"/>
      <c r="G64" s="1330"/>
      <c r="H64" s="1330"/>
      <c r="I64" s="1337"/>
      <c r="J64" s="1330"/>
      <c r="K64" s="1330"/>
      <c r="L64" s="1330"/>
      <c r="M64" s="1330"/>
      <c r="N64" s="1330"/>
      <c r="O64" s="1330"/>
      <c r="P64" s="1330"/>
    </row>
    <row r="65" spans="1:16" ht="13.8">
      <c r="A65" s="1328"/>
      <c r="B65" s="1328" t="s">
        <v>1982</v>
      </c>
      <c r="C65" s="1311" t="s">
        <v>4487</v>
      </c>
      <c r="D65" s="1330"/>
      <c r="E65" s="1330"/>
      <c r="F65" s="1330"/>
      <c r="G65" s="1330"/>
      <c r="H65" s="1330"/>
      <c r="I65" s="1330"/>
      <c r="J65" s="1330"/>
      <c r="K65" s="1335"/>
      <c r="L65" s="1330"/>
      <c r="M65" s="1350"/>
      <c r="N65" s="1350"/>
      <c r="O65" s="1350"/>
      <c r="P65" s="1350"/>
    </row>
    <row r="66" spans="1:16" ht="13.8">
      <c r="A66" s="1336"/>
      <c r="B66" s="1328"/>
      <c r="C66" s="1330" t="s">
        <v>2294</v>
      </c>
      <c r="D66" s="1330"/>
      <c r="E66" s="1330"/>
      <c r="F66" s="1336"/>
      <c r="G66" s="1336"/>
      <c r="H66" s="1355">
        <f>'Part VI-Revenues &amp; Expenses'!$O$103</f>
        <v>0</v>
      </c>
      <c r="I66" s="1336"/>
      <c r="J66" s="1336"/>
      <c r="K66" s="1337" t="s">
        <v>3671</v>
      </c>
      <c r="L66" s="1330"/>
      <c r="M66" s="1356" t="s">
        <v>3670</v>
      </c>
      <c r="N66" s="1355">
        <f>'Part VI-Revenues &amp; Expenses'!$O$110</f>
        <v>0</v>
      </c>
      <c r="O66" s="1357" t="s">
        <v>3355</v>
      </c>
      <c r="P66" s="1355">
        <f>'Part VI-Revenues &amp; Expenses'!$O$111</f>
        <v>0</v>
      </c>
    </row>
    <row r="67" spans="1:16" ht="13.8">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ht="13.8">
      <c r="A68" s="1330"/>
      <c r="B68" s="1328"/>
      <c r="C68" s="1337" t="s">
        <v>346</v>
      </c>
      <c r="D68" s="1330"/>
      <c r="E68" s="1330"/>
      <c r="F68" s="1330"/>
      <c r="G68" s="1330"/>
      <c r="H68" s="1355">
        <f>'Part VI-Revenues &amp; Expenses'!$O$106</f>
        <v>40</v>
      </c>
      <c r="I68" s="1359" t="s">
        <v>2908</v>
      </c>
      <c r="J68" s="1330"/>
      <c r="K68" s="1330" t="s">
        <v>348</v>
      </c>
      <c r="L68" s="1330"/>
      <c r="M68" s="1330"/>
      <c r="N68" s="1330"/>
      <c r="O68" s="1330"/>
      <c r="P68" s="1805">
        <f>'Part I-Project Information'!P56</f>
        <v>36109</v>
      </c>
    </row>
    <row r="69" spans="1:16" ht="13.8">
      <c r="A69" s="1328"/>
      <c r="B69" s="1330"/>
      <c r="C69" s="1330"/>
      <c r="D69" s="1330"/>
      <c r="E69" s="1330"/>
      <c r="F69" s="1330"/>
      <c r="G69" s="1330"/>
      <c r="H69" s="1330"/>
      <c r="I69" s="1330"/>
      <c r="J69" s="1330"/>
      <c r="K69" s="1330"/>
      <c r="L69" s="1330"/>
      <c r="M69" s="1330"/>
      <c r="N69" s="1330"/>
      <c r="O69" s="1330"/>
      <c r="P69" s="1330"/>
    </row>
    <row r="70" spans="1:16" ht="13.8">
      <c r="A70" s="1328"/>
      <c r="B70" s="1328" t="s">
        <v>1984</v>
      </c>
      <c r="C70" s="1311" t="s">
        <v>2295</v>
      </c>
      <c r="D70" s="1330"/>
      <c r="E70" s="1330"/>
      <c r="F70" s="1330"/>
      <c r="G70" s="1330"/>
      <c r="H70" s="1334" t="str">
        <f>'Part I-Project Information'!H58</f>
        <v>No</v>
      </c>
      <c r="I70" s="1330"/>
      <c r="J70" s="1330"/>
      <c r="K70" s="1330"/>
      <c r="L70" s="1330"/>
      <c r="M70" s="1330"/>
      <c r="N70" s="1330"/>
      <c r="O70" s="1350"/>
      <c r="P70" s="1335"/>
    </row>
    <row r="71" spans="1:16" ht="13.8">
      <c r="A71" s="1328"/>
      <c r="B71" s="1330"/>
      <c r="C71" s="1330"/>
      <c r="D71" s="1330"/>
      <c r="E71" s="1330"/>
      <c r="F71" s="1330"/>
      <c r="G71" s="1330"/>
      <c r="H71" s="1330"/>
      <c r="I71" s="1330"/>
      <c r="J71" s="1335"/>
      <c r="K71" s="1360"/>
      <c r="L71" s="1335"/>
      <c r="M71" s="1360"/>
      <c r="N71" s="1360"/>
      <c r="O71" s="1360"/>
      <c r="P71" s="1360"/>
    </row>
    <row r="72" spans="1:16" ht="13.8">
      <c r="A72" s="1328"/>
      <c r="B72" s="1333" t="s">
        <v>748</v>
      </c>
      <c r="C72" s="1311" t="s">
        <v>2275</v>
      </c>
      <c r="D72" s="1330"/>
      <c r="E72" s="1330"/>
      <c r="F72" s="1330"/>
      <c r="G72" s="1330"/>
      <c r="H72" s="1330"/>
      <c r="I72" s="1361" t="s">
        <v>3562</v>
      </c>
      <c r="J72" s="1333" t="s">
        <v>2114</v>
      </c>
      <c r="K72" s="1362" t="s">
        <v>2301</v>
      </c>
      <c r="L72" s="1330"/>
      <c r="M72" s="1330"/>
      <c r="N72" s="1330"/>
      <c r="O72" s="1330"/>
      <c r="P72" s="1334"/>
    </row>
    <row r="73" spans="1:16" ht="13.8">
      <c r="A73" s="1328"/>
      <c r="B73" s="1363"/>
      <c r="C73" s="1336" t="s">
        <v>2276</v>
      </c>
      <c r="D73" s="1330"/>
      <c r="E73" s="1330"/>
      <c r="F73" s="1330"/>
      <c r="G73" s="1330"/>
      <c r="H73" s="1364">
        <f>SUM(H74:H75)</f>
        <v>0</v>
      </c>
      <c r="I73" s="1364">
        <f>SUM(I74:I75)</f>
        <v>0</v>
      </c>
      <c r="J73" s="1328"/>
      <c r="K73" s="1336" t="s">
        <v>2771</v>
      </c>
      <c r="L73" s="1330"/>
      <c r="M73" s="1330"/>
      <c r="N73" s="1330"/>
      <c r="O73" s="1330"/>
      <c r="P73" s="1364">
        <f>'Part VI-Revenues &amp; Expenses'!$O$152</f>
        <v>34661</v>
      </c>
    </row>
    <row r="74" spans="1:16" ht="13.8">
      <c r="A74" s="1328"/>
      <c r="B74" s="1336"/>
      <c r="C74" s="1330"/>
      <c r="D74" s="1348" t="s">
        <v>385</v>
      </c>
      <c r="E74" s="1330"/>
      <c r="F74" s="1330"/>
      <c r="G74" s="1330"/>
      <c r="H74" s="1364">
        <f>'Part VI-Revenues &amp; Expenses'!$O$62</f>
        <v>0</v>
      </c>
      <c r="I74" s="1364">
        <f>'Part VI-Revenues &amp; Expenses'!$O$84</f>
        <v>0</v>
      </c>
      <c r="J74" s="1330"/>
      <c r="K74" s="1336" t="s">
        <v>2772</v>
      </c>
      <c r="L74" s="1330"/>
      <c r="M74" s="1330"/>
      <c r="N74" s="1330"/>
      <c r="O74" s="1330"/>
      <c r="P74" s="1364">
        <f>'Part VI-Revenues &amp; Expenses'!$O$153</f>
        <v>0</v>
      </c>
    </row>
    <row r="75" spans="1:16" ht="13.8">
      <c r="A75" s="1328"/>
      <c r="B75" s="1330"/>
      <c r="C75" s="1330"/>
      <c r="D75" s="1348" t="s">
        <v>1820</v>
      </c>
      <c r="E75" s="1348"/>
      <c r="F75" s="1330"/>
      <c r="G75" s="1330"/>
      <c r="H75" s="1364">
        <f>'Part VI-Revenues &amp; Expenses'!$O$56</f>
        <v>0</v>
      </c>
      <c r="I75" s="1364">
        <f>'Part VI-Revenues &amp; Expenses'!$O$83</f>
        <v>0</v>
      </c>
      <c r="J75" s="1330"/>
      <c r="K75" s="1336" t="s">
        <v>2773</v>
      </c>
      <c r="L75" s="1330"/>
      <c r="M75" s="1330"/>
      <c r="N75" s="1330"/>
      <c r="O75" s="1330"/>
      <c r="P75" s="1364">
        <f>P73+P74</f>
        <v>34661</v>
      </c>
    </row>
    <row r="76" spans="1:16" ht="13.8">
      <c r="A76" s="1328"/>
      <c r="B76" s="1330"/>
      <c r="C76" s="1336" t="s">
        <v>253</v>
      </c>
      <c r="D76" s="1330"/>
      <c r="E76" s="1330"/>
      <c r="F76" s="1330"/>
      <c r="G76" s="1330"/>
      <c r="H76" s="1364">
        <f>'Part VI-Revenues &amp; Expenses'!$O$64</f>
        <v>0</v>
      </c>
      <c r="I76" s="1330"/>
      <c r="J76" s="1328"/>
      <c r="K76" s="1336" t="s">
        <v>2774</v>
      </c>
      <c r="L76" s="1330"/>
      <c r="M76" s="1330"/>
      <c r="N76" s="1330"/>
      <c r="O76" s="1330"/>
      <c r="P76" s="1364">
        <f>'Part VI-Revenues &amp; Expenses'!$O$155</f>
        <v>915</v>
      </c>
    </row>
    <row r="77" spans="1:16" ht="13.8">
      <c r="A77" s="1328"/>
      <c r="B77" s="1330"/>
      <c r="C77" s="1336" t="s">
        <v>2406</v>
      </c>
      <c r="D77" s="1330"/>
      <c r="E77" s="1330"/>
      <c r="F77" s="1330"/>
      <c r="G77" s="1330"/>
      <c r="H77" s="1364">
        <f>H73+H76</f>
        <v>0</v>
      </c>
      <c r="I77" s="1330"/>
      <c r="J77" s="1328"/>
      <c r="K77" s="1336" t="s">
        <v>1419</v>
      </c>
      <c r="L77" s="1330"/>
      <c r="M77" s="1330"/>
      <c r="N77" s="1330"/>
      <c r="O77" s="1330"/>
      <c r="P77" s="1364">
        <f>+P75+P76</f>
        <v>35576</v>
      </c>
    </row>
    <row r="78" spans="1:16" ht="13.8">
      <c r="A78" s="1328"/>
      <c r="B78" s="1330"/>
      <c r="C78" s="1336" t="s">
        <v>2407</v>
      </c>
      <c r="D78" s="1330"/>
      <c r="E78" s="1330"/>
      <c r="F78" s="1330"/>
      <c r="G78" s="1330"/>
      <c r="H78" s="1364">
        <f>'Part VI-Revenues &amp; Expenses'!$O$66</f>
        <v>1</v>
      </c>
      <c r="I78" s="1330"/>
      <c r="J78" s="1328"/>
      <c r="K78" s="1330"/>
      <c r="L78" s="1330"/>
      <c r="M78" s="1330"/>
      <c r="N78" s="1330"/>
      <c r="O78" s="1330"/>
      <c r="P78" s="1330"/>
    </row>
    <row r="79" spans="1:16" ht="13.8">
      <c r="A79" s="1328"/>
      <c r="B79" s="1330"/>
      <c r="C79" s="1336" t="s">
        <v>1792</v>
      </c>
      <c r="D79" s="1330"/>
      <c r="E79" s="1330"/>
      <c r="F79" s="1330"/>
      <c r="G79" s="1330"/>
      <c r="H79" s="1364">
        <f>+H77+H78</f>
        <v>1</v>
      </c>
      <c r="I79" s="1330"/>
      <c r="J79" s="1330"/>
      <c r="K79" s="1330"/>
      <c r="L79" s="1330"/>
      <c r="M79" s="1330"/>
      <c r="N79" s="1330"/>
      <c r="O79" s="1330"/>
      <c r="P79" s="1330"/>
    </row>
    <row r="80" spans="1:16" ht="13.8">
      <c r="A80" s="1328"/>
      <c r="B80" s="1330"/>
      <c r="C80" s="1330"/>
      <c r="D80" s="1330"/>
      <c r="E80" s="1330"/>
      <c r="F80" s="1330"/>
      <c r="G80" s="1330"/>
      <c r="H80" s="1330"/>
      <c r="I80" s="1334"/>
      <c r="J80" s="1330"/>
      <c r="K80" s="1330"/>
      <c r="L80" s="1334"/>
      <c r="M80" s="1334"/>
      <c r="N80" s="1330"/>
      <c r="O80" s="1330"/>
      <c r="P80" s="1343"/>
    </row>
    <row r="81" spans="1:16" ht="13.8">
      <c r="A81" s="1328"/>
      <c r="B81" s="1328" t="s">
        <v>1734</v>
      </c>
      <c r="C81" s="1311" t="s">
        <v>2296</v>
      </c>
      <c r="D81" s="1348" t="s">
        <v>1995</v>
      </c>
      <c r="E81" s="1330"/>
      <c r="F81" s="1330"/>
      <c r="G81" s="1330"/>
      <c r="H81" s="1364">
        <f>'Part I-Project Information'!H74</f>
        <v>5</v>
      </c>
      <c r="I81" s="1330"/>
      <c r="J81" s="1330"/>
      <c r="K81" s="1336" t="s">
        <v>4057</v>
      </c>
      <c r="L81" s="1330"/>
      <c r="M81" s="1330"/>
      <c r="N81" s="1330"/>
      <c r="O81" s="1330"/>
      <c r="P81" s="1364">
        <f>'Part I-Project Information'!P74</f>
        <v>1396</v>
      </c>
    </row>
    <row r="82" spans="1:16" ht="13.8">
      <c r="A82" s="1328"/>
      <c r="B82" s="1328"/>
      <c r="C82" s="1330"/>
      <c r="D82" s="1363" t="s">
        <v>1996</v>
      </c>
      <c r="E82" s="1330"/>
      <c r="F82" s="1330"/>
      <c r="G82" s="1330"/>
      <c r="H82" s="1364">
        <f>'Part I-Project Information'!H75</f>
        <v>1</v>
      </c>
      <c r="I82" s="1330"/>
      <c r="J82" s="1330"/>
      <c r="K82" s="1336" t="s">
        <v>252</v>
      </c>
      <c r="L82" s="1330"/>
      <c r="M82" s="1330"/>
      <c r="N82" s="1330"/>
      <c r="O82" s="1330"/>
      <c r="P82" s="1364">
        <f>+P77+P81</f>
        <v>36972</v>
      </c>
    </row>
    <row r="83" spans="1:16" ht="13.8">
      <c r="A83" s="1328"/>
      <c r="B83" s="1328"/>
      <c r="C83" s="1330"/>
      <c r="D83" s="1363" t="s">
        <v>1997</v>
      </c>
      <c r="E83" s="1330"/>
      <c r="F83" s="1330"/>
      <c r="G83" s="1330"/>
      <c r="H83" s="1364">
        <f>+H81+H82</f>
        <v>6</v>
      </c>
      <c r="I83" s="1330"/>
      <c r="J83" s="1330"/>
      <c r="K83" s="1330"/>
      <c r="L83" s="1330"/>
      <c r="M83" s="1330"/>
      <c r="N83" s="1330"/>
      <c r="O83" s="1330"/>
      <c r="P83" s="1330"/>
    </row>
    <row r="84" spans="1:16" ht="13.8">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1735</v>
      </c>
      <c r="C85" s="1311" t="s">
        <v>2841</v>
      </c>
      <c r="D85" s="1330"/>
      <c r="E85" s="1330"/>
      <c r="F85" s="1330"/>
      <c r="G85" s="1330"/>
      <c r="H85" s="1364">
        <f>'Part I-Project Information'!H78</f>
        <v>60</v>
      </c>
      <c r="I85" s="1330"/>
      <c r="J85" s="1330"/>
      <c r="K85" s="1365" t="s">
        <v>3851</v>
      </c>
      <c r="L85" s="1365"/>
      <c r="M85" s="1365"/>
      <c r="N85" s="1365"/>
      <c r="O85" s="1365"/>
      <c r="P85" s="1365"/>
    </row>
    <row r="86" spans="1:16" ht="13.8">
      <c r="A86" s="1328"/>
      <c r="B86" s="1328"/>
      <c r="C86" s="1336"/>
      <c r="D86" s="1330"/>
      <c r="E86" s="1330"/>
      <c r="F86" s="1330"/>
      <c r="G86" s="1334"/>
      <c r="H86" s="1330"/>
      <c r="I86" s="1336"/>
      <c r="J86" s="1336"/>
      <c r="K86" s="1365"/>
      <c r="L86" s="1365"/>
      <c r="M86" s="1365"/>
      <c r="N86" s="1365"/>
      <c r="O86" s="1365"/>
      <c r="P86" s="1365"/>
    </row>
    <row r="87" spans="1:16" ht="13.8">
      <c r="A87" s="1328" t="s">
        <v>529</v>
      </c>
      <c r="B87" s="1366" t="s">
        <v>1190</v>
      </c>
      <c r="C87" s="1330"/>
      <c r="D87" s="1366"/>
      <c r="E87" s="1366"/>
      <c r="F87" s="1330"/>
      <c r="G87" s="1334"/>
      <c r="H87" s="1330"/>
      <c r="I87" s="1330"/>
      <c r="J87" s="1330"/>
      <c r="K87" s="1365"/>
      <c r="L87" s="1365"/>
      <c r="M87" s="1365"/>
      <c r="N87" s="1365"/>
      <c r="O87" s="1365"/>
      <c r="P87" s="1365"/>
    </row>
    <row r="88" spans="1:16" ht="13.8">
      <c r="A88" s="1328"/>
      <c r="B88" s="1330"/>
      <c r="C88" s="1367"/>
      <c r="D88" s="1367"/>
      <c r="E88" s="1367"/>
      <c r="F88" s="1330"/>
      <c r="G88" s="1334"/>
      <c r="H88" s="1330"/>
      <c r="I88" s="1330"/>
      <c r="J88" s="1330"/>
      <c r="K88" s="1330"/>
      <c r="L88" s="1330"/>
      <c r="M88" s="1330"/>
      <c r="N88" s="1330"/>
      <c r="O88" s="1330"/>
      <c r="P88" s="1343"/>
    </row>
    <row r="89" spans="1:16" ht="13.8">
      <c r="A89" s="1328"/>
      <c r="B89" s="1328" t="s">
        <v>1982</v>
      </c>
      <c r="C89" s="1331" t="s">
        <v>4488</v>
      </c>
      <c r="D89" s="1367"/>
      <c r="E89" s="1367"/>
      <c r="F89" s="1330"/>
      <c r="G89" s="1334"/>
      <c r="H89" s="1348" t="str">
        <f>'Part I-Project Information'!H82</f>
        <v>Family</v>
      </c>
      <c r="I89" s="1348">
        <f>'Part I-Project Information'!I82</f>
        <v>0</v>
      </c>
      <c r="J89" s="1330"/>
      <c r="K89" s="1330" t="s">
        <v>1771</v>
      </c>
      <c r="L89" s="1330"/>
      <c r="M89" s="1330">
        <f>'Part I-Project Information'!M82</f>
        <v>0</v>
      </c>
      <c r="N89" s="1330">
        <f>'Part I-Project Information'!N82</f>
        <v>0</v>
      </c>
      <c r="O89" s="1330">
        <f>'Part I-Project Information'!O82</f>
        <v>0</v>
      </c>
      <c r="P89" s="1330">
        <f>'Part I-Project Information'!P82</f>
        <v>0</v>
      </c>
    </row>
    <row r="90" spans="1:16" ht="13.8">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3871</v>
      </c>
      <c r="I91" s="1365"/>
      <c r="J91" s="1330"/>
      <c r="K91" s="1368" t="s">
        <v>2909</v>
      </c>
      <c r="L91" s="1364">
        <f>'Part I-Project Information'!M84</f>
        <v>40</v>
      </c>
      <c r="M91" s="1368" t="s">
        <v>2910</v>
      </c>
      <c r="N91" s="1364">
        <f>'Part I-Project Information'!O84</f>
        <v>0</v>
      </c>
      <c r="O91" s="1330"/>
      <c r="P91" s="1340" t="s">
        <v>3873</v>
      </c>
    </row>
    <row r="92" spans="1:16" ht="13.8">
      <c r="A92" s="1328"/>
      <c r="B92" s="1328"/>
      <c r="C92" s="1330"/>
      <c r="D92" s="1337"/>
      <c r="E92" s="1367"/>
      <c r="F92" s="1330"/>
      <c r="G92" s="1330"/>
      <c r="H92" s="1365"/>
      <c r="I92" s="1365"/>
      <c r="J92" s="1330"/>
      <c r="K92" s="1340" t="s">
        <v>2911</v>
      </c>
      <c r="L92" s="1364">
        <f>'Part I-Project Information'!M85</f>
        <v>0</v>
      </c>
      <c r="M92" s="1340" t="s">
        <v>3872</v>
      </c>
      <c r="N92" s="1364">
        <f>'Part I-Project Information'!O85</f>
        <v>0</v>
      </c>
      <c r="O92" s="1330"/>
      <c r="P92" s="1364">
        <f>'Part I-Project Information'!P85</f>
        <v>0</v>
      </c>
    </row>
    <row r="93" spans="1:16" ht="13.8">
      <c r="A93" s="1328"/>
      <c r="B93" s="1328"/>
      <c r="C93" s="1330"/>
      <c r="D93" s="1363"/>
      <c r="E93" s="1363"/>
      <c r="F93" s="1363"/>
      <c r="G93" s="1363"/>
      <c r="H93" s="1330"/>
      <c r="I93" s="1334"/>
      <c r="J93" s="1330"/>
      <c r="K93" s="1337"/>
      <c r="L93" s="1337"/>
      <c r="M93" s="1334"/>
      <c r="N93" s="1330"/>
      <c r="O93" s="1330"/>
      <c r="P93" s="1343"/>
    </row>
    <row r="94" spans="1:16" ht="13.8">
      <c r="A94" s="1328"/>
      <c r="B94" s="1328" t="s">
        <v>1984</v>
      </c>
      <c r="C94" s="1311" t="s">
        <v>1410</v>
      </c>
      <c r="D94" s="1330"/>
      <c r="E94" s="1348"/>
      <c r="F94" s="1363" t="s">
        <v>795</v>
      </c>
      <c r="G94" s="1330"/>
      <c r="H94" s="1364">
        <f>'Part VIII-Threshold Criteria'!K306</f>
        <v>4</v>
      </c>
      <c r="I94" s="1330"/>
      <c r="J94" s="1330"/>
      <c r="K94" s="1330" t="s">
        <v>519</v>
      </c>
      <c r="L94" s="1330"/>
      <c r="M94" s="1330"/>
      <c r="N94" s="1369">
        <f>IF('Part VI-Revenues &amp; Expenses'!$O$67=0,0,H94/'Part VI-Revenues &amp; Expenses'!$O$67)</f>
        <v>0.1</v>
      </c>
      <c r="O94" s="1340" t="s">
        <v>3693</v>
      </c>
      <c r="P94" s="1370">
        <f>'DCA Underwriting Assumptions'!$Q$139</f>
        <v>0.05</v>
      </c>
    </row>
    <row r="95" spans="1:16" ht="13.8">
      <c r="A95" s="1328"/>
      <c r="B95" s="1328"/>
      <c r="C95" s="1330"/>
      <c r="D95" s="1363" t="s">
        <v>2839</v>
      </c>
      <c r="E95" s="1363"/>
      <c r="F95" s="1363" t="s">
        <v>795</v>
      </c>
      <c r="G95" s="1330"/>
      <c r="H95" s="1364" t="e">
        <f>'Part VIII-Threshold Criteria'!#REF!</f>
        <v>#REF!</v>
      </c>
      <c r="I95" s="1330"/>
      <c r="J95" s="1330"/>
      <c r="K95" s="1330" t="s">
        <v>2840</v>
      </c>
      <c r="L95" s="1330"/>
      <c r="M95" s="1330"/>
      <c r="N95" s="1369" t="e">
        <f>IF(H94=0,0,H95/H94)</f>
        <v>#REF!</v>
      </c>
      <c r="O95" s="1340" t="s">
        <v>3693</v>
      </c>
      <c r="P95" s="1370">
        <f>'DCA Underwriting Assumptions'!$Q$140</f>
        <v>0.4</v>
      </c>
    </row>
    <row r="96" spans="1:16" ht="13.8">
      <c r="A96" s="1328"/>
      <c r="B96" s="1328"/>
      <c r="C96" s="1330"/>
      <c r="D96" s="1363"/>
      <c r="E96" s="1363"/>
      <c r="F96" s="1363"/>
      <c r="G96" s="1330"/>
      <c r="H96" s="1330"/>
      <c r="I96" s="1334"/>
      <c r="J96" s="1330"/>
      <c r="K96" s="1337"/>
      <c r="L96" s="1337"/>
      <c r="M96" s="1334"/>
      <c r="N96" s="1334"/>
      <c r="O96" s="1330"/>
      <c r="P96" s="1334"/>
    </row>
    <row r="97" spans="1:16" ht="13.8">
      <c r="A97" s="1328"/>
      <c r="B97" s="1328" t="s">
        <v>748</v>
      </c>
      <c r="C97" s="1311" t="s">
        <v>1843</v>
      </c>
      <c r="D97" s="1348"/>
      <c r="E97" s="1348"/>
      <c r="F97" s="1363" t="s">
        <v>795</v>
      </c>
      <c r="G97" s="1330"/>
      <c r="H97" s="1364">
        <f>'Part VIII-Threshold Criteria'!K308</f>
        <v>0</v>
      </c>
      <c r="I97" s="1330"/>
      <c r="J97" s="1330"/>
      <c r="K97" s="1330" t="s">
        <v>519</v>
      </c>
      <c r="L97" s="1330"/>
      <c r="M97" s="1330"/>
      <c r="N97" s="1369">
        <f>IF('Part VI-Revenues &amp; Expenses'!$O$67=0,0,H97/'Part VI-Revenues &amp; Expenses'!$O$67)</f>
        <v>0</v>
      </c>
      <c r="O97" s="1340" t="s">
        <v>3693</v>
      </c>
      <c r="P97" s="1370">
        <f>'DCA Underwriting Assumptions'!$Q$141</f>
        <v>0.02</v>
      </c>
    </row>
    <row r="98" spans="1:16" ht="13.8">
      <c r="A98" s="1328"/>
      <c r="B98" s="1328"/>
      <c r="C98" s="1330"/>
      <c r="D98" s="1363"/>
      <c r="E98" s="1363"/>
      <c r="F98" s="1363"/>
      <c r="G98" s="1363"/>
      <c r="H98" s="1330"/>
      <c r="I98" s="1334"/>
      <c r="J98" s="1334"/>
      <c r="K98" s="1334"/>
      <c r="L98" s="1334"/>
      <c r="M98" s="1334"/>
      <c r="N98" s="1330"/>
      <c r="O98" s="1330"/>
      <c r="P98" s="1343"/>
    </row>
    <row r="99" spans="1:16" ht="13.8">
      <c r="A99" s="1362" t="s">
        <v>771</v>
      </c>
      <c r="B99" s="1367" t="s">
        <v>2376</v>
      </c>
      <c r="C99" s="1330"/>
      <c r="D99" s="1363"/>
      <c r="E99" s="1363"/>
      <c r="F99" s="1363"/>
      <c r="G99" s="1363"/>
      <c r="H99" s="1363"/>
      <c r="I99" s="1334"/>
      <c r="J99" s="1330"/>
      <c r="K99" s="1330"/>
      <c r="L99" s="1330"/>
      <c r="M99" s="1334"/>
      <c r="N99" s="1330"/>
      <c r="O99" s="1330"/>
      <c r="P99" s="1343"/>
    </row>
    <row r="100" spans="1:16" ht="13.8">
      <c r="A100" s="1328"/>
      <c r="B100" s="1328"/>
      <c r="C100" s="1367"/>
      <c r="D100" s="1363"/>
      <c r="E100" s="1363"/>
      <c r="F100" s="1363"/>
      <c r="G100" s="1330"/>
      <c r="H100" s="1330"/>
      <c r="I100" s="1330"/>
      <c r="J100" s="1330"/>
      <c r="K100" s="1330"/>
      <c r="L100" s="1334"/>
      <c r="M100" s="1334"/>
      <c r="N100" s="1330"/>
      <c r="O100" s="1330"/>
      <c r="P100" s="1343"/>
    </row>
    <row r="101" spans="1:16" ht="13.8">
      <c r="A101" s="1328"/>
      <c r="B101" s="1328" t="s">
        <v>1982</v>
      </c>
      <c r="C101" s="1331" t="s">
        <v>2375</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ht="13.8">
      <c r="A102" s="1328"/>
      <c r="B102" s="1328"/>
      <c r="C102" s="1330"/>
      <c r="D102" s="1363"/>
      <c r="E102" s="1363"/>
      <c r="F102" s="1363"/>
      <c r="G102" s="1363"/>
      <c r="H102" s="1330"/>
      <c r="I102" s="1334"/>
      <c r="J102" s="1334"/>
      <c r="K102" s="1334"/>
      <c r="L102" s="1334"/>
      <c r="M102" s="1334"/>
      <c r="N102" s="1330"/>
      <c r="O102" s="1330"/>
      <c r="P102" s="1343"/>
    </row>
    <row r="103" spans="1:16" ht="13.8">
      <c r="A103" s="1330"/>
      <c r="B103" s="1328" t="s">
        <v>1984</v>
      </c>
      <c r="C103" s="1311" t="s">
        <v>1533</v>
      </c>
      <c r="D103" s="1330"/>
      <c r="E103" s="1330"/>
      <c r="F103" s="1330"/>
      <c r="G103" s="1330"/>
      <c r="H103" s="1330"/>
      <c r="I103" s="1330"/>
      <c r="J103" s="1330"/>
      <c r="K103" s="1337" t="s">
        <v>868</v>
      </c>
      <c r="L103" s="1330"/>
      <c r="M103" s="1330"/>
      <c r="N103" s="1371"/>
      <c r="O103" s="1330"/>
      <c r="P103" s="1334" t="str">
        <f>'Part I-Project Information'!P96</f>
        <v>N/a</v>
      </c>
    </row>
    <row r="104" spans="1:16" ht="13.8">
      <c r="A104" s="1328"/>
      <c r="B104" s="1328"/>
      <c r="C104" s="1311"/>
      <c r="D104" s="1363"/>
      <c r="E104" s="1363"/>
      <c r="F104" s="1363"/>
      <c r="G104" s="1363"/>
      <c r="H104" s="1330"/>
      <c r="I104" s="1334"/>
      <c r="J104" s="1334"/>
      <c r="K104" s="1334"/>
      <c r="L104" s="1334"/>
      <c r="M104" s="1334"/>
      <c r="N104" s="1330"/>
      <c r="O104" s="1330"/>
      <c r="P104" s="1343"/>
    </row>
    <row r="105" spans="1:16" ht="13.8">
      <c r="A105" s="1362" t="s">
        <v>292</v>
      </c>
      <c r="B105" s="1367" t="s">
        <v>2040</v>
      </c>
      <c r="C105" s="1330"/>
      <c r="D105" s="1363"/>
      <c r="E105" s="1330"/>
      <c r="F105" s="1330"/>
      <c r="G105" s="1330"/>
      <c r="H105" s="1330"/>
      <c r="I105" s="1330"/>
      <c r="J105" s="1330"/>
      <c r="K105" s="1330"/>
      <c r="L105" s="1330"/>
      <c r="M105" s="1330"/>
      <c r="N105" s="1330"/>
      <c r="O105" s="1330"/>
      <c r="P105" s="1330"/>
    </row>
    <row r="106" spans="1:16" ht="13.8">
      <c r="A106" s="1328"/>
      <c r="B106" s="1328"/>
      <c r="C106" s="1330"/>
      <c r="D106" s="1363"/>
      <c r="E106" s="1330"/>
      <c r="F106" s="1330"/>
      <c r="G106" s="1330"/>
      <c r="H106" s="1330"/>
      <c r="I106" s="1330"/>
      <c r="J106" s="1330"/>
      <c r="K106" s="1330"/>
      <c r="L106" s="1330"/>
      <c r="M106" s="1330"/>
      <c r="N106" s="1330"/>
      <c r="O106" s="1330"/>
      <c r="P106" s="1343"/>
    </row>
    <row r="107" spans="1:16" ht="13.8">
      <c r="A107" s="1362"/>
      <c r="B107" s="1328" t="s">
        <v>1982</v>
      </c>
      <c r="C107" s="1311" t="s">
        <v>2707</v>
      </c>
      <c r="D107" s="1330"/>
      <c r="E107" s="1330"/>
      <c r="F107" s="1348" t="s">
        <v>2599</v>
      </c>
      <c r="G107" s="1330"/>
      <c r="H107" s="1334" t="str">
        <f>'Part I-Project Information'!H100</f>
        <v>No</v>
      </c>
      <c r="I107" s="1330"/>
      <c r="J107" s="1330"/>
      <c r="K107" s="1348" t="s">
        <v>3895</v>
      </c>
      <c r="L107" s="1334" t="str">
        <f>'Part I-Project Information'!H101</f>
        <v>No</v>
      </c>
      <c r="M107" s="1330"/>
      <c r="N107" s="1330"/>
      <c r="O107" s="1340" t="s">
        <v>3889</v>
      </c>
      <c r="P107" s="1334" t="str">
        <f>'Part I-Project Information'!P100</f>
        <v>Yes</v>
      </c>
    </row>
    <row r="108" spans="1:16" ht="13.8">
      <c r="A108" s="1328"/>
      <c r="B108" s="1328"/>
      <c r="C108" s="1367"/>
      <c r="D108" s="1330"/>
      <c r="E108" s="1330"/>
      <c r="F108" s="1363"/>
      <c r="G108" s="1330"/>
      <c r="H108" s="1363"/>
      <c r="I108" s="1330"/>
      <c r="J108" s="1334"/>
      <c r="K108" s="1334"/>
      <c r="L108" s="1334"/>
      <c r="M108" s="1334"/>
      <c r="N108" s="1334"/>
      <c r="O108" s="1330"/>
      <c r="P108" s="1343"/>
    </row>
    <row r="109" spans="1:16" ht="13.8">
      <c r="A109" s="1362"/>
      <c r="B109" s="1328" t="s">
        <v>1984</v>
      </c>
      <c r="C109" s="1311" t="s">
        <v>2708</v>
      </c>
      <c r="D109" s="1330"/>
      <c r="E109" s="1330"/>
      <c r="F109" s="1337" t="s">
        <v>2678</v>
      </c>
      <c r="G109" s="1330"/>
      <c r="H109" s="1334" t="str">
        <f>'Part I-Project Information'!H103</f>
        <v>No</v>
      </c>
      <c r="I109" s="1372" t="s">
        <v>2709</v>
      </c>
      <c r="J109" s="1334"/>
      <c r="K109" s="1330"/>
      <c r="L109" s="1334"/>
      <c r="M109" s="1330"/>
      <c r="N109" s="1330"/>
      <c r="O109" s="1330"/>
      <c r="P109" s="1330"/>
    </row>
    <row r="110" spans="1:16" ht="13.8">
      <c r="A110" s="1328"/>
      <c r="B110" s="1328"/>
      <c r="C110" s="1311"/>
      <c r="D110" s="1363"/>
      <c r="E110" s="1363"/>
      <c r="F110" s="1363"/>
      <c r="G110" s="1363"/>
      <c r="H110" s="1330"/>
      <c r="I110" s="1334"/>
      <c r="J110" s="1334"/>
      <c r="K110" s="1334"/>
      <c r="L110" s="1334"/>
      <c r="M110" s="1334"/>
      <c r="N110" s="1330"/>
      <c r="O110" s="1330"/>
      <c r="P110" s="1343"/>
    </row>
    <row r="111" spans="1:16" ht="13.8">
      <c r="A111" s="1362" t="s">
        <v>426</v>
      </c>
      <c r="B111" s="1367" t="s">
        <v>2781</v>
      </c>
      <c r="C111" s="1330"/>
      <c r="D111" s="1363"/>
      <c r="E111" s="1330"/>
      <c r="F111" s="1330"/>
      <c r="G111" s="1330"/>
      <c r="H111" s="1330" t="str">
        <f>'Part I-Project Information'!H105</f>
        <v>Rural</v>
      </c>
      <c r="I111" s="1330">
        <f>'Part I-Project Information'!I105</f>
        <v>0</v>
      </c>
      <c r="J111" s="1334"/>
      <c r="K111" s="1330"/>
      <c r="L111" s="1330"/>
      <c r="M111" s="1330"/>
      <c r="N111" s="1330"/>
      <c r="O111" s="1330"/>
      <c r="P111" s="1330"/>
    </row>
    <row r="112" spans="1:16" ht="13.8">
      <c r="A112" s="1328"/>
      <c r="B112" s="1330"/>
      <c r="C112" s="1330"/>
      <c r="D112" s="1344"/>
      <c r="E112" s="1330"/>
      <c r="F112" s="1330"/>
      <c r="G112" s="1330"/>
      <c r="H112" s="1330"/>
      <c r="I112" s="1344"/>
      <c r="J112" s="1336"/>
      <c r="K112" s="1330"/>
      <c r="L112" s="1330"/>
      <c r="M112" s="1330"/>
      <c r="N112" s="1330"/>
      <c r="O112" s="1330"/>
      <c r="P112" s="1343"/>
    </row>
    <row r="113" spans="1:16" ht="13.8">
      <c r="A113" s="1362" t="s">
        <v>362</v>
      </c>
      <c r="B113" s="1362" t="s">
        <v>1188</v>
      </c>
      <c r="C113" s="1330"/>
      <c r="D113" s="1330"/>
      <c r="E113" s="1330"/>
      <c r="F113" s="1330"/>
      <c r="G113" s="1330"/>
      <c r="H113" s="1330"/>
      <c r="I113" s="1344"/>
      <c r="J113" s="1336"/>
      <c r="K113" s="1330"/>
      <c r="L113" s="1330"/>
      <c r="M113" s="1330"/>
      <c r="N113" s="1330"/>
      <c r="O113" s="1330"/>
      <c r="P113" s="1343"/>
    </row>
    <row r="114" spans="1:16" ht="13.8">
      <c r="A114" s="1362"/>
      <c r="B114" s="1328"/>
      <c r="C114" s="1362"/>
      <c r="D114" s="1330"/>
      <c r="E114" s="1330"/>
      <c r="F114" s="1330"/>
      <c r="G114" s="1330"/>
      <c r="H114" s="1330"/>
      <c r="I114" s="1344"/>
      <c r="J114" s="1336"/>
      <c r="K114" s="1330"/>
      <c r="L114" s="1330"/>
      <c r="M114" s="1330"/>
      <c r="N114" s="1330"/>
      <c r="O114" s="1330"/>
      <c r="P114" s="1330"/>
    </row>
    <row r="115" spans="1:16" ht="13.8">
      <c r="A115" s="1328"/>
      <c r="B115" s="1328"/>
      <c r="C115" s="1336" t="s">
        <v>551</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552</v>
      </c>
      <c r="N115" s="1348"/>
      <c r="O115" s="1806">
        <f>'Part I-Project Information'!O109</f>
        <v>0</v>
      </c>
      <c r="P115" s="1806">
        <f>'Part I-Project Information'!P109</f>
        <v>0</v>
      </c>
    </row>
    <row r="116" spans="1:16" ht="13.8">
      <c r="A116" s="1330"/>
      <c r="B116" s="1330"/>
      <c r="C116" s="1337" t="s">
        <v>1020</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807</v>
      </c>
      <c r="N116" s="1348"/>
      <c r="O116" s="1706">
        <f>'Part I-Project Information'!O110</f>
        <v>0</v>
      </c>
      <c r="P116" s="1706">
        <f>'Part I-Project Information'!P110</f>
        <v>0</v>
      </c>
    </row>
    <row r="117" spans="1:16" ht="13.8">
      <c r="A117" s="1330"/>
      <c r="B117" s="1330"/>
      <c r="C117" s="1337" t="s">
        <v>617</v>
      </c>
      <c r="D117" s="1330"/>
      <c r="E117" s="1330">
        <f>'Part I-Project Information'!E111</f>
        <v>0</v>
      </c>
      <c r="F117" s="1348">
        <f>'Part I-Project Information'!F111</f>
        <v>0</v>
      </c>
      <c r="G117" s="1348">
        <f>'Part I-Project Information'!G111</f>
        <v>0</v>
      </c>
      <c r="H117" s="1334" t="s">
        <v>1798</v>
      </c>
      <c r="I117" s="1334">
        <f>'Part I-Project Information'!I111</f>
        <v>0</v>
      </c>
      <c r="J117" s="1334" t="s">
        <v>2228</v>
      </c>
      <c r="K117" s="1798"/>
      <c r="L117" s="1348"/>
      <c r="M117" s="1336" t="s">
        <v>3661</v>
      </c>
      <c r="N117" s="1336"/>
      <c r="O117" s="1449">
        <f>'Part I-Project Information'!O111</f>
        <v>0</v>
      </c>
      <c r="P117" s="1449">
        <f>'Part I-Project Information'!P111</f>
        <v>0</v>
      </c>
    </row>
    <row r="118" spans="1:16" ht="13.8">
      <c r="A118" s="1330"/>
      <c r="B118" s="1330"/>
      <c r="C118" s="1330" t="s">
        <v>2193</v>
      </c>
      <c r="D118" s="1330"/>
      <c r="E118" s="1330">
        <f>'Part I-Project Information'!E112</f>
        <v>0</v>
      </c>
      <c r="F118" s="1348">
        <f>'Part I-Project Information'!F112</f>
        <v>0</v>
      </c>
      <c r="G118" s="1348">
        <f>'Part I-Project Information'!G112</f>
        <v>0</v>
      </c>
      <c r="H118" s="1334" t="s">
        <v>1979</v>
      </c>
      <c r="I118" s="1330">
        <f>'Part I-Project Information'!I112</f>
        <v>0</v>
      </c>
      <c r="J118" s="1348">
        <f>'Part I-Project Information'!J112</f>
        <v>0</v>
      </c>
      <c r="K118" s="1348">
        <f>'Part I-Project Information'!K112</f>
        <v>0</v>
      </c>
      <c r="L118" s="1334" t="s">
        <v>1983</v>
      </c>
      <c r="M118" s="1330">
        <f>'Part I-Project Information'!M112</f>
        <v>0</v>
      </c>
      <c r="N118" s="1348">
        <f>'Part I-Project Information'!N112</f>
        <v>0</v>
      </c>
      <c r="O118" s="1348">
        <f>'Part I-Project Information'!O112</f>
        <v>0</v>
      </c>
      <c r="P118" s="1348">
        <f>'Part I-Project Information'!P112</f>
        <v>0</v>
      </c>
    </row>
    <row r="119" spans="1:16" ht="13.8">
      <c r="A119" s="1330"/>
      <c r="B119" s="1330"/>
      <c r="C119" s="1337" t="s">
        <v>2192</v>
      </c>
      <c r="D119" s="1330"/>
      <c r="E119" s="1799">
        <f>'Part I-Project Information'!E113</f>
        <v>0</v>
      </c>
      <c r="F119" s="1799">
        <f>'Part I-Project Information'!F113</f>
        <v>0</v>
      </c>
      <c r="G119" s="1799">
        <f>'Part I-Project Information'!G113</f>
        <v>0</v>
      </c>
      <c r="H119" s="1334" t="s">
        <v>1801</v>
      </c>
      <c r="I119" s="1799">
        <f>'Part I-Project Information'!I113</f>
        <v>0</v>
      </c>
      <c r="J119" s="1348">
        <f>'Part I-Project Information'!J113</f>
        <v>0</v>
      </c>
      <c r="K119" s="1334" t="s">
        <v>2703</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ht="13.8">
      <c r="A120" s="1328"/>
      <c r="B120" s="1328"/>
      <c r="C120" s="1330"/>
      <c r="D120" s="1330"/>
      <c r="E120" s="1330"/>
      <c r="F120" s="1330"/>
      <c r="G120" s="1344"/>
      <c r="H120" s="1334"/>
      <c r="I120" s="1334"/>
      <c r="J120" s="1330"/>
      <c r="K120" s="1330"/>
      <c r="L120" s="1330"/>
      <c r="M120" s="1343"/>
      <c r="N120" s="1330"/>
      <c r="O120" s="1330"/>
      <c r="P120" s="1330"/>
    </row>
    <row r="121" spans="1:16" ht="13.8">
      <c r="A121" s="1362" t="s">
        <v>363</v>
      </c>
      <c r="B121" s="1367" t="s">
        <v>1668</v>
      </c>
      <c r="C121" s="1330"/>
      <c r="D121" s="1344"/>
      <c r="E121" s="1344"/>
      <c r="F121" s="1334"/>
      <c r="G121" s="1334"/>
      <c r="H121" s="1334"/>
      <c r="I121" s="1330"/>
      <c r="J121" s="1330"/>
      <c r="K121" s="1330"/>
      <c r="L121" s="1330"/>
      <c r="M121" s="1330"/>
      <c r="N121" s="1330"/>
      <c r="O121" s="1330"/>
      <c r="P121" s="1343"/>
    </row>
    <row r="122" spans="1:16" ht="13.8">
      <c r="A122" s="1362"/>
      <c r="B122" s="1367"/>
      <c r="C122" s="1330"/>
      <c r="D122" s="1344"/>
      <c r="E122" s="1344"/>
      <c r="F122" s="1334"/>
      <c r="G122" s="1334"/>
      <c r="H122" s="1334"/>
      <c r="I122" s="1334"/>
      <c r="J122" s="1344"/>
      <c r="K122" s="1334"/>
      <c r="L122" s="1334"/>
      <c r="M122" s="1330"/>
      <c r="N122" s="1330"/>
      <c r="O122" s="1330"/>
      <c r="P122" s="1343"/>
    </row>
    <row r="123" spans="1:16" ht="13.8">
      <c r="A123" s="1330"/>
      <c r="B123" s="1348" t="s">
        <v>2152</v>
      </c>
      <c r="C123" s="1330"/>
      <c r="D123" s="1341"/>
      <c r="E123" s="1341"/>
      <c r="F123" s="1341"/>
      <c r="G123" s="1341"/>
      <c r="H123" s="1341"/>
      <c r="I123" s="1341"/>
      <c r="J123" s="1341"/>
      <c r="K123" s="1341"/>
      <c r="L123" s="1341"/>
      <c r="M123" s="1341"/>
      <c r="N123" s="1341"/>
      <c r="O123" s="1341"/>
      <c r="P123" s="1341"/>
    </row>
    <row r="124" spans="1:16" ht="13.8">
      <c r="A124" s="1328"/>
      <c r="B124" s="1328"/>
      <c r="C124" s="1373"/>
      <c r="D124" s="1373"/>
      <c r="E124" s="1373"/>
      <c r="F124" s="1373"/>
      <c r="G124" s="1373"/>
      <c r="H124" s="1373"/>
      <c r="I124" s="1373"/>
      <c r="J124" s="1373"/>
      <c r="K124" s="1373"/>
      <c r="L124" s="1373"/>
      <c r="M124" s="1373"/>
      <c r="N124" s="1373"/>
      <c r="O124" s="1373"/>
      <c r="P124" s="1373"/>
    </row>
    <row r="125" spans="1:16" ht="13.8">
      <c r="A125" s="1328"/>
      <c r="B125" s="1328" t="s">
        <v>1982</v>
      </c>
      <c r="C125" s="1367" t="s">
        <v>1411</v>
      </c>
      <c r="D125" s="1363"/>
      <c r="E125" s="1363"/>
      <c r="F125" s="1334"/>
      <c r="G125" s="1334"/>
      <c r="H125" s="1344">
        <f>'Part I-Project Information'!H119</f>
        <v>1</v>
      </c>
      <c r="I125" s="1330"/>
      <c r="J125" s="1330"/>
      <c r="K125" s="1330"/>
      <c r="L125" s="1330"/>
      <c r="M125" s="1330"/>
      <c r="N125" s="1330"/>
      <c r="O125" s="1330"/>
      <c r="P125" s="1330"/>
    </row>
    <row r="126" spans="1:16" ht="13.8">
      <c r="A126" s="1328"/>
      <c r="B126" s="1328"/>
      <c r="C126" s="1373"/>
      <c r="D126" s="1373"/>
      <c r="E126" s="1373"/>
      <c r="F126" s="1373"/>
      <c r="G126" s="1373"/>
      <c r="H126" s="1373"/>
      <c r="I126" s="1330"/>
      <c r="J126" s="1373"/>
      <c r="K126" s="1330"/>
      <c r="L126" s="1330"/>
      <c r="M126" s="1373"/>
      <c r="N126" s="1373"/>
      <c r="O126" s="1373"/>
      <c r="P126" s="1330"/>
    </row>
    <row r="127" spans="1:16" ht="13.8">
      <c r="A127" s="1328"/>
      <c r="B127" s="1328" t="s">
        <v>1984</v>
      </c>
      <c r="C127" s="1367" t="s">
        <v>416</v>
      </c>
      <c r="D127" s="1363"/>
      <c r="E127" s="1363"/>
      <c r="F127" s="1334"/>
      <c r="G127" s="1334"/>
      <c r="H127" s="1807">
        <f>'Part I-Project Information'!H121</f>
        <v>369181</v>
      </c>
      <c r="I127" s="1330"/>
      <c r="J127" s="1344"/>
      <c r="K127" s="1337"/>
      <c r="L127" s="1330"/>
      <c r="M127" s="1330"/>
      <c r="N127" s="1330"/>
      <c r="O127" s="1330"/>
      <c r="P127" s="1330"/>
    </row>
    <row r="128" spans="1:16" ht="13.8">
      <c r="A128" s="1328"/>
      <c r="B128" s="1328"/>
      <c r="C128" s="1373"/>
      <c r="D128" s="1373"/>
      <c r="E128" s="1373"/>
      <c r="F128" s="1373"/>
      <c r="G128" s="1373"/>
      <c r="H128" s="1373"/>
      <c r="I128" s="1373"/>
      <c r="J128" s="1373"/>
      <c r="K128" s="1373"/>
      <c r="L128" s="1330"/>
      <c r="M128" s="1373"/>
      <c r="N128" s="1373"/>
      <c r="O128" s="1373"/>
      <c r="P128" s="1373"/>
    </row>
    <row r="129" spans="1:16" ht="13.8">
      <c r="A129" s="1330"/>
      <c r="B129" s="1328" t="s">
        <v>748</v>
      </c>
      <c r="C129" s="1367" t="s">
        <v>302</v>
      </c>
      <c r="D129" s="1363"/>
      <c r="E129" s="1363"/>
      <c r="F129" s="1334"/>
      <c r="G129" s="1334"/>
      <c r="H129" s="1334"/>
      <c r="I129" s="1334"/>
      <c r="J129" s="1344"/>
      <c r="K129" s="1334"/>
      <c r="L129" s="1334"/>
      <c r="M129" s="1330"/>
      <c r="N129" s="1330"/>
      <c r="O129" s="1330"/>
      <c r="P129" s="1330"/>
    </row>
    <row r="130" spans="1:16" ht="13.8">
      <c r="A130" s="1330"/>
      <c r="B130" s="1328"/>
      <c r="C130" s="1363" t="s">
        <v>2134</v>
      </c>
      <c r="D130" s="1363"/>
      <c r="E130" s="1330"/>
      <c r="F130" s="1363" t="s">
        <v>1133</v>
      </c>
      <c r="G130" s="1334"/>
      <c r="H130" s="1334"/>
      <c r="I130" s="1334" t="s">
        <v>1293</v>
      </c>
      <c r="J130" s="1363" t="s">
        <v>2134</v>
      </c>
      <c r="K130" s="1363"/>
      <c r="L130" s="1330"/>
      <c r="M130" s="1363" t="s">
        <v>1133</v>
      </c>
      <c r="N130" s="1334"/>
      <c r="O130" s="1334"/>
      <c r="P130" s="1334" t="s">
        <v>1293</v>
      </c>
    </row>
    <row r="131" spans="1:16" ht="13.8">
      <c r="A131" s="1328"/>
      <c r="B131" s="1328"/>
      <c r="C131" s="1393" t="str">
        <f>'Part I-Project Information'!C125</f>
        <v>Woodstone Apartments II, LP</v>
      </c>
      <c r="D131" s="1393">
        <f>'Part I-Project Information'!D125</f>
        <v>0</v>
      </c>
      <c r="E131" s="1393">
        <f>'Part I-Project Information'!E125</f>
        <v>0</v>
      </c>
      <c r="F131" s="1393" t="str">
        <f>'Part I-Project Information'!F125</f>
        <v>Woodstone Apartments II</v>
      </c>
      <c r="G131" s="1393">
        <f>'Part I-Project Information'!G125</f>
        <v>0</v>
      </c>
      <c r="H131" s="1393">
        <f>'Part I-Project Information'!H125</f>
        <v>0</v>
      </c>
      <c r="I131" s="1393" t="str">
        <f>'Part I-Project Information'!I125</f>
        <v>Direct</v>
      </c>
      <c r="J131" s="1393">
        <f>'Part I-Project Information'!J125</f>
        <v>7</v>
      </c>
      <c r="K131" s="1393">
        <f>'Part I-Project Information'!K125</f>
        <v>0</v>
      </c>
      <c r="L131" s="1393">
        <f>'Part I-Project Information'!L125</f>
        <v>0</v>
      </c>
      <c r="M131" s="1393">
        <f>'Part I-Project Information'!M125</f>
        <v>0</v>
      </c>
      <c r="N131" s="1393">
        <f>'Part I-Project Information'!N125</f>
        <v>0</v>
      </c>
      <c r="O131" s="1393">
        <f>'Part I-Project Information'!O125</f>
        <v>0</v>
      </c>
      <c r="P131" s="1393">
        <f>'Part I-Project Information'!P125</f>
        <v>0</v>
      </c>
    </row>
    <row r="132" spans="1:16" ht="13.8">
      <c r="A132" s="1328"/>
      <c r="B132" s="1328"/>
      <c r="C132" s="1393">
        <f>'Part I-Project Information'!C126</f>
        <v>2</v>
      </c>
      <c r="D132" s="1393">
        <f>'Part I-Project Information'!D126</f>
        <v>0</v>
      </c>
      <c r="E132" s="1393">
        <f>'Part I-Project Information'!E126</f>
        <v>0</v>
      </c>
      <c r="F132" s="1393">
        <f>'Part I-Project Information'!F126</f>
        <v>0</v>
      </c>
      <c r="G132" s="1393">
        <f>'Part I-Project Information'!G126</f>
        <v>0</v>
      </c>
      <c r="H132" s="1393">
        <f>'Part I-Project Information'!H126</f>
        <v>0</v>
      </c>
      <c r="I132" s="1393">
        <f>'Part I-Project Information'!I126</f>
        <v>0</v>
      </c>
      <c r="J132" s="1393">
        <f>'Part I-Project Information'!J126</f>
        <v>8</v>
      </c>
      <c r="K132" s="1393">
        <f>'Part I-Project Information'!K126</f>
        <v>0</v>
      </c>
      <c r="L132" s="1393">
        <f>'Part I-Project Information'!L126</f>
        <v>0</v>
      </c>
      <c r="M132" s="1393">
        <f>'Part I-Project Information'!M126</f>
        <v>0</v>
      </c>
      <c r="N132" s="1393">
        <f>'Part I-Project Information'!N126</f>
        <v>0</v>
      </c>
      <c r="O132" s="1393">
        <f>'Part I-Project Information'!O126</f>
        <v>0</v>
      </c>
      <c r="P132" s="1393">
        <f>'Part I-Project Information'!P126</f>
        <v>0</v>
      </c>
    </row>
    <row r="133" spans="1:16" ht="13.8">
      <c r="A133" s="1328"/>
      <c r="B133" s="1328"/>
      <c r="C133" s="1393">
        <f>'Part I-Project Information'!C127</f>
        <v>3</v>
      </c>
      <c r="D133" s="1393">
        <f>'Part I-Project Information'!D127</f>
        <v>0</v>
      </c>
      <c r="E133" s="1393">
        <f>'Part I-Project Information'!E127</f>
        <v>0</v>
      </c>
      <c r="F133" s="1393">
        <f>'Part I-Project Information'!F127</f>
        <v>0</v>
      </c>
      <c r="G133" s="1393">
        <f>'Part I-Project Information'!G127</f>
        <v>0</v>
      </c>
      <c r="H133" s="1393">
        <f>'Part I-Project Information'!H127</f>
        <v>0</v>
      </c>
      <c r="I133" s="1393">
        <f>'Part I-Project Information'!I127</f>
        <v>0</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8">
      <c r="A134" s="1328"/>
      <c r="B134" s="1328"/>
      <c r="C134" s="1393">
        <f>'Part I-Project Information'!C128</f>
        <v>4</v>
      </c>
      <c r="D134" s="1393">
        <f>'Part I-Project Information'!D128</f>
        <v>0</v>
      </c>
      <c r="E134" s="1393">
        <f>'Part I-Project Information'!E128</f>
        <v>0</v>
      </c>
      <c r="F134" s="1393">
        <f>'Part I-Project Information'!F128</f>
        <v>0</v>
      </c>
      <c r="G134" s="1393">
        <f>'Part I-Project Information'!G128</f>
        <v>0</v>
      </c>
      <c r="H134" s="1393">
        <f>'Part I-Project Information'!H128</f>
        <v>0</v>
      </c>
      <c r="I134" s="1393">
        <f>'Part I-Project Information'!I128</f>
        <v>0</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8">
      <c r="A135" s="1328"/>
      <c r="B135" s="1328"/>
      <c r="C135" s="1393">
        <f>'Part I-Project Information'!C129</f>
        <v>5</v>
      </c>
      <c r="D135" s="1393">
        <f>'Part I-Project Information'!D129</f>
        <v>0</v>
      </c>
      <c r="E135" s="1393">
        <f>'Part I-Project Information'!E129</f>
        <v>0</v>
      </c>
      <c r="F135" s="1393">
        <f>'Part I-Project Information'!F129</f>
        <v>0</v>
      </c>
      <c r="G135" s="1393">
        <f>'Part I-Project Information'!G129</f>
        <v>0</v>
      </c>
      <c r="H135" s="1393">
        <f>'Part I-Project Information'!H129</f>
        <v>0</v>
      </c>
      <c r="I135" s="1393">
        <f>'Part I-Project Information'!I129</f>
        <v>0</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8">
      <c r="A136" s="1328"/>
      <c r="B136" s="1328"/>
      <c r="C136" s="1393">
        <f>'Part I-Project Information'!C130</f>
        <v>6</v>
      </c>
      <c r="D136" s="1393">
        <f>'Part I-Project Information'!D130</f>
        <v>0</v>
      </c>
      <c r="E136" s="1393">
        <f>'Part I-Project Information'!E130</f>
        <v>0</v>
      </c>
      <c r="F136" s="1393">
        <f>'Part I-Project Information'!F130</f>
        <v>0</v>
      </c>
      <c r="G136" s="1393">
        <f>'Part I-Project Information'!G130</f>
        <v>0</v>
      </c>
      <c r="H136" s="1393">
        <f>'Part I-Project Information'!H130</f>
        <v>0</v>
      </c>
      <c r="I136" s="1393">
        <f>'Part I-Project Information'!I130</f>
        <v>0</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ht="13.8">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2114</v>
      </c>
      <c r="C138" s="1374" t="s">
        <v>1846</v>
      </c>
      <c r="D138" s="1374"/>
      <c r="E138" s="1374"/>
      <c r="F138" s="1374"/>
      <c r="G138" s="1374"/>
      <c r="H138" s="1374"/>
      <c r="I138" s="1374"/>
      <c r="J138" s="1374"/>
      <c r="K138" s="1374"/>
      <c r="L138" s="1374"/>
      <c r="M138" s="1374"/>
      <c r="N138" s="1374"/>
      <c r="O138" s="1374"/>
      <c r="P138" s="1374"/>
    </row>
    <row r="139" spans="1:16" ht="13.8">
      <c r="A139" s="1328"/>
      <c r="B139" s="1328"/>
      <c r="C139" s="1374"/>
      <c r="D139" s="1374"/>
      <c r="E139" s="1374"/>
      <c r="F139" s="1374"/>
      <c r="G139" s="1374"/>
      <c r="H139" s="1374"/>
      <c r="I139" s="1374"/>
      <c r="J139" s="1374"/>
      <c r="K139" s="1374"/>
      <c r="L139" s="1374"/>
      <c r="M139" s="1374"/>
      <c r="N139" s="1374"/>
      <c r="O139" s="1374"/>
      <c r="P139" s="1374"/>
    </row>
    <row r="140" spans="1:16" ht="13.8">
      <c r="A140" s="1330"/>
      <c r="B140" s="1328"/>
      <c r="C140" s="1363" t="s">
        <v>2134</v>
      </c>
      <c r="D140" s="1363"/>
      <c r="E140" s="1330"/>
      <c r="F140" s="1363" t="s">
        <v>1133</v>
      </c>
      <c r="G140" s="1334"/>
      <c r="H140" s="1334"/>
      <c r="I140" s="1334"/>
      <c r="J140" s="1363" t="s">
        <v>2134</v>
      </c>
      <c r="K140" s="1363"/>
      <c r="L140" s="1330"/>
      <c r="M140" s="1363" t="s">
        <v>1133</v>
      </c>
      <c r="N140" s="1334"/>
      <c r="O140" s="1334"/>
      <c r="P140" s="1334"/>
    </row>
    <row r="141" spans="1:16" ht="13.8">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8">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8">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8">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8">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8">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ht="13.8">
      <c r="A147" s="1328"/>
      <c r="B147" s="1328"/>
      <c r="C147" s="1363"/>
      <c r="D147" s="1363"/>
      <c r="E147" s="1363"/>
      <c r="F147" s="1334"/>
      <c r="G147" s="1334"/>
      <c r="H147" s="1334"/>
      <c r="I147" s="1334"/>
      <c r="J147" s="1344"/>
      <c r="K147" s="1334"/>
      <c r="L147" s="1334"/>
      <c r="M147" s="1330"/>
      <c r="N147" s="1330"/>
      <c r="O147" s="1330"/>
      <c r="P147" s="1343"/>
    </row>
    <row r="148" spans="1:16" ht="13.8">
      <c r="A148" s="1328"/>
      <c r="B148" s="1328"/>
      <c r="C148" s="1363"/>
      <c r="D148" s="1363"/>
      <c r="E148" s="1363"/>
      <c r="F148" s="1334"/>
      <c r="G148" s="1334"/>
      <c r="H148" s="1334"/>
      <c r="I148" s="1334"/>
      <c r="J148" s="1344"/>
      <c r="K148" s="1334"/>
      <c r="L148" s="1334"/>
      <c r="M148" s="1330"/>
      <c r="N148" s="1330"/>
      <c r="O148" s="1330"/>
      <c r="P148" s="1343"/>
    </row>
    <row r="149" spans="1:16" ht="13.8">
      <c r="A149" s="1362" t="s">
        <v>364</v>
      </c>
      <c r="B149" s="1366" t="s">
        <v>2417</v>
      </c>
      <c r="C149" s="1330"/>
      <c r="D149" s="1366"/>
      <c r="E149" s="1366"/>
      <c r="F149" s="1366"/>
      <c r="G149" s="1330"/>
      <c r="H149" s="1330"/>
      <c r="I149" s="1334" t="str">
        <f>'Part I-Project Information'!I143</f>
        <v>Yes</v>
      </c>
      <c r="J149" s="1330"/>
      <c r="K149" s="1330"/>
      <c r="L149" s="1330"/>
      <c r="M149" s="1334"/>
      <c r="N149" s="1330"/>
      <c r="O149" s="1330"/>
      <c r="P149" s="1343"/>
    </row>
    <row r="150" spans="1:16" ht="13.8">
      <c r="A150" s="1362"/>
      <c r="B150" s="1328"/>
      <c r="C150" s="1367"/>
      <c r="D150" s="1367"/>
      <c r="E150" s="1367"/>
      <c r="F150" s="1367"/>
      <c r="G150" s="1334"/>
      <c r="H150" s="1330"/>
      <c r="I150" s="1330"/>
      <c r="J150" s="1330"/>
      <c r="K150" s="1330"/>
      <c r="L150" s="1330"/>
      <c r="M150" s="1334"/>
      <c r="N150" s="1330"/>
      <c r="O150" s="1330"/>
      <c r="P150" s="1330"/>
    </row>
    <row r="151" spans="1:16" ht="13.8">
      <c r="A151" s="1328"/>
      <c r="B151" s="1328" t="s">
        <v>1982</v>
      </c>
      <c r="C151" s="1331" t="s">
        <v>1712</v>
      </c>
      <c r="D151" s="1330"/>
      <c r="E151" s="1330"/>
      <c r="F151" s="1330"/>
      <c r="G151" s="1330"/>
      <c r="H151" s="1330"/>
      <c r="I151" s="1334" t="str">
        <f>'Part I-Project Information'!I145</f>
        <v>Yes</v>
      </c>
      <c r="J151" s="1330"/>
      <c r="K151" s="1330"/>
      <c r="L151" s="1330"/>
      <c r="M151" s="1334"/>
      <c r="N151" s="1330"/>
      <c r="O151" s="1330"/>
      <c r="P151" s="1343"/>
    </row>
    <row r="152" spans="1:16" ht="13.8">
      <c r="A152" s="1328"/>
      <c r="B152" s="1328"/>
      <c r="C152" s="1363" t="s">
        <v>2419</v>
      </c>
      <c r="D152" s="1363"/>
      <c r="E152" s="1363"/>
      <c r="F152" s="1334"/>
      <c r="G152" s="1330"/>
      <c r="H152" s="1330"/>
      <c r="I152" s="1334">
        <f>'Part I-Project Information'!I146</f>
        <v>1996</v>
      </c>
      <c r="J152" s="1330"/>
      <c r="K152" s="1330"/>
      <c r="L152" s="1330"/>
      <c r="M152" s="1330"/>
      <c r="N152" s="1330"/>
      <c r="O152" s="1330"/>
      <c r="P152" s="1343"/>
    </row>
    <row r="153" spans="1:16" ht="13.8">
      <c r="A153" s="1328"/>
      <c r="B153" s="1328"/>
      <c r="C153" s="1375" t="s">
        <v>1711</v>
      </c>
      <c r="D153" s="1337"/>
      <c r="E153" s="1330"/>
      <c r="F153" s="1330"/>
      <c r="G153" s="1330"/>
      <c r="H153" s="1330"/>
      <c r="I153" s="1334" t="str">
        <f>'Part I-Project Information'!I147</f>
        <v>96-091</v>
      </c>
      <c r="J153" s="1330"/>
      <c r="K153" s="1330"/>
      <c r="L153" s="1330"/>
      <c r="M153" s="1330"/>
      <c r="N153" s="1330"/>
      <c r="O153" s="1330"/>
      <c r="P153" s="1343"/>
    </row>
    <row r="154" spans="1:16" ht="13.8">
      <c r="A154" s="1328"/>
      <c r="B154" s="1328"/>
      <c r="C154" s="1363" t="s">
        <v>2420</v>
      </c>
      <c r="D154" s="1363"/>
      <c r="E154" s="1363"/>
      <c r="F154" s="1334"/>
      <c r="G154" s="1330"/>
      <c r="H154" s="1330"/>
      <c r="I154" s="1334">
        <f>'Part I-Project Information'!I148</f>
        <v>1999</v>
      </c>
      <c r="J154" s="1330"/>
      <c r="K154" s="1336" t="s">
        <v>2244</v>
      </c>
      <c r="L154" s="1330"/>
      <c r="M154" s="1330"/>
      <c r="N154" s="1330"/>
      <c r="O154" s="1330" t="str">
        <f>'Part I-Project Information'!O148</f>
        <v>GA-96-09101</v>
      </c>
      <c r="P154" s="1330">
        <f>'Part I-Project Information'!P148</f>
        <v>0</v>
      </c>
    </row>
    <row r="155" spans="1:16" ht="13.8">
      <c r="A155" s="1328"/>
      <c r="B155" s="1328"/>
      <c r="C155" s="1363" t="s">
        <v>2418</v>
      </c>
      <c r="D155" s="1330"/>
      <c r="E155" s="1330"/>
      <c r="F155" s="1334"/>
      <c r="G155" s="1330"/>
      <c r="H155" s="1330"/>
      <c r="I155" s="1334" t="str">
        <f>'Part I-Project Information'!I149</f>
        <v>Yes</v>
      </c>
      <c r="J155" s="1330"/>
      <c r="K155" s="1336" t="s">
        <v>2245</v>
      </c>
      <c r="L155" s="1330"/>
      <c r="M155" s="1330"/>
      <c r="N155" s="1330"/>
      <c r="O155" s="1330" t="str">
        <f>'Part I-Project Information'!O149</f>
        <v>GA-96-09105</v>
      </c>
      <c r="P155" s="1330">
        <f>'Part I-Project Information'!P149</f>
        <v>0</v>
      </c>
    </row>
    <row r="156" spans="1:16" ht="13.8">
      <c r="A156" s="1328"/>
      <c r="B156" s="1328"/>
      <c r="C156" s="1363" t="s">
        <v>2165</v>
      </c>
      <c r="D156" s="1363"/>
      <c r="E156" s="1363"/>
      <c r="F156" s="1334"/>
      <c r="G156" s="1330"/>
      <c r="H156" s="1330"/>
      <c r="I156" s="1806">
        <f>'Part I-Project Information'!I150</f>
        <v>41640</v>
      </c>
      <c r="J156" s="1806">
        <f>'Part I-Project Information'!J150</f>
        <v>0</v>
      </c>
      <c r="K156" s="1330"/>
      <c r="L156" s="1330"/>
      <c r="M156" s="1330"/>
      <c r="N156" s="1330"/>
      <c r="O156" s="1330"/>
      <c r="P156" s="1343"/>
    </row>
    <row r="157" spans="1:16" ht="13.8">
      <c r="A157" s="1328"/>
      <c r="B157" s="1328"/>
      <c r="C157" s="1363"/>
      <c r="D157" s="1363"/>
      <c r="E157" s="1363"/>
      <c r="F157" s="1334"/>
      <c r="G157" s="1330"/>
      <c r="H157" s="1330"/>
      <c r="I157" s="1330"/>
      <c r="J157" s="1330"/>
      <c r="K157" s="1330"/>
      <c r="L157" s="1330"/>
      <c r="M157" s="1330"/>
      <c r="N157" s="1330"/>
      <c r="O157" s="1330"/>
      <c r="P157" s="1343"/>
    </row>
    <row r="158" spans="1:16" ht="13.8">
      <c r="A158" s="1328"/>
      <c r="B158" s="1328" t="s">
        <v>1984</v>
      </c>
      <c r="C158" s="1367" t="s">
        <v>2489</v>
      </c>
      <c r="D158" s="1363"/>
      <c r="E158" s="1363"/>
      <c r="F158" s="1334"/>
      <c r="G158" s="1330"/>
      <c r="H158" s="1330"/>
      <c r="I158" s="1344" t="str">
        <f>'Part I-Project Information'!I155</f>
        <v>No</v>
      </c>
      <c r="J158" s="1330"/>
      <c r="K158" s="1330"/>
      <c r="L158" s="1330"/>
      <c r="M158" s="1330"/>
      <c r="N158" s="1330"/>
      <c r="O158" s="1330"/>
      <c r="P158" s="1343"/>
    </row>
    <row r="159" spans="1:16" ht="13.8">
      <c r="A159" s="1328"/>
      <c r="B159" s="1328"/>
      <c r="C159" s="1363"/>
      <c r="D159" s="1363"/>
      <c r="E159" s="1363"/>
      <c r="F159" s="1334"/>
      <c r="G159" s="1334"/>
      <c r="H159" s="1330"/>
      <c r="I159" s="1330"/>
      <c r="J159" s="1330"/>
      <c r="K159" s="1330"/>
      <c r="L159" s="1330"/>
      <c r="M159" s="1334"/>
      <c r="N159" s="1330"/>
      <c r="O159" s="1330"/>
      <c r="P159" s="1343"/>
    </row>
    <row r="160" spans="1:16" ht="13.8">
      <c r="A160" s="1328"/>
      <c r="B160" s="1328" t="s">
        <v>748</v>
      </c>
      <c r="C160" s="1367" t="s">
        <v>2700</v>
      </c>
      <c r="D160" s="1363"/>
      <c r="E160" s="1363"/>
      <c r="F160" s="1334"/>
      <c r="G160" s="1334"/>
      <c r="H160" s="1330"/>
      <c r="I160" s="1330"/>
      <c r="J160" s="1330"/>
      <c r="K160" s="1330"/>
      <c r="L160" s="1330"/>
      <c r="M160" s="1330"/>
      <c r="N160" s="1330"/>
      <c r="O160" s="1330"/>
      <c r="P160" s="1343"/>
    </row>
    <row r="161" spans="1:16" ht="13.8">
      <c r="A161" s="1328"/>
      <c r="B161" s="1328"/>
      <c r="C161" s="1363" t="s">
        <v>4489</v>
      </c>
      <c r="D161" s="1363"/>
      <c r="E161" s="1363"/>
      <c r="F161" s="1334"/>
      <c r="G161" s="1334"/>
      <c r="H161" s="1330"/>
      <c r="I161" s="1344" t="str">
        <f>'Part I-Project Information'!I152</f>
        <v>No</v>
      </c>
      <c r="J161" s="1330"/>
      <c r="K161" s="1363" t="s">
        <v>1534</v>
      </c>
      <c r="L161" s="1363"/>
      <c r="M161" s="1334"/>
      <c r="N161" s="1334"/>
      <c r="O161" s="1344" t="str">
        <f>'Part I-Project Information'!O152</f>
        <v>No</v>
      </c>
      <c r="P161" s="1343"/>
    </row>
    <row r="162" spans="1:16" ht="13.8">
      <c r="A162" s="1328"/>
      <c r="B162" s="1328"/>
      <c r="C162" s="1363"/>
      <c r="D162" s="1363"/>
      <c r="E162" s="1363"/>
      <c r="F162" s="1334"/>
      <c r="G162" s="1334"/>
      <c r="H162" s="1334"/>
      <c r="I162" s="1334"/>
      <c r="J162" s="1344"/>
      <c r="K162" s="1334"/>
      <c r="L162" s="1334"/>
      <c r="M162" s="1330"/>
      <c r="N162" s="1330"/>
      <c r="O162" s="1330"/>
      <c r="P162" s="1343"/>
    </row>
    <row r="163" spans="1:16" ht="13.8">
      <c r="A163" s="1362" t="s">
        <v>1725</v>
      </c>
      <c r="B163" s="1366" t="s">
        <v>1189</v>
      </c>
      <c r="C163" s="1330"/>
      <c r="D163" s="1366"/>
      <c r="E163" s="1366"/>
      <c r="F163" s="1366"/>
      <c r="G163" s="1334"/>
      <c r="H163" s="1334"/>
      <c r="I163" s="1334"/>
      <c r="J163" s="1344"/>
      <c r="K163" s="1334"/>
      <c r="L163" s="1334"/>
      <c r="M163" s="1330"/>
      <c r="N163" s="1330"/>
      <c r="O163" s="1330"/>
      <c r="P163" s="1343"/>
    </row>
    <row r="164" spans="1:16" ht="13.8">
      <c r="A164" s="1362"/>
      <c r="B164" s="1328"/>
      <c r="C164" s="1367"/>
      <c r="D164" s="1367"/>
      <c r="E164" s="1367"/>
      <c r="F164" s="1367"/>
      <c r="G164" s="1334"/>
      <c r="H164" s="1334"/>
      <c r="I164" s="1334"/>
      <c r="J164" s="1344"/>
      <c r="K164" s="1334"/>
      <c r="L164" s="1334"/>
      <c r="M164" s="1330"/>
      <c r="N164" s="1330"/>
      <c r="O164" s="1330"/>
      <c r="P164" s="1330"/>
    </row>
    <row r="165" spans="1:16" ht="13.8">
      <c r="A165" s="1328"/>
      <c r="B165" s="1328" t="s">
        <v>1982</v>
      </c>
      <c r="C165" s="1353" t="s">
        <v>1821</v>
      </c>
      <c r="D165" s="1330"/>
      <c r="E165" s="1330"/>
      <c r="F165" s="1334"/>
      <c r="G165" s="1334"/>
      <c r="H165" s="1334"/>
      <c r="I165" s="1334"/>
      <c r="J165" s="1344"/>
      <c r="K165" s="1334"/>
      <c r="L165" s="1334"/>
      <c r="M165" s="1330"/>
      <c r="N165" s="1330"/>
      <c r="O165" s="1330"/>
      <c r="P165" s="1343"/>
    </row>
    <row r="166" spans="1:16" ht="13.8">
      <c r="A166" s="1328"/>
      <c r="B166" s="1328"/>
      <c r="C166" s="1348" t="s">
        <v>1526</v>
      </c>
      <c r="D166" s="1344"/>
      <c r="E166" s="1344"/>
      <c r="F166" s="1334"/>
      <c r="G166" s="1334"/>
      <c r="H166" s="1334"/>
      <c r="I166" s="1334"/>
      <c r="J166" s="1330"/>
      <c r="K166" s="1344" t="str">
        <f>'Part I-Project Information'!I160</f>
        <v>No</v>
      </c>
      <c r="L166" s="1330"/>
      <c r="M166" s="1330"/>
      <c r="N166" s="1330"/>
      <c r="O166" s="1330"/>
      <c r="P166" s="1343"/>
    </row>
    <row r="167" spans="1:16" ht="13.8">
      <c r="A167" s="1328"/>
      <c r="B167" s="1328"/>
      <c r="C167" s="1330" t="s">
        <v>614</v>
      </c>
      <c r="D167" s="1330"/>
      <c r="E167" s="1330"/>
      <c r="F167" s="1330"/>
      <c r="G167" s="1330"/>
      <c r="H167" s="1330"/>
      <c r="I167" s="1330"/>
      <c r="J167" s="1330"/>
      <c r="K167" s="1344">
        <f>'Part I-Project Information'!I161</f>
        <v>0</v>
      </c>
      <c r="L167" s="1337" t="s">
        <v>1794</v>
      </c>
      <c r="M167" s="1330"/>
      <c r="N167" s="1330"/>
      <c r="O167" s="1330"/>
      <c r="P167" s="1376">
        <f>IF('Part VI-Revenues &amp; Expenses'!O$65=0,0,K167/'Part VI-Revenues &amp; Expenses'!$O$65)</f>
        <v>0</v>
      </c>
    </row>
    <row r="168" spans="1:16" ht="13.8">
      <c r="A168" s="1328"/>
      <c r="B168" s="1328"/>
      <c r="C168" s="1330" t="s">
        <v>4490</v>
      </c>
      <c r="D168" s="1330"/>
      <c r="E168" s="1330"/>
      <c r="F168" s="1330"/>
      <c r="G168" s="1330"/>
      <c r="H168" s="1364">
        <f>'Part I-Project Information'!I162</f>
        <v>0</v>
      </c>
      <c r="I168" s="1335"/>
      <c r="J168" s="1377" t="s">
        <v>3723</v>
      </c>
      <c r="K168" s="1344">
        <f>'Part I-Project Information'!I163</f>
        <v>0</v>
      </c>
      <c r="L168" s="1337" t="s">
        <v>1794</v>
      </c>
      <c r="M168" s="1330"/>
      <c r="N168" s="1330"/>
      <c r="O168" s="1376">
        <f>IF('Part VI-Revenues &amp; Expenses'!$O$65=0,0,H168/'Part VI-Revenues &amp; Expenses'!$O$65)</f>
        <v>0</v>
      </c>
      <c r="P168" s="1376">
        <f>IF('Part VI-Revenues &amp; Expenses'!O$65=0,0,K168/'Part VI-Revenues &amp; Expenses'!$O$65)</f>
        <v>0</v>
      </c>
    </row>
    <row r="169" spans="1:16" ht="13.8">
      <c r="A169" s="1328"/>
      <c r="B169" s="1328"/>
      <c r="C169" s="1330" t="s">
        <v>1795</v>
      </c>
      <c r="D169" s="1330"/>
      <c r="E169" s="1330">
        <f>'Part I-Project Information'!D165</f>
        <v>0</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1796</v>
      </c>
      <c r="M169" s="1330">
        <f>'Part I-Project Information'!J166</f>
        <v>0</v>
      </c>
      <c r="N169" s="1330" t="e">
        <f>'Part I-Project Information'!#REF!</f>
        <v>#REF!</v>
      </c>
      <c r="O169" s="1330">
        <f>'Part I-Project Information'!L166</f>
        <v>0</v>
      </c>
      <c r="P169" s="1330">
        <f>'Part I-Project Information'!P166</f>
        <v>0</v>
      </c>
    </row>
    <row r="170" spans="1:16" ht="13.8">
      <c r="A170" s="1328"/>
      <c r="B170" s="1328"/>
      <c r="C170" s="1337" t="s">
        <v>1797</v>
      </c>
      <c r="D170" s="1340"/>
      <c r="E170" s="1330">
        <f>'Part I-Project Information'!D166</f>
        <v>0</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1801</v>
      </c>
      <c r="M170" s="1799">
        <f>'Part I-Project Information'!J167</f>
        <v>0</v>
      </c>
      <c r="N170" s="1799" t="e">
        <f>'Part I-Project Information'!#REF!</f>
        <v>#REF!</v>
      </c>
      <c r="O170" s="1799" t="e">
        <f>'Part I-Project Information'!#REF!</f>
        <v>#REF!</v>
      </c>
      <c r="P170" s="1330"/>
    </row>
    <row r="171" spans="1:16" ht="13.8">
      <c r="A171" s="1328"/>
      <c r="B171" s="1328"/>
      <c r="C171" s="1337" t="s">
        <v>617</v>
      </c>
      <c r="D171" s="1330"/>
      <c r="E171" s="1330">
        <f>'Part I-Project Information'!D167</f>
        <v>0</v>
      </c>
      <c r="F171" s="1330" t="e">
        <f>'Part I-Project Information'!#REF!</f>
        <v>#REF!</v>
      </c>
      <c r="G171" s="1330" t="e">
        <f>'Part I-Project Information'!#REF!</f>
        <v>#REF!</v>
      </c>
      <c r="H171" s="1330" t="e">
        <f>'Part I-Project Information'!#REF!</f>
        <v>#REF!</v>
      </c>
      <c r="I171" s="1334" t="s">
        <v>2228</v>
      </c>
      <c r="J171" s="1798">
        <f>'Part I-Project Information'!G167</f>
        <v>0</v>
      </c>
      <c r="K171" s="1798">
        <f>'Part I-Project Information'!H167</f>
        <v>0</v>
      </c>
      <c r="L171" s="1337" t="s">
        <v>1978</v>
      </c>
      <c r="M171" s="1799">
        <f>'Part I-Project Information'!N167</f>
        <v>0</v>
      </c>
      <c r="N171" s="1799" t="e">
        <f>'Part I-Project Information'!#REF!</f>
        <v>#REF!</v>
      </c>
      <c r="O171" s="1799" t="e">
        <f>'Part I-Project Information'!#REF!</f>
        <v>#REF!</v>
      </c>
      <c r="P171" s="1330"/>
    </row>
    <row r="172" spans="1:16" ht="13.8">
      <c r="A172" s="1328"/>
      <c r="B172" s="1328"/>
      <c r="C172" s="1337" t="s">
        <v>1800</v>
      </c>
      <c r="D172" s="1330"/>
      <c r="E172" s="1799">
        <f>'Part I-Project Information'!N165</f>
        <v>0</v>
      </c>
      <c r="F172" s="1799" t="e">
        <f>'Part I-Project Information'!#REF!</f>
        <v>#REF!</v>
      </c>
      <c r="G172" s="1799">
        <f>'Part I-Project Information'!O165</f>
        <v>0</v>
      </c>
      <c r="H172" s="1334"/>
      <c r="I172" s="1334" t="s">
        <v>1799</v>
      </c>
      <c r="J172" s="1706">
        <f>'Part I-Project Information'!J168</f>
        <v>0</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ht="13.8">
      <c r="A173" s="1328"/>
      <c r="B173" s="1328"/>
      <c r="C173" s="1337"/>
      <c r="D173" s="1330"/>
      <c r="E173" s="1378"/>
      <c r="F173" s="1378"/>
      <c r="G173" s="1378"/>
      <c r="H173" s="1334"/>
      <c r="I173" s="1378"/>
      <c r="J173" s="1378"/>
      <c r="K173" s="1334"/>
      <c r="L173" s="1378"/>
      <c r="M173" s="1378"/>
      <c r="N173" s="1334"/>
      <c r="O173" s="1378"/>
      <c r="P173" s="1378"/>
    </row>
    <row r="174" spans="1:16" ht="13.8">
      <c r="A174" s="1328"/>
      <c r="B174" s="1328" t="s">
        <v>1984</v>
      </c>
      <c r="C174" s="1367" t="s">
        <v>2701</v>
      </c>
      <c r="D174" s="1367"/>
      <c r="E174" s="1367"/>
      <c r="F174" s="1367"/>
      <c r="G174" s="1367"/>
      <c r="H174" s="1330"/>
      <c r="I174" s="1344" t="str">
        <f>'Part I-Project Information'!I171</f>
        <v>No</v>
      </c>
      <c r="J174" s="1348" t="s">
        <v>760</v>
      </c>
      <c r="K174" s="1348"/>
      <c r="L174" s="1344">
        <f>'Part I-Project Information'!L171</f>
        <v>0</v>
      </c>
      <c r="M174" s="1330" t="s">
        <v>2325</v>
      </c>
      <c r="N174" s="1330"/>
      <c r="O174" s="1330"/>
      <c r="P174" s="1419">
        <f>'Part I-Project Information'!P171</f>
        <v>0</v>
      </c>
    </row>
    <row r="175" spans="1:16" ht="13.8">
      <c r="A175" s="1328"/>
      <c r="B175" s="1328"/>
      <c r="C175" s="1367"/>
      <c r="D175" s="1367"/>
      <c r="E175" s="1311"/>
      <c r="F175" s="1367"/>
      <c r="G175" s="1367"/>
      <c r="H175" s="1330"/>
      <c r="I175" s="1330"/>
      <c r="J175" s="1336"/>
      <c r="K175" s="1344"/>
      <c r="L175" s="1330"/>
      <c r="M175" s="1330"/>
      <c r="N175" s="1330"/>
      <c r="O175" s="1334"/>
      <c r="P175" s="1343"/>
    </row>
    <row r="176" spans="1:16" ht="13.8">
      <c r="A176" s="1328"/>
      <c r="B176" s="1328"/>
      <c r="C176" s="1367" t="s">
        <v>2702</v>
      </c>
      <c r="D176" s="1367"/>
      <c r="E176" s="1367"/>
      <c r="F176" s="1367"/>
      <c r="G176" s="1367"/>
      <c r="H176" s="1330"/>
      <c r="I176" s="1344" t="str">
        <f>'Part I-Project Information'!I172</f>
        <v>No</v>
      </c>
      <c r="J176" s="1348" t="s">
        <v>760</v>
      </c>
      <c r="K176" s="1348"/>
      <c r="L176" s="1344">
        <f>'Part I-Project Information'!L172</f>
        <v>0</v>
      </c>
      <c r="M176" s="1330" t="s">
        <v>2325</v>
      </c>
      <c r="N176" s="1330"/>
      <c r="O176" s="1330"/>
      <c r="P176" s="1419">
        <f>'Part I-Project Information'!P172</f>
        <v>0</v>
      </c>
    </row>
    <row r="177" spans="1:16" ht="13.8">
      <c r="A177" s="1328"/>
      <c r="B177" s="1328"/>
      <c r="C177" s="1367"/>
      <c r="D177" s="1367"/>
      <c r="E177" s="1311"/>
      <c r="F177" s="1367"/>
      <c r="G177" s="1367"/>
      <c r="H177" s="1330"/>
      <c r="I177" s="1330"/>
      <c r="J177" s="1336"/>
      <c r="K177" s="1344"/>
      <c r="L177" s="1330"/>
      <c r="M177" s="1330"/>
      <c r="N177" s="1330"/>
      <c r="O177" s="1334"/>
      <c r="P177" s="1343"/>
    </row>
    <row r="178" spans="1:16" ht="13.8">
      <c r="A178" s="1328"/>
      <c r="B178" s="1328" t="s">
        <v>748</v>
      </c>
      <c r="C178" s="1367" t="s">
        <v>1756</v>
      </c>
      <c r="D178" s="1367"/>
      <c r="E178" s="1367"/>
      <c r="F178" s="1367"/>
      <c r="G178" s="1367"/>
      <c r="H178" s="1330"/>
      <c r="I178" s="1344" t="str">
        <f>'Part I-Project Information'!I174</f>
        <v>No</v>
      </c>
      <c r="J178" s="1330"/>
      <c r="K178" s="1330"/>
      <c r="L178" s="1336"/>
      <c r="M178" s="1336"/>
      <c r="N178" s="1330"/>
      <c r="O178" s="1330"/>
      <c r="P178" s="1343"/>
    </row>
    <row r="179" spans="1:16" ht="13.8">
      <c r="A179" s="1328"/>
      <c r="B179" s="1328"/>
      <c r="C179" s="1337"/>
      <c r="D179" s="1330"/>
      <c r="E179" s="1378"/>
      <c r="F179" s="1378"/>
      <c r="G179" s="1378"/>
      <c r="H179" s="1330"/>
      <c r="I179" s="1378"/>
      <c r="J179" s="1378"/>
      <c r="K179" s="1334"/>
      <c r="L179" s="1378"/>
      <c r="M179" s="1378"/>
      <c r="N179" s="1334"/>
      <c r="O179" s="1378"/>
      <c r="P179" s="1378"/>
    </row>
    <row r="180" spans="1:16" ht="13.8">
      <c r="A180" s="1328"/>
      <c r="B180" s="1328" t="s">
        <v>2114</v>
      </c>
      <c r="C180" s="1366" t="s">
        <v>1977</v>
      </c>
      <c r="D180" s="1366"/>
      <c r="E180" s="1366"/>
      <c r="F180" s="1366"/>
      <c r="G180" s="1367"/>
      <c r="H180" s="1330"/>
      <c r="I180" s="1344" t="str">
        <f>'Part I-Project Information'!I176</f>
        <v>Yes</v>
      </c>
      <c r="J180" s="1379" t="s">
        <v>2751</v>
      </c>
      <c r="K180" s="1330"/>
      <c r="L180" s="1348" t="s">
        <v>4491</v>
      </c>
      <c r="M180" s="1348"/>
      <c r="N180" s="1367"/>
      <c r="O180" s="1367"/>
      <c r="P180" s="1364">
        <f>'Part I-Project Information'!P176</f>
        <v>40</v>
      </c>
    </row>
    <row r="181" spans="1:16" ht="13.8">
      <c r="A181" s="1330"/>
      <c r="B181" s="1328"/>
      <c r="C181" s="1330"/>
      <c r="D181" s="1330"/>
      <c r="E181" s="1330"/>
      <c r="F181" s="1330"/>
      <c r="G181" s="1330"/>
      <c r="H181" s="1330"/>
      <c r="I181" s="1330"/>
      <c r="J181" s="1330"/>
      <c r="K181" s="1330"/>
      <c r="L181" s="1330" t="s">
        <v>796</v>
      </c>
      <c r="M181" s="1330"/>
      <c r="N181" s="1367"/>
      <c r="O181" s="1367"/>
      <c r="P181" s="1364">
        <f>'Part I-Project Information'!P177</f>
        <v>30</v>
      </c>
    </row>
    <row r="182" spans="1:16" ht="13.8">
      <c r="A182" s="1328"/>
      <c r="B182" s="1328"/>
      <c r="C182" s="1330"/>
      <c r="D182" s="1330"/>
      <c r="E182" s="1330"/>
      <c r="F182" s="1330"/>
      <c r="G182" s="1330"/>
      <c r="H182" s="1330"/>
      <c r="I182" s="1330"/>
      <c r="J182" s="1330"/>
      <c r="K182" s="1330"/>
      <c r="L182" s="1330" t="s">
        <v>1790</v>
      </c>
      <c r="M182" s="1330"/>
      <c r="N182" s="1367"/>
      <c r="O182" s="1367"/>
      <c r="P182" s="1380">
        <f>IF(P180="","",P181/P180)</f>
        <v>0.75</v>
      </c>
    </row>
    <row r="183" spans="1:16" ht="13.8">
      <c r="A183" s="1328"/>
      <c r="B183" s="1328" t="s">
        <v>1734</v>
      </c>
      <c r="C183" s="1331" t="s">
        <v>1608</v>
      </c>
      <c r="D183" s="1363"/>
      <c r="E183" s="1363"/>
      <c r="F183" s="1363"/>
      <c r="G183" s="1363"/>
      <c r="H183" s="1334"/>
      <c r="I183" s="1330"/>
      <c r="J183" s="1336"/>
      <c r="K183" s="1344"/>
      <c r="L183" s="1330"/>
      <c r="M183" s="1330"/>
      <c r="N183" s="1330"/>
      <c r="O183" s="1334"/>
      <c r="P183" s="1343"/>
    </row>
    <row r="184" spans="1:16" ht="13.8">
      <c r="A184" s="1328"/>
      <c r="B184" s="1328"/>
      <c r="C184" s="1330" t="s">
        <v>2211</v>
      </c>
      <c r="D184" s="1311"/>
      <c r="E184" s="1330"/>
      <c r="F184" s="1330"/>
      <c r="G184" s="1330"/>
      <c r="H184" s="1330"/>
      <c r="I184" s="1344" t="str">
        <f>'Part I-Project Information'!I180</f>
        <v>No</v>
      </c>
      <c r="J184" s="1330"/>
      <c r="K184" s="1330"/>
      <c r="L184" s="1330" t="s">
        <v>1609</v>
      </c>
      <c r="M184" s="1330"/>
      <c r="N184" s="1330"/>
      <c r="O184" s="1330"/>
      <c r="P184" s="1344" t="str">
        <f>'Part I-Project Information'!P180</f>
        <v>Yes</v>
      </c>
    </row>
    <row r="185" spans="1:16" ht="13.8">
      <c r="A185" s="1328"/>
      <c r="B185" s="1328"/>
      <c r="C185" s="1330" t="s">
        <v>2212</v>
      </c>
      <c r="D185" s="1330"/>
      <c r="E185" s="1330"/>
      <c r="F185" s="1330"/>
      <c r="G185" s="1330"/>
      <c r="H185" s="1330"/>
      <c r="I185" s="1344" t="str">
        <f>'Part I-Project Information'!I181</f>
        <v>Yes</v>
      </c>
      <c r="J185" s="1330"/>
      <c r="K185" s="1330"/>
      <c r="L185" s="1330" t="s">
        <v>2844</v>
      </c>
      <c r="M185" s="1330"/>
      <c r="N185" s="1330"/>
      <c r="O185" s="1330"/>
      <c r="P185" s="1344" t="str">
        <f>'Part I-Project Information'!P181</f>
        <v>No</v>
      </c>
    </row>
    <row r="186" spans="1:16" ht="13.8">
      <c r="A186" s="1328"/>
      <c r="B186" s="1330"/>
      <c r="C186" s="1330" t="s">
        <v>2721</v>
      </c>
      <c r="D186" s="1330"/>
      <c r="E186" s="1330"/>
      <c r="F186" s="1330"/>
      <c r="G186" s="1330"/>
      <c r="H186" s="1330"/>
      <c r="I186" s="1344" t="str">
        <f>'Part I-Project Information'!I182</f>
        <v>No</v>
      </c>
      <c r="J186" s="1330"/>
      <c r="K186" s="1330"/>
      <c r="L186" s="1330" t="s">
        <v>2689</v>
      </c>
      <c r="M186" s="1330"/>
      <c r="N186" s="1808">
        <f>'Part I-Project Information'!N182</f>
        <v>0</v>
      </c>
      <c r="O186" s="1808">
        <f>'Part I-Project Information'!O182</f>
        <v>0</v>
      </c>
      <c r="P186" s="1344" t="str">
        <f>'Part I-Project Information'!P182</f>
        <v>No</v>
      </c>
    </row>
    <row r="187" spans="1:16" ht="13.8">
      <c r="A187" s="1328"/>
      <c r="B187" s="1328"/>
      <c r="C187" s="1330" t="s">
        <v>1284</v>
      </c>
      <c r="D187" s="1381"/>
      <c r="E187" s="1330"/>
      <c r="F187" s="1330"/>
      <c r="G187" s="1330"/>
      <c r="H187" s="1330"/>
      <c r="I187" s="1344" t="str">
        <f>'Part I-Project Information'!I183</f>
        <v>No</v>
      </c>
      <c r="J187" s="1330"/>
      <c r="K187" s="1311"/>
      <c r="L187" s="1330" t="s">
        <v>3480</v>
      </c>
      <c r="M187" s="1330"/>
      <c r="N187" s="1330"/>
      <c r="O187" s="1330"/>
      <c r="P187" s="1344" t="str">
        <f>'Part I-Project Information'!P183</f>
        <v>No</v>
      </c>
    </row>
    <row r="188" spans="1:16" ht="13.8">
      <c r="A188" s="1328"/>
      <c r="B188" s="1311"/>
      <c r="C188" s="1330" t="s">
        <v>1806</v>
      </c>
      <c r="D188" s="1330"/>
      <c r="E188" s="1330"/>
      <c r="F188" s="1330"/>
      <c r="G188" s="1330"/>
      <c r="H188" s="1330"/>
      <c r="I188" s="1344" t="str">
        <f>'Part I-Project Information'!I184</f>
        <v>No</v>
      </c>
      <c r="J188" s="1379" t="s">
        <v>2752</v>
      </c>
      <c r="K188" s="1330"/>
      <c r="L188" s="1330"/>
      <c r="M188" s="1330"/>
      <c r="N188" s="1330"/>
      <c r="O188" s="1809">
        <f>'Part I-Project Information'!O184</f>
        <v>0</v>
      </c>
      <c r="P188" s="1809">
        <f>'Part I-Project Information'!P184</f>
        <v>0</v>
      </c>
    </row>
    <row r="189" spans="1:16" ht="13.8">
      <c r="A189" s="1328"/>
      <c r="B189" s="1328"/>
      <c r="C189" s="1330" t="s">
        <v>2901</v>
      </c>
      <c r="D189" s="1330"/>
      <c r="E189" s="1330"/>
      <c r="F189" s="1330"/>
      <c r="G189" s="1330"/>
      <c r="H189" s="1330"/>
      <c r="I189" s="1344" t="str">
        <f>'Part I-Project Information'!I185</f>
        <v>No</v>
      </c>
      <c r="J189" s="1379" t="s">
        <v>2752</v>
      </c>
      <c r="K189" s="1330"/>
      <c r="L189" s="1330"/>
      <c r="M189" s="1330"/>
      <c r="N189" s="1330"/>
      <c r="O189" s="1809">
        <f>'Part I-Project Information'!O185</f>
        <v>0</v>
      </c>
      <c r="P189" s="1809">
        <f>'Part I-Project Information'!P185</f>
        <v>0</v>
      </c>
    </row>
    <row r="190" spans="1:16" ht="13.8">
      <c r="A190" s="1328"/>
      <c r="B190" s="1328"/>
      <c r="C190" s="1330"/>
      <c r="D190" s="1330"/>
      <c r="E190" s="1330"/>
      <c r="F190" s="1330"/>
      <c r="G190" s="1330"/>
      <c r="H190" s="1330"/>
      <c r="I190" s="1330"/>
      <c r="J190" s="1330"/>
      <c r="K190" s="1330"/>
      <c r="L190" s="1330"/>
      <c r="M190" s="1330"/>
      <c r="N190" s="1330"/>
      <c r="O190" s="1330"/>
      <c r="P190" s="1336"/>
    </row>
    <row r="191" spans="1:16" ht="13.8">
      <c r="A191" s="1330"/>
      <c r="B191" s="1328" t="s">
        <v>1735</v>
      </c>
      <c r="C191" s="1331" t="s">
        <v>738</v>
      </c>
      <c r="D191" s="1330"/>
      <c r="E191" s="1330"/>
      <c r="F191" s="1330"/>
      <c r="G191" s="1330"/>
      <c r="H191" s="1330"/>
      <c r="I191" s="1330"/>
      <c r="J191" s="1330"/>
      <c r="K191" s="1330"/>
      <c r="L191" s="1330"/>
      <c r="M191" s="1330"/>
      <c r="N191" s="1330"/>
      <c r="O191" s="1330"/>
      <c r="P191" s="1330"/>
    </row>
    <row r="192" spans="1:16" ht="13.8">
      <c r="A192" s="1328"/>
      <c r="B192" s="1328"/>
      <c r="C192" s="1337" t="s">
        <v>638</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ht="13.8">
      <c r="A193" s="1328"/>
      <c r="B193" s="1328"/>
      <c r="C193" s="1337" t="s">
        <v>276</v>
      </c>
      <c r="D193" s="1363"/>
      <c r="E193" s="1363"/>
      <c r="F193" s="1334"/>
      <c r="G193" s="1334"/>
      <c r="H193" s="1806">
        <f>'Part I-Project Information'!H189</f>
        <v>44317</v>
      </c>
      <c r="I193" s="1806">
        <f>'Part I-Project Information'!I189</f>
        <v>0</v>
      </c>
      <c r="J193" s="1330"/>
      <c r="K193" s="1330"/>
      <c r="L193" s="1330"/>
      <c r="M193" s="1330"/>
      <c r="N193" s="1330"/>
      <c r="O193" s="1330"/>
      <c r="P193" s="1343"/>
    </row>
    <row r="194" spans="1:19" ht="13.8">
      <c r="A194" s="1328"/>
      <c r="B194" s="1328"/>
      <c r="C194" s="1337" t="s">
        <v>2294</v>
      </c>
      <c r="D194" s="1363"/>
      <c r="E194" s="1363"/>
      <c r="F194" s="1334"/>
      <c r="G194" s="1334"/>
      <c r="H194" s="1806">
        <f>'Part I-Project Information'!H190</f>
        <v>0</v>
      </c>
      <c r="I194" s="1806">
        <f>'Part I-Project Information'!I190</f>
        <v>0</v>
      </c>
      <c r="J194" s="1330"/>
      <c r="K194" s="1330"/>
      <c r="L194" s="1330"/>
      <c r="M194" s="1330"/>
      <c r="N194" s="1330"/>
      <c r="O194" s="1330"/>
      <c r="P194" s="1343"/>
    </row>
    <row r="195" spans="1:19" ht="13.8">
      <c r="A195" s="1330"/>
      <c r="B195" s="1311"/>
      <c r="C195" s="1330"/>
      <c r="D195" s="1330"/>
      <c r="E195" s="1330"/>
      <c r="F195" s="1330"/>
      <c r="G195" s="1330"/>
      <c r="H195" s="1330"/>
      <c r="I195" s="1330"/>
      <c r="J195" s="1330"/>
      <c r="K195" s="1330"/>
      <c r="L195" s="1336"/>
      <c r="M195" s="1336"/>
      <c r="N195" s="1336"/>
      <c r="O195" s="1336"/>
      <c r="P195" s="1340"/>
    </row>
    <row r="196" spans="1:19" ht="13.8">
      <c r="A196" s="1362" t="s">
        <v>2780</v>
      </c>
      <c r="B196" s="1366"/>
      <c r="C196" s="1362" t="s">
        <v>571</v>
      </c>
      <c r="D196" s="1336"/>
      <c r="E196" s="1336"/>
      <c r="F196" s="1336"/>
      <c r="G196" s="1336"/>
      <c r="H196" s="1336"/>
      <c r="I196" s="1336"/>
      <c r="J196" s="1336"/>
      <c r="K196" s="1336"/>
      <c r="L196" s="1336"/>
      <c r="M196" s="1362" t="s">
        <v>2250</v>
      </c>
      <c r="N196" s="1362" t="s">
        <v>79</v>
      </c>
      <c r="O196" s="1336"/>
      <c r="P196" s="1336"/>
    </row>
    <row r="197" spans="1:19" ht="12.75" customHeight="1">
      <c r="A197" s="1391">
        <f>'Part I-Project Information'!A193</f>
        <v>0</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ht="13.8">
      <c r="A204" s="1311" t="str">
        <f>CONCATENATE("PART TWO - DEVELOPMENT TEAM INFORMATION","  -  ",'Part I-Project Information'!$O$6," ",'Part I-Project Information'!$F$34,", ",'Part I-Project Information'!F248,", ",'Part I-Project Information'!J249," County")</f>
        <v>PART TWO - DEVELOPMENT TEAM INFORMATION  -  2019-049 Woodstone Apartments II,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ht="13.8">
      <c r="A205" s="1331" t="s">
        <v>4456</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8">
      <c r="A206" s="1311" t="s">
        <v>615</v>
      </c>
      <c r="B206" s="1331" t="s">
        <v>1857</v>
      </c>
      <c r="C206" s="1331"/>
      <c r="D206" s="1330"/>
      <c r="E206" s="1331"/>
      <c r="F206" s="1331"/>
      <c r="G206" s="1331"/>
      <c r="H206" s="1332" t="s">
        <v>4253</v>
      </c>
      <c r="I206" s="1330"/>
      <c r="J206" s="1330"/>
      <c r="K206" s="1330"/>
      <c r="L206" s="1330"/>
      <c r="M206" s="1330"/>
      <c r="N206" s="1330"/>
      <c r="O206" s="1330"/>
      <c r="P206" s="1330"/>
      <c r="Q206" s="1330"/>
      <c r="R206" s="1330"/>
      <c r="S206" s="1330"/>
    </row>
    <row r="207" spans="1:19" ht="13.8">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ht="13.8">
      <c r="A208" s="1330"/>
      <c r="B208" s="1311" t="s">
        <v>1982</v>
      </c>
      <c r="C208" s="1331" t="s">
        <v>1853</v>
      </c>
      <c r="D208" s="1330"/>
      <c r="E208" s="1330"/>
      <c r="F208" s="1330"/>
      <c r="G208" s="1330"/>
      <c r="H208" s="1330" t="str">
        <f>'Part II-Development Team'!H5</f>
        <v>Woodstone Apartments II,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1988</v>
      </c>
      <c r="P208" s="1337"/>
      <c r="Q208" s="1330" t="str">
        <f>'Part II-Development Team'!Q5</f>
        <v>Jeff Beaver</v>
      </c>
      <c r="R208" s="1330">
        <f>'Part II-Development Team'!R5</f>
        <v>0</v>
      </c>
      <c r="S208" s="1330">
        <f>'Part II-Development Team'!S5</f>
        <v>0</v>
      </c>
    </row>
    <row r="209" spans="1:19" ht="13.8">
      <c r="A209" s="1330"/>
      <c r="B209" s="1330"/>
      <c r="C209" s="1330"/>
      <c r="D209" s="1382"/>
      <c r="E209" s="1337" t="s">
        <v>1020</v>
      </c>
      <c r="F209" s="1340"/>
      <c r="G209" s="1330"/>
      <c r="H209" s="1330" t="str">
        <f>'Part II-Development Team'!H6</f>
        <v>404 E McKinney Ave</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1746</v>
      </c>
      <c r="P209" s="1330"/>
      <c r="Q209" s="1330" t="str">
        <f>'Part II-Development Team'!Q6</f>
        <v>Pres. of Member of GP</v>
      </c>
      <c r="R209" s="1330">
        <f>'Part II-Development Team'!R6</f>
        <v>0</v>
      </c>
      <c r="S209" s="1330">
        <f>'Part II-Development Team'!S6</f>
        <v>0</v>
      </c>
    </row>
    <row r="210" spans="1:19" ht="13.8">
      <c r="A210" s="1330"/>
      <c r="B210" s="1330"/>
      <c r="C210" s="1330"/>
      <c r="D210" s="1382"/>
      <c r="E210" s="1337" t="s">
        <v>617</v>
      </c>
      <c r="F210" s="1330"/>
      <c r="G210" s="1330"/>
      <c r="H210" s="1330" t="str">
        <f>'Part II-Development Team'!H7</f>
        <v>Albertville</v>
      </c>
      <c r="I210" s="1330">
        <f>'Part II-Development Team'!I7</f>
        <v>0</v>
      </c>
      <c r="J210" s="1330">
        <f>'Part II-Development Team'!J7</f>
        <v>0</v>
      </c>
      <c r="K210" s="1334" t="s">
        <v>761</v>
      </c>
      <c r="L210" s="1330" t="str">
        <f>'Part II-Development Team'!L7</f>
        <v>Applied For</v>
      </c>
      <c r="M210" s="1330">
        <f>'Part II-Development Team'!M7</f>
        <v>0</v>
      </c>
      <c r="N210" s="1330">
        <f>'Part II-Development Team'!N7</f>
        <v>0</v>
      </c>
      <c r="O210" s="1337" t="s">
        <v>1720</v>
      </c>
      <c r="P210" s="1330"/>
      <c r="Q210" s="1799">
        <f>'Part II-Development Team'!Q7</f>
        <v>2568786054</v>
      </c>
      <c r="R210" s="1799">
        <f>'Part II-Development Team'!R7</f>
        <v>0</v>
      </c>
      <c r="S210" s="1799">
        <f>'Part II-Development Team'!S7</f>
        <v>0</v>
      </c>
    </row>
    <row r="211" spans="1:19" ht="13.8">
      <c r="A211" s="1330"/>
      <c r="B211" s="1330"/>
      <c r="C211" s="1330"/>
      <c r="D211" s="1382"/>
      <c r="E211" s="1337" t="s">
        <v>1798</v>
      </c>
      <c r="F211" s="1330"/>
      <c r="G211" s="1330"/>
      <c r="H211" s="1337" t="str">
        <f>'Part II-Development Team'!H8</f>
        <v>AL</v>
      </c>
      <c r="I211" s="1334" t="s">
        <v>2228</v>
      </c>
      <c r="J211" s="1798">
        <f>'Part II-Development Team'!J8</f>
        <v>359501832</v>
      </c>
      <c r="K211" s="1798">
        <f>'Part II-Development Team'!K8</f>
        <v>0</v>
      </c>
      <c r="L211" s="1330" t="s">
        <v>3685</v>
      </c>
      <c r="M211" s="1330" t="str">
        <f>'Part II-Development Team'!M8</f>
        <v>For Profit</v>
      </c>
      <c r="N211" s="1330">
        <f>'Part II-Development Team'!N8</f>
        <v>0</v>
      </c>
      <c r="O211" s="1337" t="s">
        <v>1978</v>
      </c>
      <c r="P211" s="1330"/>
      <c r="Q211" s="1799">
        <f>'Part II-Development Team'!Q8</f>
        <v>0</v>
      </c>
      <c r="R211" s="1799">
        <f>'Part II-Development Team'!R8</f>
        <v>0</v>
      </c>
      <c r="S211" s="1799">
        <f>'Part II-Development Team'!S8</f>
        <v>0</v>
      </c>
    </row>
    <row r="212" spans="1:19" ht="13.8">
      <c r="A212" s="1330"/>
      <c r="B212" s="1330"/>
      <c r="C212" s="1330"/>
      <c r="D212" s="1382"/>
      <c r="E212" s="1337" t="s">
        <v>4254</v>
      </c>
      <c r="F212" s="1330"/>
      <c r="G212" s="1330"/>
      <c r="H212" s="1799">
        <f>'Part II-Development Team'!H9</f>
        <v>2568786054</v>
      </c>
      <c r="I212" s="1799">
        <f>'Part II-Development Team'!I9</f>
        <v>0</v>
      </c>
      <c r="J212" s="1344">
        <f>'Part II-Development Team'!J9</f>
        <v>0</v>
      </c>
      <c r="K212" s="1334" t="s">
        <v>1983</v>
      </c>
      <c r="L212" s="1706" t="str">
        <f>'Part II-Development Team'!L9</f>
        <v>jeff@olympiaconstruction.net</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8">
      <c r="A213" s="1330"/>
      <c r="B213" s="1330"/>
      <c r="C213" s="1330"/>
      <c r="D213" s="1382"/>
      <c r="E213" s="1332" t="s">
        <v>4253</v>
      </c>
      <c r="F213" s="1330"/>
      <c r="G213" s="1330"/>
      <c r="H213" s="1378"/>
      <c r="I213" s="1330"/>
      <c r="J213" s="1330"/>
      <c r="K213" s="1393"/>
      <c r="L213" s="1330"/>
      <c r="M213" s="1330"/>
      <c r="N213" s="1311" t="s">
        <v>4492</v>
      </c>
      <c r="O213" s="1330"/>
      <c r="P213" s="1330"/>
      <c r="Q213" s="1334"/>
      <c r="R213" s="1330"/>
      <c r="S213" s="1330"/>
    </row>
    <row r="214" spans="1:19" ht="13.8">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8">
      <c r="A215" s="1330"/>
      <c r="B215" s="1366" t="s">
        <v>1984</v>
      </c>
      <c r="C215" s="1331" t="s">
        <v>1854</v>
      </c>
      <c r="D215" s="1330"/>
      <c r="E215" s="1330"/>
      <c r="F215" s="1331"/>
      <c r="G215" s="1331"/>
      <c r="H215" s="1331"/>
      <c r="I215" s="1331"/>
      <c r="J215" s="1330"/>
      <c r="K215" s="1330"/>
      <c r="L215" s="1330"/>
      <c r="M215" s="1330"/>
      <c r="N215" s="1810" t="s">
        <v>1283</v>
      </c>
      <c r="O215" s="1330"/>
      <c r="P215" s="1330"/>
      <c r="Q215" s="1330"/>
      <c r="R215" s="1330"/>
      <c r="S215" s="1330"/>
    </row>
    <row r="216" spans="1:19" ht="13.8">
      <c r="A216" s="1330"/>
      <c r="B216" s="1330"/>
      <c r="C216" s="1384" t="s">
        <v>1985</v>
      </c>
      <c r="D216" s="1366" t="s">
        <v>1986</v>
      </c>
      <c r="E216" s="1330"/>
      <c r="F216" s="1330"/>
      <c r="G216" s="1330"/>
      <c r="H216" s="1330"/>
      <c r="I216" s="1330"/>
      <c r="J216" s="1330"/>
      <c r="K216" s="1330"/>
      <c r="L216" s="1330"/>
      <c r="M216" s="1330"/>
      <c r="N216" s="1393"/>
      <c r="O216" s="1330"/>
      <c r="P216" s="1330"/>
      <c r="Q216" s="1330"/>
      <c r="R216" s="1330"/>
      <c r="S216" s="1330"/>
    </row>
    <row r="217" spans="1:19" ht="13.8">
      <c r="A217" s="1330"/>
      <c r="B217" s="1330"/>
      <c r="C217" s="1330"/>
      <c r="D217" s="1311" t="s">
        <v>2115</v>
      </c>
      <c r="E217" s="1330" t="s">
        <v>1855</v>
      </c>
      <c r="F217" s="1330"/>
      <c r="G217" s="1330"/>
      <c r="H217" s="1330" t="str">
        <f>'Part II-Development Team'!H14</f>
        <v>Olympia GP Holdings,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1988</v>
      </c>
      <c r="P217" s="1337"/>
      <c r="Q217" s="1330" t="str">
        <f>'Part II-Development Team'!Q14</f>
        <v>Jeff Beaver</v>
      </c>
      <c r="R217" s="1330">
        <f>'Part II-Development Team'!R14</f>
        <v>0</v>
      </c>
      <c r="S217" s="1330">
        <f>'Part II-Development Team'!S14</f>
        <v>0</v>
      </c>
    </row>
    <row r="218" spans="1:19" ht="13.8">
      <c r="A218" s="1330"/>
      <c r="B218" s="1330"/>
      <c r="C218" s="1330"/>
      <c r="D218" s="1382"/>
      <c r="E218" s="1337" t="s">
        <v>1020</v>
      </c>
      <c r="F218" s="1340"/>
      <c r="G218" s="1330"/>
      <c r="H218" s="1330" t="str">
        <f>'Part II-Development Team'!H15</f>
        <v>404 E McKinney Ave</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1746</v>
      </c>
      <c r="P218" s="1330"/>
      <c r="Q218" s="1330" t="str">
        <f>'Part II-Development Team'!Q15</f>
        <v>Managing Member</v>
      </c>
      <c r="R218" s="1330">
        <f>'Part II-Development Team'!R15</f>
        <v>0</v>
      </c>
      <c r="S218" s="1330">
        <f>'Part II-Development Team'!S15</f>
        <v>0</v>
      </c>
    </row>
    <row r="219" spans="1:19" ht="13.8">
      <c r="A219" s="1330"/>
      <c r="B219" s="1330"/>
      <c r="C219" s="1330"/>
      <c r="D219" s="1382"/>
      <c r="E219" s="1337" t="s">
        <v>617</v>
      </c>
      <c r="F219" s="1330"/>
      <c r="G219" s="1330"/>
      <c r="H219" s="1330" t="str">
        <f>'Part II-Development Team'!H16</f>
        <v>Albertville</v>
      </c>
      <c r="I219" s="1330">
        <f>'Part II-Development Team'!I16</f>
        <v>0</v>
      </c>
      <c r="J219" s="1330">
        <f>'Part II-Development Team'!J16</f>
        <v>0</v>
      </c>
      <c r="K219" s="1334" t="s">
        <v>2703</v>
      </c>
      <c r="L219" s="1330">
        <f>'Part II-Development Team'!L16</f>
        <v>0</v>
      </c>
      <c r="M219" s="1330">
        <f>'Part II-Development Team'!M16</f>
        <v>0</v>
      </c>
      <c r="N219" s="1330">
        <f>'Part II-Development Team'!N16</f>
        <v>0</v>
      </c>
      <c r="O219" s="1337" t="s">
        <v>1720</v>
      </c>
      <c r="P219" s="1330"/>
      <c r="Q219" s="1799">
        <f>'Part II-Development Team'!Q16</f>
        <v>2568786054</v>
      </c>
      <c r="R219" s="1799">
        <f>'Part II-Development Team'!R16</f>
        <v>0</v>
      </c>
      <c r="S219" s="1799">
        <f>'Part II-Development Team'!S16</f>
        <v>0</v>
      </c>
    </row>
    <row r="220" spans="1:19" ht="13.8">
      <c r="A220" s="1330"/>
      <c r="B220" s="1330"/>
      <c r="C220" s="1330"/>
      <c r="D220" s="1311"/>
      <c r="E220" s="1337" t="s">
        <v>1798</v>
      </c>
      <c r="F220" s="1330"/>
      <c r="G220" s="1330"/>
      <c r="H220" s="1337" t="str">
        <f>'Part II-Development Team'!H17</f>
        <v>AL</v>
      </c>
      <c r="I220" s="1330"/>
      <c r="J220" s="1330"/>
      <c r="K220" s="1334" t="s">
        <v>2228</v>
      </c>
      <c r="L220" s="1798">
        <f>'Part II-Development Team'!L17</f>
        <v>359501832</v>
      </c>
      <c r="M220" s="1798">
        <f>'Part II-Development Team'!M17</f>
        <v>0</v>
      </c>
      <c r="N220" s="1330"/>
      <c r="O220" s="1337" t="s">
        <v>1978</v>
      </c>
      <c r="P220" s="1330"/>
      <c r="Q220" s="1799">
        <f>'Part II-Development Team'!Q17</f>
        <v>0</v>
      </c>
      <c r="R220" s="1799">
        <f>'Part II-Development Team'!R17</f>
        <v>0</v>
      </c>
      <c r="S220" s="1799">
        <f>'Part II-Development Team'!S17</f>
        <v>0</v>
      </c>
    </row>
    <row r="221" spans="1:19" ht="13.8">
      <c r="A221" s="1330"/>
      <c r="B221" s="1330"/>
      <c r="C221" s="1330"/>
      <c r="D221" s="1382"/>
      <c r="E221" s="1337" t="s">
        <v>4254</v>
      </c>
      <c r="F221" s="1330"/>
      <c r="G221" s="1330"/>
      <c r="H221" s="1799">
        <f>'Part II-Development Team'!H18</f>
        <v>2568786054</v>
      </c>
      <c r="I221" s="1799">
        <f>'Part II-Development Team'!I18</f>
        <v>0</v>
      </c>
      <c r="J221" s="1344">
        <f>'Part II-Development Team'!J18</f>
        <v>0</v>
      </c>
      <c r="K221" s="1334" t="s">
        <v>1983</v>
      </c>
      <c r="L221" s="1706" t="str">
        <f>'Part II-Development Team'!L18</f>
        <v>jeff@olympiaconstruction.net</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ht="13.8">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ht="13.8">
      <c r="A223" s="1330"/>
      <c r="B223" s="1330"/>
      <c r="C223" s="1330"/>
      <c r="D223" s="1311" t="s">
        <v>2116</v>
      </c>
      <c r="E223" s="1330" t="s">
        <v>1856</v>
      </c>
      <c r="F223" s="1330"/>
      <c r="G223" s="1330"/>
      <c r="H223" s="1330">
        <f>'Part II-Development Team'!H20</f>
        <v>0</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1988</v>
      </c>
      <c r="P223" s="1337"/>
      <c r="Q223" s="1330">
        <f>'Part II-Development Team'!Q20</f>
        <v>0</v>
      </c>
      <c r="R223" s="1330">
        <f>'Part II-Development Team'!R20</f>
        <v>0</v>
      </c>
      <c r="S223" s="1330">
        <f>'Part II-Development Team'!S20</f>
        <v>0</v>
      </c>
    </row>
    <row r="224" spans="1:19" ht="13.8">
      <c r="A224" s="1330"/>
      <c r="B224" s="1330"/>
      <c r="C224" s="1330"/>
      <c r="D224" s="1382"/>
      <c r="E224" s="1337" t="s">
        <v>1020</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1746</v>
      </c>
      <c r="P224" s="1330"/>
      <c r="Q224" s="1330">
        <f>'Part II-Development Team'!Q21</f>
        <v>0</v>
      </c>
      <c r="R224" s="1330">
        <f>'Part II-Development Team'!R21</f>
        <v>0</v>
      </c>
      <c r="S224" s="1330">
        <f>'Part II-Development Team'!S21</f>
        <v>0</v>
      </c>
    </row>
    <row r="225" spans="1:19" ht="13.8">
      <c r="A225" s="1330"/>
      <c r="B225" s="1330"/>
      <c r="C225" s="1330"/>
      <c r="D225" s="1382"/>
      <c r="E225" s="1337" t="s">
        <v>617</v>
      </c>
      <c r="F225" s="1330"/>
      <c r="G225" s="1330"/>
      <c r="H225" s="1330">
        <f>'Part II-Development Team'!H22</f>
        <v>0</v>
      </c>
      <c r="I225" s="1330">
        <f>'Part II-Development Team'!I22</f>
        <v>0</v>
      </c>
      <c r="J225" s="1330">
        <f>'Part II-Development Team'!J22</f>
        <v>0</v>
      </c>
      <c r="K225" s="1334" t="s">
        <v>2703</v>
      </c>
      <c r="L225" s="1330">
        <f>'Part II-Development Team'!L22</f>
        <v>0</v>
      </c>
      <c r="M225" s="1330">
        <f>'Part II-Development Team'!M22</f>
        <v>0</v>
      </c>
      <c r="N225" s="1330">
        <f>'Part II-Development Team'!N22</f>
        <v>0</v>
      </c>
      <c r="O225" s="1337" t="s">
        <v>1720</v>
      </c>
      <c r="P225" s="1330"/>
      <c r="Q225" s="1799">
        <f>'Part II-Development Team'!Q22</f>
        <v>0</v>
      </c>
      <c r="R225" s="1799">
        <f>'Part II-Development Team'!R22</f>
        <v>0</v>
      </c>
      <c r="S225" s="1799">
        <f>'Part II-Development Team'!S22</f>
        <v>0</v>
      </c>
    </row>
    <row r="226" spans="1:19" ht="13.8">
      <c r="A226" s="1330"/>
      <c r="B226" s="1330"/>
      <c r="C226" s="1330"/>
      <c r="D226" s="1330"/>
      <c r="E226" s="1337" t="s">
        <v>1798</v>
      </c>
      <c r="F226" s="1330"/>
      <c r="G226" s="1330"/>
      <c r="H226" s="1337">
        <f>'Part II-Development Team'!H23</f>
        <v>0</v>
      </c>
      <c r="I226" s="1330"/>
      <c r="J226" s="1330"/>
      <c r="K226" s="1334" t="s">
        <v>2228</v>
      </c>
      <c r="L226" s="1798">
        <f>'Part II-Development Team'!L23</f>
        <v>0</v>
      </c>
      <c r="M226" s="1798">
        <f>'Part II-Development Team'!M23</f>
        <v>0</v>
      </c>
      <c r="N226" s="1330"/>
      <c r="O226" s="1337" t="s">
        <v>1978</v>
      </c>
      <c r="P226" s="1330"/>
      <c r="Q226" s="1799">
        <f>'Part II-Development Team'!Q23</f>
        <v>0</v>
      </c>
      <c r="R226" s="1799">
        <f>'Part II-Development Team'!R23</f>
        <v>0</v>
      </c>
      <c r="S226" s="1799">
        <f>'Part II-Development Team'!S23</f>
        <v>0</v>
      </c>
    </row>
    <row r="227" spans="1:19" ht="13.8">
      <c r="A227" s="1330"/>
      <c r="B227" s="1330"/>
      <c r="C227" s="1330"/>
      <c r="D227" s="1382"/>
      <c r="E227" s="1337" t="s">
        <v>4254</v>
      </c>
      <c r="F227" s="1330"/>
      <c r="G227" s="1330"/>
      <c r="H227" s="1799">
        <f>'Part II-Development Team'!H24</f>
        <v>0</v>
      </c>
      <c r="I227" s="1799">
        <f>'Part II-Development Team'!I24</f>
        <v>0</v>
      </c>
      <c r="J227" s="1344">
        <f>'Part II-Development Team'!J24</f>
        <v>0</v>
      </c>
      <c r="K227" s="1334" t="s">
        <v>1983</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ht="13.8">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ht="13.8">
      <c r="A229" s="1330"/>
      <c r="B229" s="1330"/>
      <c r="C229" s="1330"/>
      <c r="D229" s="1311" t="s">
        <v>1733</v>
      </c>
      <c r="E229" s="1330" t="s">
        <v>1856</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1988</v>
      </c>
      <c r="P229" s="1337"/>
      <c r="Q229" s="1330">
        <f>'Part II-Development Team'!Q26</f>
        <v>0</v>
      </c>
      <c r="R229" s="1330">
        <f>'Part II-Development Team'!R26</f>
        <v>0</v>
      </c>
      <c r="S229" s="1330">
        <f>'Part II-Development Team'!S26</f>
        <v>0</v>
      </c>
    </row>
    <row r="230" spans="1:19" ht="13.8">
      <c r="A230" s="1330"/>
      <c r="B230" s="1330"/>
      <c r="C230" s="1330"/>
      <c r="D230" s="1382"/>
      <c r="E230" s="1337" t="s">
        <v>1020</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1746</v>
      </c>
      <c r="P230" s="1330"/>
      <c r="Q230" s="1330">
        <f>'Part II-Development Team'!Q27</f>
        <v>0</v>
      </c>
      <c r="R230" s="1330">
        <f>'Part II-Development Team'!R27</f>
        <v>0</v>
      </c>
      <c r="S230" s="1330">
        <f>'Part II-Development Team'!S27</f>
        <v>0</v>
      </c>
    </row>
    <row r="231" spans="1:19" ht="13.8">
      <c r="A231" s="1330"/>
      <c r="B231" s="1330"/>
      <c r="C231" s="1330"/>
      <c r="D231" s="1382"/>
      <c r="E231" s="1337" t="s">
        <v>617</v>
      </c>
      <c r="F231" s="1330"/>
      <c r="G231" s="1330"/>
      <c r="H231" s="1330">
        <f>'Part II-Development Team'!H28</f>
        <v>0</v>
      </c>
      <c r="I231" s="1330">
        <f>'Part II-Development Team'!I28</f>
        <v>0</v>
      </c>
      <c r="J231" s="1330">
        <f>'Part II-Development Team'!J28</f>
        <v>0</v>
      </c>
      <c r="K231" s="1334" t="s">
        <v>2703</v>
      </c>
      <c r="L231" s="1330">
        <f>'Part II-Development Team'!L28</f>
        <v>0</v>
      </c>
      <c r="M231" s="1330">
        <f>'Part II-Development Team'!M28</f>
        <v>0</v>
      </c>
      <c r="N231" s="1330">
        <f>'Part II-Development Team'!N28</f>
        <v>0</v>
      </c>
      <c r="O231" s="1337" t="s">
        <v>1720</v>
      </c>
      <c r="P231" s="1330"/>
      <c r="Q231" s="1799">
        <f>'Part II-Development Team'!Q28</f>
        <v>0</v>
      </c>
      <c r="R231" s="1799">
        <f>'Part II-Development Team'!R28</f>
        <v>0</v>
      </c>
      <c r="S231" s="1799">
        <f>'Part II-Development Team'!S28</f>
        <v>0</v>
      </c>
    </row>
    <row r="232" spans="1:19" ht="13.8">
      <c r="A232" s="1330"/>
      <c r="B232" s="1330"/>
      <c r="C232" s="1330"/>
      <c r="D232" s="1330"/>
      <c r="E232" s="1337" t="s">
        <v>1798</v>
      </c>
      <c r="F232" s="1330"/>
      <c r="G232" s="1330"/>
      <c r="H232" s="1337">
        <f>'Part II-Development Team'!H29</f>
        <v>0</v>
      </c>
      <c r="I232" s="1330"/>
      <c r="J232" s="1330"/>
      <c r="K232" s="1334" t="s">
        <v>2228</v>
      </c>
      <c r="L232" s="1798">
        <f>'Part II-Development Team'!L29</f>
        <v>0</v>
      </c>
      <c r="M232" s="1798">
        <f>'Part II-Development Team'!M29</f>
        <v>0</v>
      </c>
      <c r="N232" s="1330"/>
      <c r="O232" s="1337" t="s">
        <v>1978</v>
      </c>
      <c r="P232" s="1330"/>
      <c r="Q232" s="1799">
        <f>'Part II-Development Team'!Q29</f>
        <v>0</v>
      </c>
      <c r="R232" s="1799">
        <f>'Part II-Development Team'!R29</f>
        <v>0</v>
      </c>
      <c r="S232" s="1799">
        <f>'Part II-Development Team'!S29</f>
        <v>0</v>
      </c>
    </row>
    <row r="233" spans="1:19" ht="13.8">
      <c r="A233" s="1330"/>
      <c r="B233" s="1330"/>
      <c r="C233" s="1330"/>
      <c r="D233" s="1382"/>
      <c r="E233" s="1337" t="s">
        <v>4254</v>
      </c>
      <c r="F233" s="1330"/>
      <c r="G233" s="1330"/>
      <c r="H233" s="1799">
        <f>'Part II-Development Team'!H30</f>
        <v>0</v>
      </c>
      <c r="I233" s="1799">
        <f>'Part II-Development Team'!I30</f>
        <v>0</v>
      </c>
      <c r="J233" s="1344">
        <f>'Part II-Development Team'!J30</f>
        <v>0</v>
      </c>
      <c r="K233" s="1334" t="s">
        <v>1983</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ht="13.8">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8">
      <c r="A235" s="1330"/>
      <c r="B235" s="1330"/>
      <c r="C235" s="1384" t="s">
        <v>1987</v>
      </c>
      <c r="D235" s="1366" t="s">
        <v>1858</v>
      </c>
      <c r="E235" s="1330"/>
      <c r="F235" s="1330"/>
      <c r="G235" s="1330"/>
      <c r="H235" s="1330"/>
      <c r="I235" s="1330"/>
      <c r="J235" s="1330"/>
      <c r="K235" s="1332" t="s">
        <v>4253</v>
      </c>
      <c r="L235" s="1330"/>
      <c r="M235" s="1330"/>
      <c r="N235" s="1330"/>
      <c r="O235" s="1330"/>
      <c r="P235" s="1330"/>
      <c r="Q235" s="1330"/>
      <c r="R235" s="1330"/>
      <c r="S235" s="1330"/>
    </row>
    <row r="236" spans="1:19" ht="13.8">
      <c r="A236" s="1330"/>
      <c r="B236" s="1330"/>
      <c r="C236" s="1330"/>
      <c r="D236" s="1311" t="s">
        <v>2115</v>
      </c>
      <c r="E236" s="1330" t="s">
        <v>749</v>
      </c>
      <c r="F236" s="1330"/>
      <c r="G236" s="1330"/>
      <c r="H236" s="1330" t="str">
        <f>'Part II-Development Team'!H33</f>
        <v>Regions Bank</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1988</v>
      </c>
      <c r="P236" s="1337"/>
      <c r="Q236" s="1330" t="str">
        <f>'Part II-Development Team'!Q33</f>
        <v>Reed Dolihite</v>
      </c>
      <c r="R236" s="1330">
        <f>'Part II-Development Team'!R33</f>
        <v>0</v>
      </c>
      <c r="S236" s="1330">
        <f>'Part II-Development Team'!S33</f>
        <v>0</v>
      </c>
    </row>
    <row r="237" spans="1:19" ht="13.8">
      <c r="A237" s="1330"/>
      <c r="B237" s="1330"/>
      <c r="C237" s="1330"/>
      <c r="D237" s="1382"/>
      <c r="E237" s="1337" t="s">
        <v>1020</v>
      </c>
      <c r="F237" s="1340"/>
      <c r="G237" s="1330"/>
      <c r="H237" s="1330" t="str">
        <f>'Part II-Development Team'!H34</f>
        <v>1900 5th Ave North</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1746</v>
      </c>
      <c r="P237" s="1330"/>
      <c r="Q237" s="1330" t="str">
        <f>'Part II-Development Team'!Q34</f>
        <v>VP Regions Affrdbl Hsng</v>
      </c>
      <c r="R237" s="1330">
        <f>'Part II-Development Team'!R34</f>
        <v>0</v>
      </c>
      <c r="S237" s="1330">
        <f>'Part II-Development Team'!S34</f>
        <v>0</v>
      </c>
    </row>
    <row r="238" spans="1:19" ht="13.8">
      <c r="A238" s="1330"/>
      <c r="B238" s="1330"/>
      <c r="C238" s="1330"/>
      <c r="D238" s="1382"/>
      <c r="E238" s="1337" t="s">
        <v>617</v>
      </c>
      <c r="F238" s="1330"/>
      <c r="G238" s="1330"/>
      <c r="H238" s="1330" t="str">
        <f>'Part II-Development Team'!H35</f>
        <v>Birmingham</v>
      </c>
      <c r="I238" s="1330">
        <f>'Part II-Development Team'!I35</f>
        <v>0</v>
      </c>
      <c r="J238" s="1330">
        <f>'Part II-Development Team'!J35</f>
        <v>0</v>
      </c>
      <c r="K238" s="1334" t="s">
        <v>2703</v>
      </c>
      <c r="L238" s="1330">
        <f>'Part II-Development Team'!L35</f>
        <v>0</v>
      </c>
      <c r="M238" s="1330">
        <f>'Part II-Development Team'!M35</f>
        <v>0</v>
      </c>
      <c r="N238" s="1330">
        <f>'Part II-Development Team'!N35</f>
        <v>0</v>
      </c>
      <c r="O238" s="1337" t="s">
        <v>1720</v>
      </c>
      <c r="P238" s="1330"/>
      <c r="Q238" s="1799">
        <f>'Part II-Development Team'!Q35</f>
        <v>2052644017</v>
      </c>
      <c r="R238" s="1799">
        <f>'Part II-Development Team'!R35</f>
        <v>0</v>
      </c>
      <c r="S238" s="1799">
        <f>'Part II-Development Team'!S35</f>
        <v>0</v>
      </c>
    </row>
    <row r="239" spans="1:19" ht="13.8">
      <c r="A239" s="1330"/>
      <c r="B239" s="1330"/>
      <c r="C239" s="1330"/>
      <c r="D239" s="1330"/>
      <c r="E239" s="1337" t="s">
        <v>1798</v>
      </c>
      <c r="F239" s="1330"/>
      <c r="G239" s="1330"/>
      <c r="H239" s="1337" t="str">
        <f>'Part II-Development Team'!H36</f>
        <v>AL</v>
      </c>
      <c r="I239" s="1330"/>
      <c r="J239" s="1330"/>
      <c r="K239" s="1334" t="s">
        <v>2228</v>
      </c>
      <c r="L239" s="1798">
        <f>'Part II-Development Team'!L36</f>
        <v>352032610</v>
      </c>
      <c r="M239" s="1798">
        <f>'Part II-Development Team'!M36</f>
        <v>0</v>
      </c>
      <c r="N239" s="1330"/>
      <c r="O239" s="1337" t="s">
        <v>1978</v>
      </c>
      <c r="P239" s="1330"/>
      <c r="Q239" s="1799">
        <f>'Part II-Development Team'!Q36</f>
        <v>0</v>
      </c>
      <c r="R239" s="1799">
        <f>'Part II-Development Team'!R36</f>
        <v>0</v>
      </c>
      <c r="S239" s="1799">
        <f>'Part II-Development Team'!S36</f>
        <v>0</v>
      </c>
    </row>
    <row r="240" spans="1:19" ht="13.8">
      <c r="A240" s="1330"/>
      <c r="B240" s="1330"/>
      <c r="C240" s="1330"/>
      <c r="D240" s="1382"/>
      <c r="E240" s="1337" t="s">
        <v>4254</v>
      </c>
      <c r="F240" s="1330"/>
      <c r="G240" s="1330"/>
      <c r="H240" s="1799">
        <f>'Part II-Development Team'!H37</f>
        <v>2052644017</v>
      </c>
      <c r="I240" s="1799">
        <f>'Part II-Development Team'!I37</f>
        <v>0</v>
      </c>
      <c r="J240" s="1344">
        <f>'Part II-Development Team'!J37</f>
        <v>0</v>
      </c>
      <c r="K240" s="1334" t="s">
        <v>1983</v>
      </c>
      <c r="L240" s="1706" t="str">
        <f>'Part II-Development Team'!L37</f>
        <v>reed.dolihite@regions.com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ht="13.8">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ht="13.8">
      <c r="A242" s="1330"/>
      <c r="B242" s="1330"/>
      <c r="C242" s="1330"/>
      <c r="D242" s="1311" t="s">
        <v>2116</v>
      </c>
      <c r="E242" s="1330" t="s">
        <v>750</v>
      </c>
      <c r="F242" s="1311"/>
      <c r="G242" s="1330"/>
      <c r="H242" s="1330" t="str">
        <f>'Part II-Development Team'!H39</f>
        <v>Sugar Creek Capital</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1988</v>
      </c>
      <c r="P242" s="1337"/>
      <c r="Q242" s="1330" t="str">
        <f>'Part II-Development Team'!Q39</f>
        <v>Louis Bosso</v>
      </c>
      <c r="R242" s="1330">
        <f>'Part II-Development Team'!R39</f>
        <v>0</v>
      </c>
      <c r="S242" s="1330">
        <f>'Part II-Development Team'!S39</f>
        <v>0</v>
      </c>
    </row>
    <row r="243" spans="1:19" ht="13.8">
      <c r="A243" s="1330"/>
      <c r="B243" s="1330"/>
      <c r="C243" s="1330"/>
      <c r="D243" s="1382"/>
      <c r="E243" s="1337" t="s">
        <v>1020</v>
      </c>
      <c r="F243" s="1340"/>
      <c r="G243" s="1330"/>
      <c r="H243" s="1330" t="str">
        <f>'Part II-Development Team'!H40</f>
        <v>1819 Peachtree Road NE Suite 230</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1746</v>
      </c>
      <c r="P243" s="1330"/>
      <c r="Q243" s="1330" t="str">
        <f>'Part II-Development Team'!Q40</f>
        <v>State Equity Director</v>
      </c>
      <c r="R243" s="1330">
        <f>'Part II-Development Team'!R40</f>
        <v>0</v>
      </c>
      <c r="S243" s="1330">
        <f>'Part II-Development Team'!S40</f>
        <v>0</v>
      </c>
    </row>
    <row r="244" spans="1:19" ht="13.8">
      <c r="A244" s="1330"/>
      <c r="B244" s="1330"/>
      <c r="C244" s="1330"/>
      <c r="D244" s="1382"/>
      <c r="E244" s="1337" t="s">
        <v>617</v>
      </c>
      <c r="F244" s="1330"/>
      <c r="G244" s="1330"/>
      <c r="H244" s="1330" t="str">
        <f>'Part II-Development Team'!H41</f>
        <v>Atlanta</v>
      </c>
      <c r="I244" s="1330">
        <f>'Part II-Development Team'!I41</f>
        <v>0</v>
      </c>
      <c r="J244" s="1330">
        <f>'Part II-Development Team'!J41</f>
        <v>0</v>
      </c>
      <c r="K244" s="1334" t="s">
        <v>2703</v>
      </c>
      <c r="L244" s="1330">
        <f>'Part II-Development Team'!L41</f>
        <v>0</v>
      </c>
      <c r="M244" s="1330">
        <f>'Part II-Development Team'!M41</f>
        <v>0</v>
      </c>
      <c r="N244" s="1330">
        <f>'Part II-Development Team'!N41</f>
        <v>0</v>
      </c>
      <c r="O244" s="1337" t="s">
        <v>1720</v>
      </c>
      <c r="P244" s="1330"/>
      <c r="Q244" s="1799">
        <f>'Part II-Development Team'!Q41</f>
        <v>3145616818</v>
      </c>
      <c r="R244" s="1799">
        <f>'Part II-Development Team'!R41</f>
        <v>0</v>
      </c>
      <c r="S244" s="1799">
        <f>'Part II-Development Team'!S41</f>
        <v>0</v>
      </c>
    </row>
    <row r="245" spans="1:19" ht="13.8">
      <c r="A245" s="1330"/>
      <c r="B245" s="1330"/>
      <c r="C245" s="1330"/>
      <c r="D245" s="1311"/>
      <c r="E245" s="1337" t="s">
        <v>1798</v>
      </c>
      <c r="F245" s="1330"/>
      <c r="G245" s="1330"/>
      <c r="H245" s="1337" t="str">
        <f>'Part II-Development Team'!H42</f>
        <v>GA</v>
      </c>
      <c r="I245" s="1330"/>
      <c r="J245" s="1330"/>
      <c r="K245" s="1334" t="s">
        <v>2228</v>
      </c>
      <c r="L245" s="1798">
        <f>'Part II-Development Team'!L42</f>
        <v>303091857</v>
      </c>
      <c r="M245" s="1798">
        <f>'Part II-Development Team'!M42</f>
        <v>0</v>
      </c>
      <c r="N245" s="1330"/>
      <c r="O245" s="1337" t="s">
        <v>1978</v>
      </c>
      <c r="P245" s="1330"/>
      <c r="Q245" s="1799">
        <f>'Part II-Development Team'!Q42</f>
        <v>0</v>
      </c>
      <c r="R245" s="1799">
        <f>'Part II-Development Team'!R42</f>
        <v>0</v>
      </c>
      <c r="S245" s="1799">
        <f>'Part II-Development Team'!S42</f>
        <v>0</v>
      </c>
    </row>
    <row r="246" spans="1:19" ht="13.8">
      <c r="A246" s="1330"/>
      <c r="B246" s="1330"/>
      <c r="C246" s="1330"/>
      <c r="D246" s="1382"/>
      <c r="E246" s="1337" t="s">
        <v>4254</v>
      </c>
      <c r="F246" s="1330"/>
      <c r="G246" s="1330"/>
      <c r="H246" s="1799">
        <f>'Part II-Development Team'!H43</f>
        <v>3145616818</v>
      </c>
      <c r="I246" s="1799">
        <f>'Part II-Development Team'!I43</f>
        <v>0</v>
      </c>
      <c r="J246" s="1344">
        <f>'Part II-Development Team'!J43</f>
        <v>0</v>
      </c>
      <c r="K246" s="1334" t="s">
        <v>1983</v>
      </c>
      <c r="L246" s="1706" t="str">
        <f>'Part II-Development Team'!L43</f>
        <v>lbosso@sugarcreekcapital.com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ht="13.8">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8">
      <c r="A248" s="1330"/>
      <c r="B248" s="1330"/>
      <c r="C248" s="1385" t="s">
        <v>2533</v>
      </c>
      <c r="D248" s="1366" t="s">
        <v>650</v>
      </c>
      <c r="E248" s="1330"/>
      <c r="F248" s="1330"/>
      <c r="G248" s="1330"/>
      <c r="H248" s="1330"/>
      <c r="I248" s="1330"/>
      <c r="J248" s="1330"/>
      <c r="K248" s="1332" t="s">
        <v>4253</v>
      </c>
      <c r="L248" s="1330"/>
      <c r="M248" s="1330"/>
      <c r="N248" s="1330"/>
      <c r="O248" s="1330"/>
      <c r="P248" s="1330"/>
      <c r="Q248" s="1330"/>
      <c r="R248" s="1330"/>
      <c r="S248" s="1330"/>
    </row>
    <row r="249" spans="1:19" ht="13.8">
      <c r="A249" s="1330"/>
      <c r="B249" s="1330"/>
      <c r="C249" s="1330"/>
      <c r="D249" s="1330"/>
      <c r="E249" s="1330" t="s">
        <v>92</v>
      </c>
      <c r="F249" s="1330"/>
      <c r="G249" s="1330"/>
      <c r="H249" s="1330">
        <f>'Part II-Development Team'!H46</f>
        <v>0</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1988</v>
      </c>
      <c r="P249" s="1337"/>
      <c r="Q249" s="1330">
        <f>'Part II-Development Team'!Q46</f>
        <v>0</v>
      </c>
      <c r="R249" s="1330">
        <f>'Part II-Development Team'!R46</f>
        <v>0</v>
      </c>
      <c r="S249" s="1330">
        <f>'Part II-Development Team'!S46</f>
        <v>0</v>
      </c>
    </row>
    <row r="250" spans="1:19" ht="13.8">
      <c r="A250" s="1330"/>
      <c r="B250" s="1330"/>
      <c r="C250" s="1330"/>
      <c r="D250" s="1382"/>
      <c r="E250" s="1337" t="s">
        <v>1020</v>
      </c>
      <c r="F250" s="1340"/>
      <c r="G250" s="1330"/>
      <c r="H250" s="1330">
        <f>'Part II-Development Team'!H47</f>
        <v>0</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1746</v>
      </c>
      <c r="P250" s="1330"/>
      <c r="Q250" s="1330">
        <f>'Part II-Development Team'!Q47</f>
        <v>0</v>
      </c>
      <c r="R250" s="1330">
        <f>'Part II-Development Team'!R47</f>
        <v>0</v>
      </c>
      <c r="S250" s="1330">
        <f>'Part II-Development Team'!S47</f>
        <v>0</v>
      </c>
    </row>
    <row r="251" spans="1:19" ht="13.8">
      <c r="A251" s="1330"/>
      <c r="B251" s="1330"/>
      <c r="C251" s="1330"/>
      <c r="D251" s="1382"/>
      <c r="E251" s="1337" t="s">
        <v>617</v>
      </c>
      <c r="F251" s="1330"/>
      <c r="G251" s="1330"/>
      <c r="H251" s="1330">
        <f>'Part II-Development Team'!H48</f>
        <v>0</v>
      </c>
      <c r="I251" s="1330">
        <f>'Part II-Development Team'!I48</f>
        <v>0</v>
      </c>
      <c r="J251" s="1330">
        <f>'Part II-Development Team'!J48</f>
        <v>0</v>
      </c>
      <c r="K251" s="1334" t="s">
        <v>2703</v>
      </c>
      <c r="L251" s="1330">
        <f>'Part II-Development Team'!L48</f>
        <v>0</v>
      </c>
      <c r="M251" s="1330">
        <f>'Part II-Development Team'!M48</f>
        <v>0</v>
      </c>
      <c r="N251" s="1330">
        <f>'Part II-Development Team'!N48</f>
        <v>0</v>
      </c>
      <c r="O251" s="1337" t="s">
        <v>1720</v>
      </c>
      <c r="P251" s="1330"/>
      <c r="Q251" s="1799">
        <f>'Part II-Development Team'!Q48</f>
        <v>0</v>
      </c>
      <c r="R251" s="1799">
        <f>'Part II-Development Team'!R48</f>
        <v>0</v>
      </c>
      <c r="S251" s="1799">
        <f>'Part II-Development Team'!S48</f>
        <v>0</v>
      </c>
    </row>
    <row r="252" spans="1:19" ht="13.8">
      <c r="A252" s="1330"/>
      <c r="B252" s="1330"/>
      <c r="C252" s="1330"/>
      <c r="D252" s="1330"/>
      <c r="E252" s="1337" t="s">
        <v>1798</v>
      </c>
      <c r="F252" s="1330"/>
      <c r="G252" s="1330"/>
      <c r="H252" s="1337">
        <f>'Part II-Development Team'!H49</f>
        <v>0</v>
      </c>
      <c r="I252" s="1330"/>
      <c r="J252" s="1330"/>
      <c r="K252" s="1334" t="s">
        <v>2228</v>
      </c>
      <c r="L252" s="1798">
        <f>'Part II-Development Team'!L49</f>
        <v>0</v>
      </c>
      <c r="M252" s="1798">
        <f>'Part II-Development Team'!M49</f>
        <v>0</v>
      </c>
      <c r="N252" s="1330"/>
      <c r="O252" s="1337" t="s">
        <v>1978</v>
      </c>
      <c r="P252" s="1330"/>
      <c r="Q252" s="1799">
        <f>'Part II-Development Team'!Q49</f>
        <v>0</v>
      </c>
      <c r="R252" s="1799">
        <f>'Part II-Development Team'!R49</f>
        <v>0</v>
      </c>
      <c r="S252" s="1799">
        <f>'Part II-Development Team'!S49</f>
        <v>0</v>
      </c>
    </row>
    <row r="253" spans="1:19" ht="13.8">
      <c r="A253" s="1330"/>
      <c r="B253" s="1330"/>
      <c r="C253" s="1330"/>
      <c r="D253" s="1382"/>
      <c r="E253" s="1337" t="s">
        <v>4254</v>
      </c>
      <c r="F253" s="1330"/>
      <c r="G253" s="1330"/>
      <c r="H253" s="1799">
        <f>'Part II-Development Team'!H50</f>
        <v>0</v>
      </c>
      <c r="I253" s="1799">
        <f>'Part II-Development Team'!I50</f>
        <v>0</v>
      </c>
      <c r="J253" s="1344">
        <f>'Part II-Development Team'!J50</f>
        <v>0</v>
      </c>
      <c r="K253" s="1334" t="s">
        <v>1983</v>
      </c>
      <c r="L253" s="1706">
        <f>'Part II-Development Team'!L50</f>
        <v>0</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ht="13.8">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8">
      <c r="A255" s="1311" t="s">
        <v>739</v>
      </c>
      <c r="B255" s="1311" t="s">
        <v>651</v>
      </c>
      <c r="C255" s="1330"/>
      <c r="D255" s="1330"/>
      <c r="E255" s="1330"/>
      <c r="F255" s="1311"/>
      <c r="G255" s="1334"/>
      <c r="H255" s="1334"/>
      <c r="I255" s="1334"/>
      <c r="J255" s="1330"/>
      <c r="K255" s="1332" t="s">
        <v>4253</v>
      </c>
      <c r="L255" s="1330"/>
      <c r="M255" s="1330"/>
      <c r="N255" s="1330"/>
      <c r="O255" s="1330"/>
      <c r="P255" s="1330"/>
      <c r="Q255" s="1330"/>
      <c r="R255" s="1330"/>
      <c r="S255" s="1330"/>
    </row>
    <row r="256" spans="1:19" ht="13.8">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ht="13.8">
      <c r="A257" s="1330"/>
      <c r="B257" s="1311" t="s">
        <v>1982</v>
      </c>
      <c r="C257" s="1311" t="s">
        <v>282</v>
      </c>
      <c r="D257" s="1330"/>
      <c r="E257" s="1330"/>
      <c r="F257" s="1330"/>
      <c r="G257" s="1330"/>
      <c r="H257" s="1330" t="str">
        <f>'Part II-Development Team'!H54</f>
        <v xml:space="preserve">Olympia Construction, Inc. </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1988</v>
      </c>
      <c r="P257" s="1337"/>
      <c r="Q257" s="1330" t="str">
        <f>'Part II-Development Team'!Q54</f>
        <v>Jeff Beaver</v>
      </c>
      <c r="R257" s="1330">
        <f>'Part II-Development Team'!R54</f>
        <v>0</v>
      </c>
      <c r="S257" s="1330">
        <f>'Part II-Development Team'!S54</f>
        <v>0</v>
      </c>
    </row>
    <row r="258" spans="1:19" ht="13.8">
      <c r="A258" s="1330"/>
      <c r="B258" s="1330"/>
      <c r="C258" s="1330"/>
      <c r="D258" s="1382"/>
      <c r="E258" s="1337" t="s">
        <v>1020</v>
      </c>
      <c r="F258" s="1340"/>
      <c r="G258" s="1330"/>
      <c r="H258" s="1330" t="str">
        <f>'Part II-Development Team'!H55</f>
        <v>404 E McKinney Ave</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1746</v>
      </c>
      <c r="P258" s="1330"/>
      <c r="Q258" s="1330" t="str">
        <f>'Part II-Development Team'!Q55</f>
        <v>President</v>
      </c>
      <c r="R258" s="1330">
        <f>'Part II-Development Team'!R55</f>
        <v>0</v>
      </c>
      <c r="S258" s="1330">
        <f>'Part II-Development Team'!S55</f>
        <v>0</v>
      </c>
    </row>
    <row r="259" spans="1:19" ht="13.8">
      <c r="A259" s="1330"/>
      <c r="B259" s="1330"/>
      <c r="C259" s="1330"/>
      <c r="D259" s="1382"/>
      <c r="E259" s="1337" t="s">
        <v>617</v>
      </c>
      <c r="F259" s="1330"/>
      <c r="G259" s="1330"/>
      <c r="H259" s="1330" t="str">
        <f>'Part II-Development Team'!H56</f>
        <v>Albertville</v>
      </c>
      <c r="I259" s="1330">
        <f>'Part II-Development Team'!I56</f>
        <v>0</v>
      </c>
      <c r="J259" s="1330">
        <f>'Part II-Development Team'!J56</f>
        <v>0</v>
      </c>
      <c r="K259" s="1334" t="s">
        <v>2703</v>
      </c>
      <c r="L259" s="1330" t="str">
        <f>'Part II-Development Team'!L56</f>
        <v>olympiaconstruction.net</v>
      </c>
      <c r="M259" s="1330">
        <f>'Part II-Development Team'!M56</f>
        <v>0</v>
      </c>
      <c r="N259" s="1330">
        <f>'Part II-Development Team'!N56</f>
        <v>0</v>
      </c>
      <c r="O259" s="1337" t="s">
        <v>1720</v>
      </c>
      <c r="P259" s="1330"/>
      <c r="Q259" s="1799">
        <f>'Part II-Development Team'!Q56</f>
        <v>2568786054</v>
      </c>
      <c r="R259" s="1799">
        <f>'Part II-Development Team'!R56</f>
        <v>0</v>
      </c>
      <c r="S259" s="1799">
        <f>'Part II-Development Team'!S56</f>
        <v>0</v>
      </c>
    </row>
    <row r="260" spans="1:19" ht="13.8">
      <c r="A260" s="1330"/>
      <c r="B260" s="1330"/>
      <c r="C260" s="1330"/>
      <c r="D260" s="1330"/>
      <c r="E260" s="1337" t="s">
        <v>1798</v>
      </c>
      <c r="F260" s="1330"/>
      <c r="G260" s="1330"/>
      <c r="H260" s="1337" t="str">
        <f>'Part II-Development Team'!H57</f>
        <v>AL</v>
      </c>
      <c r="I260" s="1330"/>
      <c r="J260" s="1330"/>
      <c r="K260" s="1334" t="s">
        <v>2228</v>
      </c>
      <c r="L260" s="1798">
        <f>'Part II-Development Team'!L57</f>
        <v>359501832</v>
      </c>
      <c r="M260" s="1798">
        <f>'Part II-Development Team'!M57</f>
        <v>0</v>
      </c>
      <c r="N260" s="1330"/>
      <c r="O260" s="1337" t="s">
        <v>1978</v>
      </c>
      <c r="P260" s="1330"/>
      <c r="Q260" s="1799">
        <f>'Part II-Development Team'!Q57</f>
        <v>0</v>
      </c>
      <c r="R260" s="1799">
        <f>'Part II-Development Team'!R57</f>
        <v>0</v>
      </c>
      <c r="S260" s="1799">
        <f>'Part II-Development Team'!S57</f>
        <v>0</v>
      </c>
    </row>
    <row r="261" spans="1:19" ht="13.8">
      <c r="A261" s="1330"/>
      <c r="B261" s="1330"/>
      <c r="C261" s="1330"/>
      <c r="D261" s="1382"/>
      <c r="E261" s="1337" t="s">
        <v>4254</v>
      </c>
      <c r="F261" s="1330"/>
      <c r="G261" s="1330"/>
      <c r="H261" s="1799">
        <f>'Part II-Development Team'!H58</f>
        <v>2568786054</v>
      </c>
      <c r="I261" s="1799">
        <f>'Part II-Development Team'!I58</f>
        <v>0</v>
      </c>
      <c r="J261" s="1344">
        <f>'Part II-Development Team'!J58</f>
        <v>0</v>
      </c>
      <c r="K261" s="1334" t="s">
        <v>1983</v>
      </c>
      <c r="L261" s="1706" t="str">
        <f>'Part II-Development Team'!L58</f>
        <v>jeff@olympiaconstruction.net</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ht="13.8">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ht="13.8">
      <c r="A263" s="1330"/>
      <c r="B263" s="1311" t="s">
        <v>1984</v>
      </c>
      <c r="C263" s="1311" t="s">
        <v>283</v>
      </c>
      <c r="D263" s="1330"/>
      <c r="E263" s="1330"/>
      <c r="F263" s="1330"/>
      <c r="G263" s="1330"/>
      <c r="H263" s="1330">
        <f>'Part II-Development Team'!H60</f>
        <v>0</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1988</v>
      </c>
      <c r="P263" s="1337"/>
      <c r="Q263" s="1330">
        <f>'Part II-Development Team'!Q60</f>
        <v>0</v>
      </c>
      <c r="R263" s="1330">
        <f>'Part II-Development Team'!R60</f>
        <v>0</v>
      </c>
      <c r="S263" s="1330">
        <f>'Part II-Development Team'!S60</f>
        <v>0</v>
      </c>
    </row>
    <row r="264" spans="1:19" ht="13.8">
      <c r="A264" s="1330"/>
      <c r="B264" s="1330"/>
      <c r="C264" s="1330"/>
      <c r="D264" s="1382"/>
      <c r="E264" s="1337" t="s">
        <v>1020</v>
      </c>
      <c r="F264" s="1340"/>
      <c r="G264" s="1330"/>
      <c r="H264" s="1330">
        <f>'Part II-Development Team'!H61</f>
        <v>0</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1746</v>
      </c>
      <c r="P264" s="1330"/>
      <c r="Q264" s="1330">
        <f>'Part II-Development Team'!Q61</f>
        <v>0</v>
      </c>
      <c r="R264" s="1330">
        <f>'Part II-Development Team'!R61</f>
        <v>0</v>
      </c>
      <c r="S264" s="1330">
        <f>'Part II-Development Team'!S61</f>
        <v>0</v>
      </c>
    </row>
    <row r="265" spans="1:19" ht="13.8">
      <c r="A265" s="1330"/>
      <c r="B265" s="1330"/>
      <c r="C265" s="1330"/>
      <c r="D265" s="1382"/>
      <c r="E265" s="1337" t="s">
        <v>617</v>
      </c>
      <c r="F265" s="1330"/>
      <c r="G265" s="1330"/>
      <c r="H265" s="1330">
        <f>'Part II-Development Team'!H62</f>
        <v>0</v>
      </c>
      <c r="I265" s="1330">
        <f>'Part II-Development Team'!I62</f>
        <v>0</v>
      </c>
      <c r="J265" s="1330">
        <f>'Part II-Development Team'!J62</f>
        <v>0</v>
      </c>
      <c r="K265" s="1334" t="s">
        <v>2703</v>
      </c>
      <c r="L265" s="1330">
        <f>'Part II-Development Team'!L62</f>
        <v>0</v>
      </c>
      <c r="M265" s="1330">
        <f>'Part II-Development Team'!M62</f>
        <v>0</v>
      </c>
      <c r="N265" s="1330">
        <f>'Part II-Development Team'!N62</f>
        <v>0</v>
      </c>
      <c r="O265" s="1337" t="s">
        <v>1720</v>
      </c>
      <c r="P265" s="1330"/>
      <c r="Q265" s="1799">
        <f>'Part II-Development Team'!Q62</f>
        <v>0</v>
      </c>
      <c r="R265" s="1799">
        <f>'Part II-Development Team'!R62</f>
        <v>0</v>
      </c>
      <c r="S265" s="1799">
        <f>'Part II-Development Team'!S62</f>
        <v>0</v>
      </c>
    </row>
    <row r="266" spans="1:19" ht="13.8">
      <c r="A266" s="1330"/>
      <c r="B266" s="1330"/>
      <c r="C266" s="1330"/>
      <c r="D266" s="1330"/>
      <c r="E266" s="1337" t="s">
        <v>1798</v>
      </c>
      <c r="F266" s="1330"/>
      <c r="G266" s="1330"/>
      <c r="H266" s="1337">
        <f>'Part II-Development Team'!H63</f>
        <v>0</v>
      </c>
      <c r="I266" s="1330"/>
      <c r="J266" s="1330"/>
      <c r="K266" s="1334" t="s">
        <v>2228</v>
      </c>
      <c r="L266" s="1798">
        <f>'Part II-Development Team'!L63</f>
        <v>0</v>
      </c>
      <c r="M266" s="1798">
        <f>'Part II-Development Team'!M63</f>
        <v>0</v>
      </c>
      <c r="N266" s="1330"/>
      <c r="O266" s="1337" t="s">
        <v>1978</v>
      </c>
      <c r="P266" s="1330"/>
      <c r="Q266" s="1799">
        <f>'Part II-Development Team'!Q63</f>
        <v>0</v>
      </c>
      <c r="R266" s="1799">
        <f>'Part II-Development Team'!R63</f>
        <v>0</v>
      </c>
      <c r="S266" s="1799">
        <f>'Part II-Development Team'!S63</f>
        <v>0</v>
      </c>
    </row>
    <row r="267" spans="1:19" ht="13.8">
      <c r="A267" s="1330"/>
      <c r="B267" s="1330"/>
      <c r="C267" s="1330"/>
      <c r="D267" s="1382"/>
      <c r="E267" s="1337" t="s">
        <v>4254</v>
      </c>
      <c r="F267" s="1330"/>
      <c r="G267" s="1330"/>
      <c r="H267" s="1799">
        <f>'Part II-Development Team'!H64</f>
        <v>0</v>
      </c>
      <c r="I267" s="1799">
        <f>'Part II-Development Team'!I64</f>
        <v>0</v>
      </c>
      <c r="J267" s="1344">
        <f>'Part II-Development Team'!J64</f>
        <v>0</v>
      </c>
      <c r="K267" s="1334" t="s">
        <v>1983</v>
      </c>
      <c r="L267" s="1706">
        <f>'Part II-Development Team'!L64</f>
        <v>0</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ht="13.8">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ht="13.8">
      <c r="A269" s="1330"/>
      <c r="B269" s="1311" t="s">
        <v>748</v>
      </c>
      <c r="C269" s="1311" t="s">
        <v>1527</v>
      </c>
      <c r="D269" s="1330"/>
      <c r="E269" s="1330"/>
      <c r="F269" s="1330"/>
      <c r="G269" s="1330"/>
      <c r="H269" s="1330">
        <f>'Part II-Development Team'!H66</f>
        <v>0</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1988</v>
      </c>
      <c r="P269" s="1337"/>
      <c r="Q269" s="1330">
        <f>'Part II-Development Team'!Q66</f>
        <v>0</v>
      </c>
      <c r="R269" s="1330">
        <f>'Part II-Development Team'!R66</f>
        <v>0</v>
      </c>
      <c r="S269" s="1330">
        <f>'Part II-Development Team'!S66</f>
        <v>0</v>
      </c>
    </row>
    <row r="270" spans="1:19" ht="13.8">
      <c r="A270" s="1330"/>
      <c r="B270" s="1330"/>
      <c r="C270" s="1330"/>
      <c r="D270" s="1382"/>
      <c r="E270" s="1337" t="s">
        <v>1020</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1746</v>
      </c>
      <c r="P270" s="1330"/>
      <c r="Q270" s="1330">
        <f>'Part II-Development Team'!Q67</f>
        <v>0</v>
      </c>
      <c r="R270" s="1330">
        <f>'Part II-Development Team'!R67</f>
        <v>0</v>
      </c>
      <c r="S270" s="1330">
        <f>'Part II-Development Team'!S67</f>
        <v>0</v>
      </c>
    </row>
    <row r="271" spans="1:19" ht="13.8">
      <c r="A271" s="1330"/>
      <c r="B271" s="1330"/>
      <c r="C271" s="1330"/>
      <c r="D271" s="1382"/>
      <c r="E271" s="1337" t="s">
        <v>617</v>
      </c>
      <c r="F271" s="1330"/>
      <c r="G271" s="1330"/>
      <c r="H271" s="1330">
        <f>'Part II-Development Team'!H68</f>
        <v>0</v>
      </c>
      <c r="I271" s="1330">
        <f>'Part II-Development Team'!I68</f>
        <v>0</v>
      </c>
      <c r="J271" s="1330">
        <f>'Part II-Development Team'!J68</f>
        <v>0</v>
      </c>
      <c r="K271" s="1334" t="s">
        <v>2703</v>
      </c>
      <c r="L271" s="1330">
        <f>'Part II-Development Team'!L68</f>
        <v>0</v>
      </c>
      <c r="M271" s="1330">
        <f>'Part II-Development Team'!M68</f>
        <v>0</v>
      </c>
      <c r="N271" s="1330">
        <f>'Part II-Development Team'!N68</f>
        <v>0</v>
      </c>
      <c r="O271" s="1337" t="s">
        <v>1720</v>
      </c>
      <c r="P271" s="1330"/>
      <c r="Q271" s="1799">
        <f>'Part II-Development Team'!Q68</f>
        <v>0</v>
      </c>
      <c r="R271" s="1799">
        <f>'Part II-Development Team'!R68</f>
        <v>0</v>
      </c>
      <c r="S271" s="1799">
        <f>'Part II-Development Team'!S68</f>
        <v>0</v>
      </c>
    </row>
    <row r="272" spans="1:19" ht="13.8">
      <c r="A272" s="1330"/>
      <c r="B272" s="1330"/>
      <c r="C272" s="1330"/>
      <c r="D272" s="1330"/>
      <c r="E272" s="1337" t="s">
        <v>1798</v>
      </c>
      <c r="F272" s="1330"/>
      <c r="G272" s="1330"/>
      <c r="H272" s="1337">
        <f>'Part II-Development Team'!H69</f>
        <v>0</v>
      </c>
      <c r="I272" s="1330"/>
      <c r="J272" s="1330"/>
      <c r="K272" s="1334" t="s">
        <v>2228</v>
      </c>
      <c r="L272" s="1798">
        <f>'Part II-Development Team'!L69</f>
        <v>0</v>
      </c>
      <c r="M272" s="1798">
        <f>'Part II-Development Team'!M69</f>
        <v>0</v>
      </c>
      <c r="N272" s="1330"/>
      <c r="O272" s="1337" t="s">
        <v>1978</v>
      </c>
      <c r="P272" s="1330"/>
      <c r="Q272" s="1799">
        <f>'Part II-Development Team'!Q69</f>
        <v>0</v>
      </c>
      <c r="R272" s="1799">
        <f>'Part II-Development Team'!R69</f>
        <v>0</v>
      </c>
      <c r="S272" s="1799">
        <f>'Part II-Development Team'!S69</f>
        <v>0</v>
      </c>
    </row>
    <row r="273" spans="1:19" ht="13.8">
      <c r="A273" s="1330"/>
      <c r="B273" s="1330"/>
      <c r="C273" s="1330"/>
      <c r="D273" s="1382"/>
      <c r="E273" s="1337" t="s">
        <v>4254</v>
      </c>
      <c r="F273" s="1330"/>
      <c r="G273" s="1330"/>
      <c r="H273" s="1799">
        <f>'Part II-Development Team'!H70</f>
        <v>0</v>
      </c>
      <c r="I273" s="1799">
        <f>'Part II-Development Team'!I70</f>
        <v>0</v>
      </c>
      <c r="J273" s="1344">
        <f>'Part II-Development Team'!J70</f>
        <v>0</v>
      </c>
      <c r="K273" s="1334" t="s">
        <v>1983</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ht="13.8">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ht="13.8">
      <c r="A275" s="1330"/>
      <c r="B275" s="1311" t="s">
        <v>2114</v>
      </c>
      <c r="C275" s="1311" t="s">
        <v>284</v>
      </c>
      <c r="D275" s="1330"/>
      <c r="E275" s="1330"/>
      <c r="F275" s="1330"/>
      <c r="G275" s="1330"/>
      <c r="H275" s="1330">
        <f>'Part II-Development Team'!H72</f>
        <v>0</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1988</v>
      </c>
      <c r="P275" s="1337"/>
      <c r="Q275" s="1330">
        <f>'Part II-Development Team'!Q72</f>
        <v>0</v>
      </c>
      <c r="R275" s="1330">
        <f>'Part II-Development Team'!R72</f>
        <v>0</v>
      </c>
      <c r="S275" s="1330">
        <f>'Part II-Development Team'!S72</f>
        <v>0</v>
      </c>
    </row>
    <row r="276" spans="1:19" ht="13.8">
      <c r="A276" s="1330"/>
      <c r="B276" s="1330"/>
      <c r="C276" s="1330"/>
      <c r="D276" s="1382"/>
      <c r="E276" s="1337" t="s">
        <v>1020</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1746</v>
      </c>
      <c r="P276" s="1330"/>
      <c r="Q276" s="1330">
        <f>'Part II-Development Team'!Q73</f>
        <v>0</v>
      </c>
      <c r="R276" s="1330">
        <f>'Part II-Development Team'!R73</f>
        <v>0</v>
      </c>
      <c r="S276" s="1330">
        <f>'Part II-Development Team'!S73</f>
        <v>0</v>
      </c>
    </row>
    <row r="277" spans="1:19" ht="13.8">
      <c r="A277" s="1330"/>
      <c r="B277" s="1330"/>
      <c r="C277" s="1330"/>
      <c r="D277" s="1382"/>
      <c r="E277" s="1337" t="s">
        <v>617</v>
      </c>
      <c r="F277" s="1330"/>
      <c r="G277" s="1330"/>
      <c r="H277" s="1330">
        <f>'Part II-Development Team'!H74</f>
        <v>0</v>
      </c>
      <c r="I277" s="1330">
        <f>'Part II-Development Team'!I74</f>
        <v>0</v>
      </c>
      <c r="J277" s="1330">
        <f>'Part II-Development Team'!J74</f>
        <v>0</v>
      </c>
      <c r="K277" s="1334" t="s">
        <v>2703</v>
      </c>
      <c r="L277" s="1330">
        <f>'Part II-Development Team'!L74</f>
        <v>0</v>
      </c>
      <c r="M277" s="1330">
        <f>'Part II-Development Team'!M74</f>
        <v>0</v>
      </c>
      <c r="N277" s="1330">
        <f>'Part II-Development Team'!N74</f>
        <v>0</v>
      </c>
      <c r="O277" s="1337" t="s">
        <v>1720</v>
      </c>
      <c r="P277" s="1330"/>
      <c r="Q277" s="1799">
        <f>'Part II-Development Team'!Q74</f>
        <v>0</v>
      </c>
      <c r="R277" s="1799">
        <f>'Part II-Development Team'!R74</f>
        <v>0</v>
      </c>
      <c r="S277" s="1799">
        <f>'Part II-Development Team'!S74</f>
        <v>0</v>
      </c>
    </row>
    <row r="278" spans="1:19" ht="13.8">
      <c r="A278" s="1330"/>
      <c r="B278" s="1330"/>
      <c r="C278" s="1330"/>
      <c r="D278" s="1330"/>
      <c r="E278" s="1337" t="s">
        <v>1798</v>
      </c>
      <c r="F278" s="1330"/>
      <c r="G278" s="1330"/>
      <c r="H278" s="1337">
        <f>'Part II-Development Team'!H75</f>
        <v>0</v>
      </c>
      <c r="I278" s="1330"/>
      <c r="J278" s="1330"/>
      <c r="K278" s="1334" t="s">
        <v>2228</v>
      </c>
      <c r="L278" s="1798">
        <f>'Part II-Development Team'!L75</f>
        <v>0</v>
      </c>
      <c r="M278" s="1798">
        <f>'Part II-Development Team'!M75</f>
        <v>0</v>
      </c>
      <c r="N278" s="1330"/>
      <c r="O278" s="1337" t="s">
        <v>1978</v>
      </c>
      <c r="P278" s="1330"/>
      <c r="Q278" s="1799">
        <f>'Part II-Development Team'!Q75</f>
        <v>0</v>
      </c>
      <c r="R278" s="1799">
        <f>'Part II-Development Team'!R75</f>
        <v>0</v>
      </c>
      <c r="S278" s="1799">
        <f>'Part II-Development Team'!S75</f>
        <v>0</v>
      </c>
    </row>
    <row r="279" spans="1:19" ht="13.8">
      <c r="A279" s="1330"/>
      <c r="B279" s="1330"/>
      <c r="C279" s="1330"/>
      <c r="D279" s="1382"/>
      <c r="E279" s="1337" t="s">
        <v>4254</v>
      </c>
      <c r="F279" s="1330"/>
      <c r="G279" s="1330"/>
      <c r="H279" s="1799">
        <f>'Part II-Development Team'!H76</f>
        <v>0</v>
      </c>
      <c r="I279" s="1799">
        <f>'Part II-Development Team'!I76</f>
        <v>0</v>
      </c>
      <c r="J279" s="1344">
        <f>'Part II-Development Team'!J76</f>
        <v>0</v>
      </c>
      <c r="K279" s="1334" t="s">
        <v>1983</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ht="13.8">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8">
      <c r="A281" s="1331" t="s">
        <v>741</v>
      </c>
      <c r="B281" s="1331" t="s">
        <v>285</v>
      </c>
      <c r="C281" s="1337"/>
      <c r="D281" s="1331"/>
      <c r="E281" s="1337"/>
      <c r="F281" s="1331"/>
      <c r="G281" s="1331"/>
      <c r="H281" s="1331"/>
      <c r="I281" s="1331"/>
      <c r="J281" s="1331"/>
      <c r="K281" s="1332" t="s">
        <v>4253</v>
      </c>
      <c r="L281" s="1331"/>
      <c r="M281" s="1331"/>
      <c r="N281" s="1337"/>
      <c r="O281" s="1337"/>
      <c r="P281" s="1337"/>
      <c r="Q281" s="1337"/>
      <c r="R281" s="1337"/>
      <c r="S281" s="1337"/>
    </row>
    <row r="282" spans="1:19" ht="13.8">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ht="13.8">
      <c r="A283" s="1330"/>
      <c r="B283" s="1311" t="s">
        <v>1982</v>
      </c>
      <c r="C283" s="1311" t="s">
        <v>286</v>
      </c>
      <c r="D283" s="1330"/>
      <c r="E283" s="1330"/>
      <c r="F283" s="1330"/>
      <c r="G283" s="1330"/>
      <c r="H283" s="1330">
        <f>'Part II-Development Team'!H80</f>
        <v>0</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1988</v>
      </c>
      <c r="P283" s="1337"/>
      <c r="Q283" s="1330">
        <f>'Part II-Development Team'!Q80</f>
        <v>0</v>
      </c>
      <c r="R283" s="1330">
        <f>'Part II-Development Team'!R80</f>
        <v>0</v>
      </c>
      <c r="S283" s="1330">
        <f>'Part II-Development Team'!S80</f>
        <v>0</v>
      </c>
    </row>
    <row r="284" spans="1:19" ht="13.8">
      <c r="A284" s="1330"/>
      <c r="B284" s="1330"/>
      <c r="C284" s="1330"/>
      <c r="D284" s="1382"/>
      <c r="E284" s="1337" t="s">
        <v>1020</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1746</v>
      </c>
      <c r="P284" s="1330"/>
      <c r="Q284" s="1330">
        <f>'Part II-Development Team'!Q81</f>
        <v>0</v>
      </c>
      <c r="R284" s="1330">
        <f>'Part II-Development Team'!R81</f>
        <v>0</v>
      </c>
      <c r="S284" s="1330">
        <f>'Part II-Development Team'!S81</f>
        <v>0</v>
      </c>
    </row>
    <row r="285" spans="1:19" ht="13.8">
      <c r="A285" s="1330"/>
      <c r="B285" s="1330"/>
      <c r="C285" s="1330"/>
      <c r="D285" s="1382"/>
      <c r="E285" s="1337" t="s">
        <v>617</v>
      </c>
      <c r="F285" s="1330"/>
      <c r="G285" s="1330"/>
      <c r="H285" s="1330">
        <f>'Part II-Development Team'!H82</f>
        <v>0</v>
      </c>
      <c r="I285" s="1330">
        <f>'Part II-Development Team'!I82</f>
        <v>0</v>
      </c>
      <c r="J285" s="1330">
        <f>'Part II-Development Team'!J82</f>
        <v>0</v>
      </c>
      <c r="K285" s="1334" t="s">
        <v>2703</v>
      </c>
      <c r="L285" s="1330">
        <f>'Part II-Development Team'!L82</f>
        <v>0</v>
      </c>
      <c r="M285" s="1330">
        <f>'Part II-Development Team'!M82</f>
        <v>0</v>
      </c>
      <c r="N285" s="1330">
        <f>'Part II-Development Team'!N82</f>
        <v>0</v>
      </c>
      <c r="O285" s="1337" t="s">
        <v>1720</v>
      </c>
      <c r="P285" s="1330"/>
      <c r="Q285" s="1799">
        <f>'Part II-Development Team'!Q82</f>
        <v>0</v>
      </c>
      <c r="R285" s="1799">
        <f>'Part II-Development Team'!R82</f>
        <v>0</v>
      </c>
      <c r="S285" s="1799">
        <f>'Part II-Development Team'!S82</f>
        <v>0</v>
      </c>
    </row>
    <row r="286" spans="1:19" ht="13.8">
      <c r="A286" s="1330"/>
      <c r="B286" s="1330"/>
      <c r="C286" s="1330"/>
      <c r="D286" s="1330"/>
      <c r="E286" s="1337" t="s">
        <v>1798</v>
      </c>
      <c r="F286" s="1330"/>
      <c r="G286" s="1330"/>
      <c r="H286" s="1337">
        <f>'Part II-Development Team'!H83</f>
        <v>0</v>
      </c>
      <c r="I286" s="1330"/>
      <c r="J286" s="1330"/>
      <c r="K286" s="1334" t="s">
        <v>2228</v>
      </c>
      <c r="L286" s="1798">
        <f>'Part II-Development Team'!L83</f>
        <v>0</v>
      </c>
      <c r="M286" s="1798">
        <f>'Part II-Development Team'!M83</f>
        <v>0</v>
      </c>
      <c r="N286" s="1330"/>
      <c r="O286" s="1337" t="s">
        <v>1978</v>
      </c>
      <c r="P286" s="1330"/>
      <c r="Q286" s="1799">
        <f>'Part II-Development Team'!Q83</f>
        <v>0</v>
      </c>
      <c r="R286" s="1799">
        <f>'Part II-Development Team'!R83</f>
        <v>0</v>
      </c>
      <c r="S286" s="1799">
        <f>'Part II-Development Team'!S83</f>
        <v>0</v>
      </c>
    </row>
    <row r="287" spans="1:19" ht="13.8">
      <c r="A287" s="1330"/>
      <c r="B287" s="1330"/>
      <c r="C287" s="1330"/>
      <c r="D287" s="1382"/>
      <c r="E287" s="1337" t="s">
        <v>4254</v>
      </c>
      <c r="F287" s="1330"/>
      <c r="G287" s="1330"/>
      <c r="H287" s="1799">
        <f>'Part II-Development Team'!H84</f>
        <v>0</v>
      </c>
      <c r="I287" s="1799">
        <f>'Part II-Development Team'!I84</f>
        <v>0</v>
      </c>
      <c r="J287" s="1344">
        <f>'Part II-Development Team'!J84</f>
        <v>0</v>
      </c>
      <c r="K287" s="1334" t="s">
        <v>1983</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ht="13.8">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ht="13.8">
      <c r="A289" s="1330"/>
      <c r="B289" s="1311" t="s">
        <v>1984</v>
      </c>
      <c r="C289" s="1311" t="s">
        <v>287</v>
      </c>
      <c r="D289" s="1330"/>
      <c r="E289" s="1330"/>
      <c r="F289" s="1330"/>
      <c r="G289" s="1330"/>
      <c r="H289" s="1330" t="str">
        <f>'Part II-Development Team'!H86</f>
        <v>Olympia Construction, Inc.</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1988</v>
      </c>
      <c r="P289" s="1337"/>
      <c r="Q289" s="1330" t="str">
        <f>'Part II-Development Team'!Q86</f>
        <v>Jeff Beaver</v>
      </c>
      <c r="R289" s="1330">
        <f>'Part II-Development Team'!R86</f>
        <v>0</v>
      </c>
      <c r="S289" s="1330">
        <f>'Part II-Development Team'!S86</f>
        <v>0</v>
      </c>
    </row>
    <row r="290" spans="1:19" ht="13.8">
      <c r="A290" s="1330"/>
      <c r="B290" s="1330"/>
      <c r="C290" s="1330"/>
      <c r="D290" s="1382"/>
      <c r="E290" s="1337" t="s">
        <v>1020</v>
      </c>
      <c r="F290" s="1340"/>
      <c r="G290" s="1330"/>
      <c r="H290" s="1330" t="str">
        <f>'Part II-Development Team'!H87</f>
        <v>404 E McKinney Ave</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1746</v>
      </c>
      <c r="P290" s="1330"/>
      <c r="Q290" s="1330" t="str">
        <f>'Part II-Development Team'!Q87</f>
        <v>President</v>
      </c>
      <c r="R290" s="1330">
        <f>'Part II-Development Team'!R87</f>
        <v>0</v>
      </c>
      <c r="S290" s="1330">
        <f>'Part II-Development Team'!S87</f>
        <v>0</v>
      </c>
    </row>
    <row r="291" spans="1:19" ht="13.8">
      <c r="A291" s="1330"/>
      <c r="B291" s="1330"/>
      <c r="C291" s="1330"/>
      <c r="D291" s="1382"/>
      <c r="E291" s="1337" t="s">
        <v>617</v>
      </c>
      <c r="F291" s="1330"/>
      <c r="G291" s="1330"/>
      <c r="H291" s="1330" t="str">
        <f>'Part II-Development Team'!H88</f>
        <v>Albertville</v>
      </c>
      <c r="I291" s="1330">
        <f>'Part II-Development Team'!I88</f>
        <v>0</v>
      </c>
      <c r="J291" s="1330">
        <f>'Part II-Development Team'!J88</f>
        <v>0</v>
      </c>
      <c r="K291" s="1334" t="s">
        <v>2703</v>
      </c>
      <c r="L291" s="1330" t="str">
        <f>'Part II-Development Team'!L88</f>
        <v>olympiaconstruction.net</v>
      </c>
      <c r="M291" s="1330">
        <f>'Part II-Development Team'!M88</f>
        <v>0</v>
      </c>
      <c r="N291" s="1330">
        <f>'Part II-Development Team'!N88</f>
        <v>0</v>
      </c>
      <c r="O291" s="1337" t="s">
        <v>1720</v>
      </c>
      <c r="P291" s="1330"/>
      <c r="Q291" s="1799">
        <f>'Part II-Development Team'!Q88</f>
        <v>2568786054</v>
      </c>
      <c r="R291" s="1799">
        <f>'Part II-Development Team'!R88</f>
        <v>0</v>
      </c>
      <c r="S291" s="1799">
        <f>'Part II-Development Team'!S88</f>
        <v>0</v>
      </c>
    </row>
    <row r="292" spans="1:19" ht="13.8">
      <c r="A292" s="1330"/>
      <c r="B292" s="1330"/>
      <c r="C292" s="1330"/>
      <c r="D292" s="1330"/>
      <c r="E292" s="1337" t="s">
        <v>1798</v>
      </c>
      <c r="F292" s="1330"/>
      <c r="G292" s="1330"/>
      <c r="H292" s="1337" t="str">
        <f>'Part II-Development Team'!H89</f>
        <v>AL</v>
      </c>
      <c r="I292" s="1330"/>
      <c r="J292" s="1330"/>
      <c r="K292" s="1334" t="s">
        <v>2228</v>
      </c>
      <c r="L292" s="1798">
        <f>'Part II-Development Team'!L89</f>
        <v>359501832</v>
      </c>
      <c r="M292" s="1798">
        <f>'Part II-Development Team'!M89</f>
        <v>0</v>
      </c>
      <c r="N292" s="1330"/>
      <c r="O292" s="1337" t="s">
        <v>1978</v>
      </c>
      <c r="P292" s="1330"/>
      <c r="Q292" s="1799">
        <f>'Part II-Development Team'!Q89</f>
        <v>0</v>
      </c>
      <c r="R292" s="1799">
        <f>'Part II-Development Team'!R89</f>
        <v>0</v>
      </c>
      <c r="S292" s="1799">
        <f>'Part II-Development Team'!S89</f>
        <v>0</v>
      </c>
    </row>
    <row r="293" spans="1:19" ht="13.8">
      <c r="A293" s="1330"/>
      <c r="B293" s="1330"/>
      <c r="C293" s="1330"/>
      <c r="D293" s="1382"/>
      <c r="E293" s="1337" t="s">
        <v>4254</v>
      </c>
      <c r="F293" s="1330"/>
      <c r="G293" s="1330"/>
      <c r="H293" s="1799">
        <f>'Part II-Development Team'!H90</f>
        <v>2568786054</v>
      </c>
      <c r="I293" s="1799">
        <f>'Part II-Development Team'!I90</f>
        <v>0</v>
      </c>
      <c r="J293" s="1344">
        <f>'Part II-Development Team'!J90</f>
        <v>0</v>
      </c>
      <c r="K293" s="1334" t="s">
        <v>1983</v>
      </c>
      <c r="L293" s="1706" t="str">
        <f>'Part II-Development Team'!L90</f>
        <v>jeff@olympiaconstruction.net</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ht="13.8">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ht="13.8">
      <c r="A295" s="1330"/>
      <c r="B295" s="1311" t="s">
        <v>748</v>
      </c>
      <c r="C295" s="1311" t="s">
        <v>288</v>
      </c>
      <c r="D295" s="1330"/>
      <c r="E295" s="1330"/>
      <c r="F295" s="1336"/>
      <c r="G295" s="1330"/>
      <c r="H295" s="1330" t="str">
        <f>'Part II-Development Team'!H92</f>
        <v>Olympia Management, Inc.</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1988</v>
      </c>
      <c r="P295" s="1337"/>
      <c r="Q295" s="1330" t="str">
        <f>'Part II-Development Team'!Q92</f>
        <v>Jeff Beaver</v>
      </c>
      <c r="R295" s="1330">
        <f>'Part II-Development Team'!R92</f>
        <v>0</v>
      </c>
      <c r="S295" s="1330">
        <f>'Part II-Development Team'!S92</f>
        <v>0</v>
      </c>
    </row>
    <row r="296" spans="1:19" ht="13.8">
      <c r="A296" s="1330"/>
      <c r="B296" s="1330"/>
      <c r="C296" s="1330"/>
      <c r="D296" s="1382"/>
      <c r="E296" s="1337" t="s">
        <v>1020</v>
      </c>
      <c r="F296" s="1340"/>
      <c r="G296" s="1330"/>
      <c r="H296" s="1330" t="str">
        <f>'Part II-Development Team'!H93</f>
        <v>450 E McKinney Ave</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1746</v>
      </c>
      <c r="P296" s="1330"/>
      <c r="Q296" s="1330" t="str">
        <f>'Part II-Development Team'!Q93</f>
        <v>Vice President</v>
      </c>
      <c r="R296" s="1330">
        <f>'Part II-Development Team'!R93</f>
        <v>0</v>
      </c>
      <c r="S296" s="1330">
        <f>'Part II-Development Team'!S93</f>
        <v>0</v>
      </c>
    </row>
    <row r="297" spans="1:19" ht="13.8">
      <c r="A297" s="1330"/>
      <c r="B297" s="1330"/>
      <c r="C297" s="1330"/>
      <c r="D297" s="1382"/>
      <c r="E297" s="1337" t="s">
        <v>617</v>
      </c>
      <c r="F297" s="1330"/>
      <c r="G297" s="1330"/>
      <c r="H297" s="1330" t="str">
        <f>'Part II-Development Team'!H94</f>
        <v>Albertville</v>
      </c>
      <c r="I297" s="1330">
        <f>'Part II-Development Team'!I94</f>
        <v>0</v>
      </c>
      <c r="J297" s="1330">
        <f>'Part II-Development Team'!J94</f>
        <v>0</v>
      </c>
      <c r="K297" s="1334" t="s">
        <v>2703</v>
      </c>
      <c r="L297" s="1330" t="str">
        <f>'Part II-Development Team'!L94</f>
        <v>olympiamanagement.net</v>
      </c>
      <c r="M297" s="1330">
        <f>'Part II-Development Team'!M94</f>
        <v>0</v>
      </c>
      <c r="N297" s="1330">
        <f>'Part II-Development Team'!N94</f>
        <v>0</v>
      </c>
      <c r="O297" s="1337" t="s">
        <v>1720</v>
      </c>
      <c r="P297" s="1330"/>
      <c r="Q297" s="1799">
        <f>'Part II-Development Team'!Q94</f>
        <v>2568786054</v>
      </c>
      <c r="R297" s="1799">
        <f>'Part II-Development Team'!R94</f>
        <v>0</v>
      </c>
      <c r="S297" s="1799">
        <f>'Part II-Development Team'!S94</f>
        <v>0</v>
      </c>
    </row>
    <row r="298" spans="1:19" ht="13.8">
      <c r="A298" s="1330"/>
      <c r="B298" s="1330"/>
      <c r="C298" s="1330"/>
      <c r="D298" s="1382"/>
      <c r="E298" s="1337" t="s">
        <v>1798</v>
      </c>
      <c r="F298" s="1330"/>
      <c r="G298" s="1330"/>
      <c r="H298" s="1337" t="str">
        <f>'Part II-Development Team'!H95</f>
        <v>AL</v>
      </c>
      <c r="I298" s="1330"/>
      <c r="J298" s="1330"/>
      <c r="K298" s="1334" t="s">
        <v>2228</v>
      </c>
      <c r="L298" s="1798">
        <f>'Part II-Development Team'!L95</f>
        <v>359501832</v>
      </c>
      <c r="M298" s="1798">
        <f>'Part II-Development Team'!M95</f>
        <v>0</v>
      </c>
      <c r="N298" s="1330"/>
      <c r="O298" s="1337" t="s">
        <v>1978</v>
      </c>
      <c r="P298" s="1330"/>
      <c r="Q298" s="1799">
        <f>'Part II-Development Team'!Q95</f>
        <v>0</v>
      </c>
      <c r="R298" s="1799">
        <f>'Part II-Development Team'!R95</f>
        <v>0</v>
      </c>
      <c r="S298" s="1799">
        <f>'Part II-Development Team'!S95</f>
        <v>0</v>
      </c>
    </row>
    <row r="299" spans="1:19" ht="13.8">
      <c r="A299" s="1330"/>
      <c r="B299" s="1330"/>
      <c r="C299" s="1330"/>
      <c r="D299" s="1382"/>
      <c r="E299" s="1337" t="s">
        <v>4254</v>
      </c>
      <c r="F299" s="1330"/>
      <c r="G299" s="1330"/>
      <c r="H299" s="1799">
        <f>'Part II-Development Team'!H96</f>
        <v>2568786054</v>
      </c>
      <c r="I299" s="1799">
        <f>'Part II-Development Team'!I96</f>
        <v>0</v>
      </c>
      <c r="J299" s="1344">
        <f>'Part II-Development Team'!J96</f>
        <v>0</v>
      </c>
      <c r="K299" s="1334" t="s">
        <v>1983</v>
      </c>
      <c r="L299" s="1706" t="str">
        <f>'Part II-Development Team'!L96</f>
        <v>jeff@olympiaconstruction.net</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ht="13.8">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ht="13.8">
      <c r="A301" s="1330"/>
      <c r="B301" s="1311" t="s">
        <v>2114</v>
      </c>
      <c r="C301" s="1311" t="s">
        <v>289</v>
      </c>
      <c r="D301" s="1330"/>
      <c r="E301" s="1330"/>
      <c r="F301" s="1330"/>
      <c r="G301" s="1330"/>
      <c r="H301" s="1330" t="str">
        <f>'Part II-Development Team'!H98</f>
        <v>Coleman Talley LLP</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1988</v>
      </c>
      <c r="P301" s="1337"/>
      <c r="Q301" s="1330" t="str">
        <f>'Part II-Development Team'!Q98</f>
        <v>Russ Henry</v>
      </c>
      <c r="R301" s="1330">
        <f>'Part II-Development Team'!R98</f>
        <v>0</v>
      </c>
      <c r="S301" s="1330">
        <f>'Part II-Development Team'!S98</f>
        <v>0</v>
      </c>
    </row>
    <row r="302" spans="1:19" ht="13.8">
      <c r="A302" s="1330"/>
      <c r="B302" s="1330"/>
      <c r="C302" s="1330"/>
      <c r="D302" s="1382"/>
      <c r="E302" s="1337" t="s">
        <v>1020</v>
      </c>
      <c r="F302" s="1340"/>
      <c r="G302" s="1330"/>
      <c r="H302" s="1330" t="str">
        <f>'Part II-Development Team'!H99</f>
        <v>109 South Ashley Street</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1746</v>
      </c>
      <c r="P302" s="1330"/>
      <c r="Q302" s="1330" t="str">
        <f>'Part II-Development Team'!Q99</f>
        <v>Partner</v>
      </c>
      <c r="R302" s="1330">
        <f>'Part II-Development Team'!R99</f>
        <v>0</v>
      </c>
      <c r="S302" s="1330">
        <f>'Part II-Development Team'!S99</f>
        <v>0</v>
      </c>
    </row>
    <row r="303" spans="1:19" ht="13.8">
      <c r="A303" s="1330"/>
      <c r="B303" s="1330"/>
      <c r="C303" s="1330"/>
      <c r="D303" s="1382"/>
      <c r="E303" s="1337" t="s">
        <v>617</v>
      </c>
      <c r="F303" s="1330"/>
      <c r="G303" s="1330"/>
      <c r="H303" s="1330" t="str">
        <f>'Part II-Development Team'!H100</f>
        <v>Valdosta</v>
      </c>
      <c r="I303" s="1330">
        <f>'Part II-Development Team'!I100</f>
        <v>0</v>
      </c>
      <c r="J303" s="1330">
        <f>'Part II-Development Team'!J100</f>
        <v>0</v>
      </c>
      <c r="K303" s="1334" t="s">
        <v>2703</v>
      </c>
      <c r="L303" s="1330">
        <f>'Part II-Development Team'!L100</f>
        <v>0</v>
      </c>
      <c r="M303" s="1330">
        <f>'Part II-Development Team'!M100</f>
        <v>0</v>
      </c>
      <c r="N303" s="1330">
        <f>'Part II-Development Team'!N100</f>
        <v>0</v>
      </c>
      <c r="O303" s="1337" t="s">
        <v>1720</v>
      </c>
      <c r="P303" s="1330"/>
      <c r="Q303" s="1799">
        <f>'Part II-Development Team'!Q100</f>
        <v>2296718235</v>
      </c>
      <c r="R303" s="1799">
        <f>'Part II-Development Team'!R100</f>
        <v>0</v>
      </c>
      <c r="S303" s="1799">
        <f>'Part II-Development Team'!S100</f>
        <v>0</v>
      </c>
    </row>
    <row r="304" spans="1:19" ht="13.8">
      <c r="A304" s="1330"/>
      <c r="B304" s="1330"/>
      <c r="C304" s="1330"/>
      <c r="D304" s="1382"/>
      <c r="E304" s="1337" t="s">
        <v>1798</v>
      </c>
      <c r="F304" s="1330"/>
      <c r="G304" s="1330"/>
      <c r="H304" s="1337" t="str">
        <f>'Part II-Development Team'!H101</f>
        <v>GA</v>
      </c>
      <c r="I304" s="1330"/>
      <c r="J304" s="1330"/>
      <c r="K304" s="1334" t="s">
        <v>2228</v>
      </c>
      <c r="L304" s="1798">
        <f>'Part II-Development Team'!L101</f>
        <v>316015601</v>
      </c>
      <c r="M304" s="1798">
        <f>'Part II-Development Team'!M101</f>
        <v>0</v>
      </c>
      <c r="N304" s="1330"/>
      <c r="O304" s="1337" t="s">
        <v>1978</v>
      </c>
      <c r="P304" s="1330"/>
      <c r="Q304" s="1799">
        <f>'Part II-Development Team'!Q101</f>
        <v>0</v>
      </c>
      <c r="R304" s="1799">
        <f>'Part II-Development Team'!R101</f>
        <v>0</v>
      </c>
      <c r="S304" s="1799">
        <f>'Part II-Development Team'!S101</f>
        <v>0</v>
      </c>
    </row>
    <row r="305" spans="1:19" ht="13.8">
      <c r="A305" s="1336"/>
      <c r="B305" s="1336"/>
      <c r="C305" s="1336"/>
      <c r="D305" s="1336"/>
      <c r="E305" s="1337" t="s">
        <v>4254</v>
      </c>
      <c r="F305" s="1330"/>
      <c r="G305" s="1330"/>
      <c r="H305" s="1799">
        <f>'Part II-Development Team'!H102</f>
        <v>2296718235</v>
      </c>
      <c r="I305" s="1799">
        <f>'Part II-Development Team'!I102</f>
        <v>0</v>
      </c>
      <c r="J305" s="1344">
        <f>'Part II-Development Team'!J102</f>
        <v>0</v>
      </c>
      <c r="K305" s="1334" t="s">
        <v>1983</v>
      </c>
      <c r="L305" s="1706" t="str">
        <f>'Part II-Development Team'!L102</f>
        <v>russ.henry@colemantalley.com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ht="13.8">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ht="13.8">
      <c r="A307" s="1330"/>
      <c r="B307" s="1311" t="s">
        <v>1734</v>
      </c>
      <c r="C307" s="1311" t="s">
        <v>290</v>
      </c>
      <c r="D307" s="1330"/>
      <c r="E307" s="1330"/>
      <c r="F307" s="1330"/>
      <c r="G307" s="1330"/>
      <c r="H307" s="1330" t="str">
        <f>'Part II-Development Team'!H104</f>
        <v>Donald W. Causey &amp; Associates, P.C.</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1988</v>
      </c>
      <c r="P307" s="1337"/>
      <c r="Q307" s="1330" t="str">
        <f>'Part II-Development Team'!Q104</f>
        <v>Don Causey</v>
      </c>
      <c r="R307" s="1330">
        <f>'Part II-Development Team'!R104</f>
        <v>0</v>
      </c>
      <c r="S307" s="1330">
        <f>'Part II-Development Team'!S104</f>
        <v>0</v>
      </c>
    </row>
    <row r="308" spans="1:19" ht="13.8">
      <c r="A308" s="1330"/>
      <c r="B308" s="1330"/>
      <c r="C308" s="1330"/>
      <c r="D308" s="1382"/>
      <c r="E308" s="1337" t="s">
        <v>1020</v>
      </c>
      <c r="F308" s="1340"/>
      <c r="G308" s="1330"/>
      <c r="H308" s="1330" t="str">
        <f>'Part II-Development Team'!H105</f>
        <v>264 Sutton Bridge Road</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1746</v>
      </c>
      <c r="P308" s="1330"/>
      <c r="Q308" s="1330" t="str">
        <f>'Part II-Development Team'!Q105</f>
        <v>Owner</v>
      </c>
      <c r="R308" s="1330">
        <f>'Part II-Development Team'!R105</f>
        <v>0</v>
      </c>
      <c r="S308" s="1330">
        <f>'Part II-Development Team'!S105</f>
        <v>0</v>
      </c>
    </row>
    <row r="309" spans="1:19" ht="13.8">
      <c r="A309" s="1330"/>
      <c r="B309" s="1330"/>
      <c r="C309" s="1330"/>
      <c r="D309" s="1382"/>
      <c r="E309" s="1337" t="s">
        <v>617</v>
      </c>
      <c r="F309" s="1330"/>
      <c r="G309" s="1330"/>
      <c r="H309" s="1330" t="str">
        <f>'Part II-Development Team'!H106</f>
        <v>Rainbow City</v>
      </c>
      <c r="I309" s="1330">
        <f>'Part II-Development Team'!I106</f>
        <v>0</v>
      </c>
      <c r="J309" s="1330">
        <f>'Part II-Development Team'!J106</f>
        <v>0</v>
      </c>
      <c r="K309" s="1334" t="s">
        <v>2703</v>
      </c>
      <c r="L309" s="1330">
        <f>'Part II-Development Team'!L106</f>
        <v>0</v>
      </c>
      <c r="M309" s="1330">
        <f>'Part II-Development Team'!M106</f>
        <v>0</v>
      </c>
      <c r="N309" s="1330">
        <f>'Part II-Development Team'!N106</f>
        <v>0</v>
      </c>
      <c r="O309" s="1337" t="s">
        <v>1720</v>
      </c>
      <c r="P309" s="1330"/>
      <c r="Q309" s="1799">
        <f>'Part II-Development Team'!Q106</f>
        <v>2565433707</v>
      </c>
      <c r="R309" s="1799">
        <f>'Part II-Development Team'!R106</f>
        <v>0</v>
      </c>
      <c r="S309" s="1799">
        <f>'Part II-Development Team'!S106</f>
        <v>0</v>
      </c>
    </row>
    <row r="310" spans="1:19" ht="13.8">
      <c r="A310" s="1330"/>
      <c r="B310" s="1330"/>
      <c r="C310" s="1330"/>
      <c r="D310" s="1382"/>
      <c r="E310" s="1337" t="s">
        <v>1798</v>
      </c>
      <c r="F310" s="1330"/>
      <c r="G310" s="1330"/>
      <c r="H310" s="1337" t="str">
        <f>'Part II-Development Team'!H107</f>
        <v>AL</v>
      </c>
      <c r="I310" s="1330"/>
      <c r="J310" s="1330"/>
      <c r="K310" s="1334" t="s">
        <v>2228</v>
      </c>
      <c r="L310" s="1798">
        <f>'Part II-Development Team'!L107</f>
        <v>359063217</v>
      </c>
      <c r="M310" s="1798">
        <f>'Part II-Development Team'!M107</f>
        <v>0</v>
      </c>
      <c r="N310" s="1330"/>
      <c r="O310" s="1337" t="s">
        <v>1978</v>
      </c>
      <c r="P310" s="1330"/>
      <c r="Q310" s="1799">
        <f>'Part II-Development Team'!Q107</f>
        <v>0</v>
      </c>
      <c r="R310" s="1799">
        <f>'Part II-Development Team'!R107</f>
        <v>0</v>
      </c>
      <c r="S310" s="1799">
        <f>'Part II-Development Team'!S107</f>
        <v>0</v>
      </c>
    </row>
    <row r="311" spans="1:19" ht="13.8">
      <c r="A311" s="1336"/>
      <c r="B311" s="1336"/>
      <c r="C311" s="1336"/>
      <c r="D311" s="1336"/>
      <c r="E311" s="1337" t="s">
        <v>4254</v>
      </c>
      <c r="F311" s="1330"/>
      <c r="G311" s="1330"/>
      <c r="H311" s="1799">
        <f>'Part II-Development Team'!H108</f>
        <v>2565433707</v>
      </c>
      <c r="I311" s="1799">
        <f>'Part II-Development Team'!I108</f>
        <v>0</v>
      </c>
      <c r="J311" s="1344">
        <f>'Part II-Development Team'!J108</f>
        <v>0</v>
      </c>
      <c r="K311" s="1334" t="s">
        <v>1983</v>
      </c>
      <c r="L311" s="1706" t="str">
        <f>'Part II-Development Team'!L108</f>
        <v>don@donaldwcauseycpa.com</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ht="13.8">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ht="13.8">
      <c r="A313" s="1330"/>
      <c r="B313" s="1311" t="s">
        <v>1735</v>
      </c>
      <c r="C313" s="1311" t="s">
        <v>291</v>
      </c>
      <c r="D313" s="1330"/>
      <c r="E313" s="1330"/>
      <c r="F313" s="1330"/>
      <c r="G313" s="1330"/>
      <c r="H313" s="1330" t="str">
        <f>'Part II-Development Team'!H110</f>
        <v>McKean &amp; Assocites, Architects, LLC</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1988</v>
      </c>
      <c r="P313" s="1337"/>
      <c r="Q313" s="1330" t="str">
        <f>'Part II-Development Team'!Q110</f>
        <v>Rory McKean</v>
      </c>
      <c r="R313" s="1330">
        <f>'Part II-Development Team'!R110</f>
        <v>0</v>
      </c>
      <c r="S313" s="1330">
        <f>'Part II-Development Team'!S110</f>
        <v>0</v>
      </c>
    </row>
    <row r="314" spans="1:19" ht="13.8">
      <c r="A314" s="1330"/>
      <c r="B314" s="1330"/>
      <c r="C314" s="1330"/>
      <c r="D314" s="1382"/>
      <c r="E314" s="1337" t="s">
        <v>1020</v>
      </c>
      <c r="F314" s="1340"/>
      <c r="G314" s="1330"/>
      <c r="H314" s="1330" t="str">
        <f>'Part II-Development Team'!H111</f>
        <v>2315 Eastchase Lane</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1746</v>
      </c>
      <c r="P314" s="1330"/>
      <c r="Q314" s="1330" t="str">
        <f>'Part II-Development Team'!Q111</f>
        <v>Member-Manager</v>
      </c>
      <c r="R314" s="1330">
        <f>'Part II-Development Team'!R111</f>
        <v>0</v>
      </c>
      <c r="S314" s="1330">
        <f>'Part II-Development Team'!S111</f>
        <v>0</v>
      </c>
    </row>
    <row r="315" spans="1:19" ht="13.8">
      <c r="A315" s="1330"/>
      <c r="B315" s="1330"/>
      <c r="C315" s="1330"/>
      <c r="D315" s="1382"/>
      <c r="E315" s="1337" t="s">
        <v>617</v>
      </c>
      <c r="F315" s="1330"/>
      <c r="G315" s="1330"/>
      <c r="H315" s="1330" t="str">
        <f>'Part II-Development Team'!H112</f>
        <v>Montgomery</v>
      </c>
      <c r="I315" s="1330">
        <f>'Part II-Development Team'!I112</f>
        <v>0</v>
      </c>
      <c r="J315" s="1330">
        <f>'Part II-Development Team'!J112</f>
        <v>0</v>
      </c>
      <c r="K315" s="1334" t="s">
        <v>2703</v>
      </c>
      <c r="L315" s="1330">
        <f>'Part II-Development Team'!L112</f>
        <v>0</v>
      </c>
      <c r="M315" s="1330">
        <f>'Part II-Development Team'!M112</f>
        <v>0</v>
      </c>
      <c r="N315" s="1330">
        <f>'Part II-Development Team'!N112</f>
        <v>0</v>
      </c>
      <c r="O315" s="1337" t="s">
        <v>1720</v>
      </c>
      <c r="P315" s="1330"/>
      <c r="Q315" s="1799">
        <f>'Part II-Development Team'!Q112</f>
        <v>3342724044</v>
      </c>
      <c r="R315" s="1799">
        <f>'Part II-Development Team'!R112</f>
        <v>0</v>
      </c>
      <c r="S315" s="1799">
        <f>'Part II-Development Team'!S112</f>
        <v>0</v>
      </c>
    </row>
    <row r="316" spans="1:19" ht="13.8">
      <c r="A316" s="1330"/>
      <c r="B316" s="1330"/>
      <c r="C316" s="1330"/>
      <c r="D316" s="1382"/>
      <c r="E316" s="1337" t="s">
        <v>1798</v>
      </c>
      <c r="F316" s="1330"/>
      <c r="G316" s="1330"/>
      <c r="H316" s="1337" t="str">
        <f>'Part II-Development Team'!H113</f>
        <v>AL</v>
      </c>
      <c r="I316" s="1330"/>
      <c r="J316" s="1330"/>
      <c r="K316" s="1334" t="s">
        <v>2228</v>
      </c>
      <c r="L316" s="1798">
        <f>'Part II-Development Team'!L113</f>
        <v>361177026</v>
      </c>
      <c r="M316" s="1798">
        <f>'Part II-Development Team'!M113</f>
        <v>0</v>
      </c>
      <c r="N316" s="1330"/>
      <c r="O316" s="1337" t="s">
        <v>1978</v>
      </c>
      <c r="P316" s="1330"/>
      <c r="Q316" s="1799">
        <f>'Part II-Development Team'!Q113</f>
        <v>0</v>
      </c>
      <c r="R316" s="1799">
        <f>'Part II-Development Team'!R113</f>
        <v>0</v>
      </c>
      <c r="S316" s="1799">
        <f>'Part II-Development Team'!S113</f>
        <v>0</v>
      </c>
    </row>
    <row r="317" spans="1:19" ht="13.8">
      <c r="A317" s="1330"/>
      <c r="B317" s="1330"/>
      <c r="C317" s="1330"/>
      <c r="D317" s="1382"/>
      <c r="E317" s="1337" t="s">
        <v>4254</v>
      </c>
      <c r="F317" s="1330"/>
      <c r="G317" s="1330"/>
      <c r="H317" s="1799">
        <f>'Part II-Development Team'!H114</f>
        <v>3342724044</v>
      </c>
      <c r="I317" s="1799">
        <f>'Part II-Development Team'!I114</f>
        <v>0</v>
      </c>
      <c r="J317" s="1344">
        <f>'Part II-Development Team'!J114</f>
        <v>0</v>
      </c>
      <c r="K317" s="1334" t="s">
        <v>1983</v>
      </c>
      <c r="L317" s="1706" t="str">
        <f>'Part II-Development Team'!L114</f>
        <v>rmckean@mckeanarch.com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ht="13.8">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ht="13.8">
      <c r="A319" s="1311" t="s">
        <v>1791</v>
      </c>
      <c r="B319" s="1311" t="s">
        <v>2602</v>
      </c>
      <c r="C319" s="1330"/>
      <c r="D319" s="1330"/>
      <c r="E319" s="1330"/>
      <c r="F319" s="1311"/>
      <c r="G319" s="1334"/>
      <c r="H319" s="1334"/>
      <c r="I319" s="1334"/>
      <c r="J319" s="1334"/>
      <c r="K319" s="1334"/>
      <c r="L319" s="1334"/>
      <c r="M319" s="1334"/>
      <c r="N319" s="1334"/>
      <c r="O319" s="1334"/>
      <c r="P319" s="1334"/>
      <c r="Q319" s="1334"/>
      <c r="R319" s="1330"/>
      <c r="S319" s="1330"/>
    </row>
    <row r="320" spans="1:19" ht="13.8">
      <c r="A320" s="1330"/>
      <c r="B320" s="1311" t="s">
        <v>1982</v>
      </c>
      <c r="C320" s="1311" t="s">
        <v>4493</v>
      </c>
      <c r="D320" s="1330"/>
      <c r="E320" s="1330"/>
      <c r="F320" s="1330"/>
      <c r="G320" s="1330"/>
      <c r="H320" s="1330" t="str">
        <f>'Part II-Development Team'!H117</f>
        <v>Leesburg Housing, LP</v>
      </c>
      <c r="I320" s="1330">
        <f>'Part II-Development Team'!I117</f>
        <v>0</v>
      </c>
      <c r="J320" s="1330">
        <f>'Part II-Development Team'!J117</f>
        <v>0</v>
      </c>
      <c r="K320" s="1334" t="s">
        <v>2473</v>
      </c>
      <c r="L320" s="1330" t="str">
        <f>'Part II-Development Team'!L117</f>
        <v>Cheryl Murphy-Fetcinko</v>
      </c>
      <c r="M320" s="1330">
        <f>'Part II-Development Team'!M117</f>
        <v>0</v>
      </c>
      <c r="N320" s="1330">
        <f>'Part II-Development Team'!N117</f>
        <v>0</v>
      </c>
      <c r="O320" s="1337" t="s">
        <v>3576</v>
      </c>
      <c r="P320" s="1330"/>
      <c r="Q320" s="1330" t="str">
        <f>'Part II-Development Team'!Q117</f>
        <v>770-386-2921</v>
      </c>
      <c r="R320" s="1330">
        <f>'Part II-Development Team'!R117</f>
        <v>0</v>
      </c>
      <c r="S320" s="1330">
        <f>'Part II-Development Team'!S117</f>
        <v>0</v>
      </c>
    </row>
    <row r="321" spans="1:19" ht="13.8">
      <c r="A321" s="1330"/>
      <c r="B321" s="1330"/>
      <c r="C321" s="1330"/>
      <c r="D321" s="1382"/>
      <c r="E321" s="1337" t="s">
        <v>1020</v>
      </c>
      <c r="F321" s="1340"/>
      <c r="G321" s="1330"/>
      <c r="H321" s="1330" t="str">
        <f>'Part II-Development Team'!H118</f>
        <v>1341 Cassville Road</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617</v>
      </c>
      <c r="P321" s="1330"/>
      <c r="Q321" s="1330" t="str">
        <f>'Part II-Development Team'!Q118</f>
        <v>Cartersville</v>
      </c>
      <c r="R321" s="1330">
        <f>'Part II-Development Team'!R118</f>
        <v>0</v>
      </c>
      <c r="S321" s="1330">
        <f>'Part II-Development Team'!S118</f>
        <v>0</v>
      </c>
    </row>
    <row r="322" spans="1:19" ht="13.8">
      <c r="A322" s="1330"/>
      <c r="B322" s="1330"/>
      <c r="C322" s="1330"/>
      <c r="D322" s="1382"/>
      <c r="E322" s="1337" t="s">
        <v>1798</v>
      </c>
      <c r="F322" s="1330"/>
      <c r="G322" s="1330"/>
      <c r="H322" s="1337" t="str">
        <f>'Part II-Development Team'!H119</f>
        <v>GA</v>
      </c>
      <c r="I322" s="1334" t="s">
        <v>2228</v>
      </c>
      <c r="J322" s="1798">
        <f>'Part II-Development Team'!J119</f>
        <v>301204886</v>
      </c>
      <c r="K322" s="1798">
        <f>'Part II-Development Team'!K119</f>
        <v>0</v>
      </c>
      <c r="L322" s="1334" t="s">
        <v>1983</v>
      </c>
      <c r="M322" s="1706" t="str">
        <f>'Part II-Development Team'!M119</f>
        <v>cheryl@tmcmgt.com</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ht="13.8">
      <c r="A323" s="1336"/>
      <c r="B323" s="1311" t="s">
        <v>1984</v>
      </c>
      <c r="C323" s="1311" t="s">
        <v>2834</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3878</v>
      </c>
      <c r="B324" s="1386"/>
      <c r="C324" s="1386"/>
      <c r="D324" s="1386"/>
      <c r="E324" s="1386"/>
      <c r="F324" s="1344" t="s">
        <v>2509</v>
      </c>
      <c r="G324" s="1341" t="s">
        <v>3476</v>
      </c>
      <c r="H324" s="1341"/>
      <c r="I324" s="1341"/>
      <c r="J324" s="1341"/>
      <c r="K324" s="1341"/>
      <c r="L324" s="1341"/>
      <c r="M324" s="1341"/>
      <c r="N324" s="1341"/>
      <c r="O324" s="1341"/>
      <c r="P324" s="1341"/>
      <c r="Q324" s="1341"/>
      <c r="R324" s="1341"/>
      <c r="S324" s="1341"/>
    </row>
    <row r="325" spans="1:19" ht="12.75" customHeight="1">
      <c r="A325" s="1330"/>
      <c r="B325" s="1375"/>
      <c r="C325" s="1387" t="s">
        <v>1985</v>
      </c>
      <c r="D325" s="1365" t="s">
        <v>2835</v>
      </c>
      <c r="E325" s="1365"/>
      <c r="F325" s="1812" t="str">
        <f>'Part II-Development Team'!F122</f>
        <v>Yes</v>
      </c>
      <c r="G325" s="1573" t="str">
        <f>'Part II-Development Team'!G122</f>
        <v>Olympia Construction, Inc. is acting as Developer and General Contractor for this proposal</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1987</v>
      </c>
      <c r="D326" s="1365" t="s">
        <v>2900</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2533</v>
      </c>
      <c r="D327" s="1365" t="s">
        <v>2876</v>
      </c>
      <c r="E327" s="1365"/>
      <c r="F327" s="1812" t="str">
        <f>'Part II-Development Team'!F124</f>
        <v>Yes</v>
      </c>
      <c r="G327" s="1573" t="str">
        <f>'Part II-Development Team'!G124</f>
        <v>Olympia Construction, Inc.(Contractor)  is a Member of Olympia GP Holdings, LLC (General Partner)</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1223</v>
      </c>
      <c r="D328" s="1365" t="s">
        <v>2836</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1224</v>
      </c>
      <c r="D329" s="1365" t="s">
        <v>3464</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1880</v>
      </c>
      <c r="D330" s="1365" t="s">
        <v>3465</v>
      </c>
      <c r="E330" s="1365"/>
      <c r="F330" s="1812" t="str">
        <f>'Part II-Development Team'!F127</f>
        <v>No</v>
      </c>
      <c r="G330" s="1573">
        <f>'Part II-Development Team'!G127</f>
        <v>0</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502</v>
      </c>
      <c r="D331" s="1365" t="s">
        <v>2837</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503</v>
      </c>
      <c r="D332" s="1365" t="str">
        <f>'Part II-Development Team'!D130</f>
        <v>Management Agency and Developer?</v>
      </c>
      <c r="E332" s="1365">
        <f>'Part II-Development Team'!E130</f>
        <v>0</v>
      </c>
      <c r="F332" s="1812" t="str">
        <f>'Part II-Development Team'!F130</f>
        <v>Yes</v>
      </c>
      <c r="G332" s="1573" t="str">
        <f>'Part II-Development Team'!G130</f>
        <v>Jeff Beaver and Ralph Fullerton are owners of Olympia Management, Inc. Jeff and Ralph are also owners of Olympia Construction, Inc. (Developer, Contractor, and Member of the General Partner)</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ht="13.8">
      <c r="A333" s="1311" t="s">
        <v>1793</v>
      </c>
      <c r="B333" s="1311" t="s">
        <v>4494</v>
      </c>
      <c r="C333" s="1330"/>
      <c r="D333" s="1330"/>
      <c r="E333" s="1330"/>
      <c r="F333" s="1311"/>
      <c r="G333" s="1334"/>
      <c r="H333" s="1334"/>
      <c r="I333" s="1334"/>
      <c r="J333" s="1334"/>
      <c r="K333" s="1334"/>
      <c r="L333" s="1334"/>
      <c r="M333" s="1334"/>
      <c r="N333" s="1334"/>
      <c r="O333" s="1334"/>
      <c r="P333" s="1334"/>
      <c r="Q333" s="1334"/>
      <c r="R333" s="1330"/>
      <c r="S333" s="1330"/>
    </row>
    <row r="334" spans="1:19" ht="13.8">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ht="13.8">
      <c r="A335" s="1336"/>
      <c r="B335" s="1311" t="s">
        <v>748</v>
      </c>
      <c r="C335" s="1311" t="s">
        <v>2838</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639</v>
      </c>
      <c r="B336" s="1365"/>
      <c r="C336" s="1365"/>
      <c r="D336" s="1365"/>
      <c r="E336" s="1365" t="s">
        <v>3446</v>
      </c>
      <c r="F336" s="1365"/>
      <c r="G336" s="1365"/>
      <c r="H336" s="1365"/>
      <c r="I336" s="1365"/>
      <c r="J336" s="1365" t="s">
        <v>3447</v>
      </c>
      <c r="K336" s="1388" t="s">
        <v>4495</v>
      </c>
      <c r="L336" s="1388" t="s">
        <v>4496</v>
      </c>
      <c r="M336" s="1388" t="s">
        <v>4497</v>
      </c>
      <c r="N336" s="1388"/>
      <c r="O336" s="1388"/>
      <c r="P336" s="1388"/>
      <c r="Q336" s="1388"/>
      <c r="R336" s="1388"/>
      <c r="S336" s="1388"/>
    </row>
    <row r="337" spans="1:19" ht="13.8">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ht="13.8">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4498</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2509</v>
      </c>
      <c r="J340" s="1365"/>
      <c r="K340" s="1388"/>
      <c r="L340" s="1388"/>
      <c r="M340" s="1344" t="s">
        <v>2509</v>
      </c>
      <c r="N340" s="1348" t="s">
        <v>2905</v>
      </c>
      <c r="O340" s="1348"/>
      <c r="P340" s="1348"/>
      <c r="Q340" s="1348"/>
      <c r="R340" s="1348"/>
      <c r="S340" s="1348"/>
    </row>
    <row r="341" spans="1:19" ht="13.5" customHeight="1">
      <c r="A341" s="1391" t="s">
        <v>3441</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1E-4</v>
      </c>
      <c r="M341" s="1812" t="str">
        <f>'Part II-Development Team'!M139</f>
        <v>Yes</v>
      </c>
      <c r="N341" s="1573" t="str">
        <f>'Part II-Development Team'!N139</f>
        <v>Jeff Beaver and Ralph Fullerton: Owners of Olympia Management, Inc. and Olympia Construction, Inc.; Members of Olympia GP Holdings, LLC</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3442</v>
      </c>
      <c r="B342" s="1391"/>
      <c r="C342" s="1391"/>
      <c r="D342" s="1391"/>
      <c r="E342" s="1573">
        <f>'Part II-Development Team'!E140</f>
        <v>0</v>
      </c>
      <c r="F342" s="1573">
        <f>'Part II-Development Team'!F140</f>
        <v>0</v>
      </c>
      <c r="G342" s="1573">
        <f>'Part II-Development Team'!G140</f>
        <v>0</v>
      </c>
      <c r="H342" s="1573">
        <f>'Part II-Development Team'!H140</f>
        <v>0</v>
      </c>
      <c r="I342" s="1812" t="str">
        <f>'Part II-Development Team'!I140</f>
        <v>Select</v>
      </c>
      <c r="J342" s="1812" t="str">
        <f>'Part II-Development Team'!J140</f>
        <v>Select</v>
      </c>
      <c r="K342" s="1813">
        <f>'Part II-Development Team'!K140</f>
        <v>0</v>
      </c>
      <c r="L342" s="1814">
        <f>'Part II-Development Team'!L140</f>
        <v>0</v>
      </c>
      <c r="M342" s="1812" t="str">
        <f>'Part II-Development Team'!M140</f>
        <v>Select</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3443</v>
      </c>
      <c r="B343" s="1391"/>
      <c r="C343" s="1391"/>
      <c r="D343" s="1391"/>
      <c r="E343" s="1573">
        <f>'Part II-Development Team'!E141</f>
        <v>0</v>
      </c>
      <c r="F343" s="1573">
        <f>'Part II-Development Team'!F141</f>
        <v>0</v>
      </c>
      <c r="G343" s="1573">
        <f>'Part II-Development Team'!G141</f>
        <v>0</v>
      </c>
      <c r="H343" s="1573">
        <f>'Part II-Development Team'!H141</f>
        <v>0</v>
      </c>
      <c r="I343" s="1812" t="str">
        <f>'Part II-Development Team'!I141</f>
        <v>Select</v>
      </c>
      <c r="J343" s="1812" t="str">
        <f>'Part II-Development Team'!J141</f>
        <v>Select</v>
      </c>
      <c r="K343" s="1813">
        <f>'Part II-Development Team'!K141</f>
        <v>0</v>
      </c>
      <c r="L343" s="1814">
        <f>'Part II-Development Team'!L141</f>
        <v>0</v>
      </c>
      <c r="M343" s="1812" t="str">
        <f>'Part II-Development Team'!M141</f>
        <v>Select</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3444</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3445</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2893</v>
      </c>
      <c r="B346" s="1391"/>
      <c r="C346" s="1391"/>
      <c r="D346" s="1391"/>
      <c r="E346" s="1573">
        <f>'Part II-Development Team'!E144</f>
        <v>0</v>
      </c>
      <c r="F346" s="1573">
        <f>'Part II-Development Team'!F144</f>
        <v>0</v>
      </c>
      <c r="G346" s="1573">
        <f>'Part II-Development Team'!G144</f>
        <v>0</v>
      </c>
      <c r="H346" s="1573">
        <f>'Part II-Development Team'!H144</f>
        <v>0</v>
      </c>
      <c r="I346" s="1812" t="str">
        <f>'Part II-Development Team'!I144</f>
        <v>Select</v>
      </c>
      <c r="J346" s="1812" t="str">
        <f>'Part II-Development Team'!J144</f>
        <v>Select</v>
      </c>
      <c r="K346" s="1813">
        <f>'Part II-Development Team'!K144</f>
        <v>0</v>
      </c>
      <c r="L346" s="1814">
        <f>'Part II-Development Team'!L144</f>
        <v>0</v>
      </c>
      <c r="M346" s="1812" t="str">
        <f>'Part II-Development Team'!M144</f>
        <v>Select</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12.2">
      <c r="A347" s="1391" t="s">
        <v>652</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For Profit</v>
      </c>
      <c r="L347" s="1814">
        <f>'Part II-Development Team'!L145</f>
        <v>0</v>
      </c>
      <c r="M347" s="1812" t="str">
        <f>'Part II-Development Team'!M145</f>
        <v>Yes</v>
      </c>
      <c r="N347" s="1573" t="str">
        <f>'Part II-Development Team'!N145</f>
        <v>Jeff Beaver and Ralph Fullerton: Owners of Olympia Management, Inc. and Olympia Construction, Inc.; Members of Olympia GP Holdings, LLC</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2894</v>
      </c>
      <c r="B348" s="1391"/>
      <c r="C348" s="1391"/>
      <c r="D348" s="1391"/>
      <c r="E348" s="1573">
        <f>'Part II-Development Team'!E146</f>
        <v>0</v>
      </c>
      <c r="F348" s="1573">
        <f>'Part II-Development Team'!F146</f>
        <v>0</v>
      </c>
      <c r="G348" s="1573">
        <f>'Part II-Development Team'!G146</f>
        <v>0</v>
      </c>
      <c r="H348" s="1573">
        <f>'Part II-Development Team'!H146</f>
        <v>0</v>
      </c>
      <c r="I348" s="1812" t="str">
        <f>'Part II-Development Team'!I146</f>
        <v>Select</v>
      </c>
      <c r="J348" s="1812" t="str">
        <f>'Part II-Development Team'!J146</f>
        <v>Select</v>
      </c>
      <c r="K348" s="1813">
        <f>'Part II-Development Team'!K146</f>
        <v>0</v>
      </c>
      <c r="L348" s="1814">
        <f>'Part II-Development Team'!L146</f>
        <v>0</v>
      </c>
      <c r="M348" s="1812" t="str">
        <f>'Part II-Development Team'!M146</f>
        <v>Select</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2895</v>
      </c>
      <c r="B349" s="1391"/>
      <c r="C349" s="1391"/>
      <c r="D349" s="1391"/>
      <c r="E349" s="1573">
        <f>'Part II-Development Team'!E147</f>
        <v>0</v>
      </c>
      <c r="F349" s="1573">
        <f>'Part II-Development Team'!F147</f>
        <v>0</v>
      </c>
      <c r="G349" s="1573">
        <f>'Part II-Development Team'!G147</f>
        <v>0</v>
      </c>
      <c r="H349" s="1573">
        <f>'Part II-Development Team'!H147</f>
        <v>0</v>
      </c>
      <c r="I349" s="1812" t="str">
        <f>'Part II-Development Team'!I147</f>
        <v>Select</v>
      </c>
      <c r="J349" s="1812" t="str">
        <f>'Part II-Development Team'!J147</f>
        <v>Select</v>
      </c>
      <c r="K349" s="1813">
        <f>'Part II-Development Team'!K147</f>
        <v>0</v>
      </c>
      <c r="L349" s="1814">
        <f>'Part II-Development Team'!L147</f>
        <v>0</v>
      </c>
      <c r="M349" s="1812" t="str">
        <f>'Part II-Development Team'!M147</f>
        <v>Select</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2897</v>
      </c>
      <c r="B350" s="1391"/>
      <c r="C350" s="1391"/>
      <c r="D350" s="1391"/>
      <c r="E350" s="1573">
        <f>'Part II-Development Team'!E148</f>
        <v>0</v>
      </c>
      <c r="F350" s="1573">
        <f>'Part II-Development Team'!F148</f>
        <v>0</v>
      </c>
      <c r="G350" s="1573">
        <f>'Part II-Development Team'!G148</f>
        <v>0</v>
      </c>
      <c r="H350" s="1573">
        <f>'Part II-Development Team'!H148</f>
        <v>0</v>
      </c>
      <c r="I350" s="1812" t="str">
        <f>'Part II-Development Team'!I148</f>
        <v>Select</v>
      </c>
      <c r="J350" s="1812" t="str">
        <f>'Part II-Development Team'!J148</f>
        <v>Select</v>
      </c>
      <c r="K350" s="1813">
        <f>'Part II-Development Team'!K148</f>
        <v>0</v>
      </c>
      <c r="L350" s="1814">
        <f>'Part II-Development Team'!L148</f>
        <v>0</v>
      </c>
      <c r="M350" s="1812" t="str">
        <f>'Part II-Development Team'!M148</f>
        <v>Select</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2896</v>
      </c>
      <c r="B351" s="1391"/>
      <c r="C351" s="1391"/>
      <c r="D351" s="1391"/>
      <c r="E351" s="1573">
        <f>'Part II-Development Team'!E149</f>
        <v>0</v>
      </c>
      <c r="F351" s="1573">
        <f>'Part II-Development Team'!F149</f>
        <v>0</v>
      </c>
      <c r="G351" s="1573">
        <f>'Part II-Development Team'!G149</f>
        <v>0</v>
      </c>
      <c r="H351" s="1573">
        <f>'Part II-Development Team'!H149</f>
        <v>0</v>
      </c>
      <c r="I351" s="1812" t="str">
        <f>'Part II-Development Team'!I149</f>
        <v>Select</v>
      </c>
      <c r="J351" s="1812" t="str">
        <f>'Part II-Development Team'!J149</f>
        <v>Select</v>
      </c>
      <c r="K351" s="1813">
        <f>'Part II-Development Team'!K149</f>
        <v>0</v>
      </c>
      <c r="L351" s="1814">
        <f>'Part II-Development Team'!L149</f>
        <v>0</v>
      </c>
      <c r="M351" s="1812" t="str">
        <f>'Part II-Development Team'!M149</f>
        <v>Select</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12.2">
      <c r="A352" s="1391" t="s">
        <v>1528</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t="str">
        <f>'Part II-Development Team'!K150</f>
        <v>For Profit</v>
      </c>
      <c r="L352" s="1814">
        <f>'Part II-Development Team'!L150</f>
        <v>0</v>
      </c>
      <c r="M352" s="1812" t="str">
        <f>'Part II-Development Team'!M150</f>
        <v>Yes</v>
      </c>
      <c r="N352" s="1573" t="str">
        <f>'Part II-Development Team'!N150</f>
        <v>Jeff Beaver and Ralph Fullerton: Owners of Olympia Management, Inc. and Olympia Construction, Inc.; Members of Olympia GP Holdings, LLC</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2898</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Yes</v>
      </c>
      <c r="N353" s="1573" t="str">
        <f>'Part II-Development Team'!N151</f>
        <v>Jeff Beaver and Ralph Fullerton: Owners of Olympia Management, Inc. and Olympia Construction, Inc.; Members of Olympia GP Holdings, LLC</v>
      </c>
      <c r="O353" s="1573">
        <f>'Part II-Development Team'!O151</f>
        <v>0</v>
      </c>
      <c r="P353" s="1573">
        <f>'Part II-Development Team'!P151</f>
        <v>0</v>
      </c>
      <c r="Q353" s="1573">
        <f>'Part II-Development Team'!Q151</f>
        <v>0</v>
      </c>
      <c r="R353" s="1573">
        <f>'Part II-Development Team'!R151</f>
        <v>0</v>
      </c>
      <c r="S353" s="1573">
        <f>'Part II-Development Team'!S151</f>
        <v>0</v>
      </c>
    </row>
    <row r="354" spans="1:19" ht="13.8">
      <c r="A354" s="1330"/>
      <c r="B354" s="1330"/>
      <c r="C354" s="1330"/>
      <c r="D354" s="1330"/>
      <c r="E354" s="1330"/>
      <c r="F354" s="1330"/>
      <c r="G354" s="1311"/>
      <c r="H354" s="1311"/>
      <c r="I354" s="1311"/>
      <c r="J354" s="1334"/>
      <c r="K354" s="1368" t="s">
        <v>538</v>
      </c>
      <c r="L354" s="1392">
        <f>SUM(L341:S353)</f>
        <v>1</v>
      </c>
      <c r="M354" s="1334"/>
      <c r="N354" s="1330"/>
      <c r="O354" s="1330"/>
      <c r="P354" s="1336"/>
      <c r="Q354" s="1330"/>
      <c r="R354" s="1330"/>
      <c r="S354" s="1330"/>
    </row>
    <row r="355" spans="1:19" ht="13.8">
      <c r="A355" s="1362" t="s">
        <v>529</v>
      </c>
      <c r="B355" s="1366"/>
      <c r="C355" s="1362" t="s">
        <v>571</v>
      </c>
      <c r="D355" s="1336"/>
      <c r="E355" s="1336"/>
      <c r="F355" s="1336"/>
      <c r="G355" s="1336"/>
      <c r="H355" s="1336"/>
      <c r="I355" s="1336"/>
      <c r="J355" s="1336"/>
      <c r="K355" s="1336"/>
      <c r="L355" s="1336"/>
      <c r="M355" s="1336"/>
      <c r="N355" s="1362" t="s">
        <v>529</v>
      </c>
      <c r="O355" s="1362" t="s">
        <v>79</v>
      </c>
      <c r="P355" s="1336"/>
      <c r="Q355" s="1336"/>
      <c r="R355" s="1336"/>
      <c r="S355" s="1336"/>
    </row>
    <row r="356" spans="1:19" ht="12.75" customHeight="1">
      <c r="A356" s="1391">
        <f>'Part II-Development Team'!A154</f>
        <v>0</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ht="13.8">
      <c r="A364" s="1311" t="str">
        <f>CONCATENATE("PART THREE - SOURCES OF FUNDS","  -  ",'Part I-Project Information'!$O$6," ",'Part I-Project Information'!$F$34,", ",'Part I-Project Information'!$F$38,", ",'Part I-Project Information'!$J$39," County")</f>
        <v>PART THREE - SOURCES OF FUNDS  -  2019-049 Woodstone Apartments II, Leesburg, Lee County</v>
      </c>
      <c r="B364" s="1311"/>
      <c r="C364" s="1311"/>
      <c r="D364" s="1311"/>
      <c r="E364" s="1311"/>
      <c r="F364" s="1311"/>
      <c r="G364" s="1311"/>
      <c r="H364" s="1311"/>
      <c r="I364" s="1311"/>
      <c r="J364" s="1311"/>
      <c r="K364" s="1311"/>
      <c r="L364" s="1311"/>
      <c r="M364" s="1311"/>
      <c r="N364" s="1311"/>
      <c r="O364" s="1311"/>
      <c r="P364" s="1311"/>
      <c r="Q364" s="1311"/>
    </row>
    <row r="365" spans="1:19" ht="13.8">
      <c r="A365" s="1336"/>
      <c r="B365" s="1336"/>
      <c r="C365" s="1336"/>
      <c r="D365" s="1336"/>
      <c r="E365" s="1336"/>
      <c r="F365" s="1336"/>
      <c r="G365" s="1314"/>
      <c r="H365" s="1314"/>
      <c r="I365" s="1314"/>
      <c r="J365" s="1314"/>
      <c r="K365" s="1314"/>
      <c r="L365" s="1314"/>
      <c r="M365" s="1336"/>
      <c r="N365" s="1336"/>
      <c r="O365" s="1336"/>
      <c r="P365" s="1336"/>
      <c r="Q365" s="1336"/>
    </row>
    <row r="366" spans="1:19" ht="13.8">
      <c r="A366" s="1311" t="s">
        <v>615</v>
      </c>
      <c r="B366" s="1362" t="s">
        <v>2490</v>
      </c>
      <c r="C366" s="1330"/>
      <c r="D366" s="1330"/>
      <c r="E366" s="1330"/>
      <c r="F366" s="1330"/>
      <c r="G366" s="1330"/>
      <c r="H366" s="1393"/>
      <c r="I366" s="1393"/>
      <c r="J366" s="1330"/>
      <c r="K366" s="1393"/>
      <c r="L366" s="1393"/>
      <c r="M366" s="1393"/>
      <c r="N366" s="1393"/>
      <c r="O366" s="1393"/>
      <c r="P366" s="1393"/>
      <c r="Q366" s="1393"/>
    </row>
    <row r="367" spans="1:19" ht="13.8">
      <c r="A367" s="1362"/>
      <c r="B367" s="1328"/>
      <c r="C367" s="1362"/>
      <c r="D367" s="1330"/>
      <c r="E367" s="1330"/>
      <c r="F367" s="1330"/>
      <c r="G367" s="1330"/>
      <c r="H367" s="1393"/>
      <c r="I367" s="1393"/>
      <c r="J367" s="1393"/>
      <c r="K367" s="1393"/>
      <c r="L367" s="1393"/>
      <c r="M367" s="1393"/>
      <c r="N367" s="1393"/>
      <c r="O367" s="1393"/>
      <c r="P367" s="1393"/>
      <c r="Q367" s="1393"/>
    </row>
    <row r="368" spans="1:19" ht="13.8">
      <c r="A368" s="1328"/>
      <c r="B368" s="1334" t="str">
        <f>'Part III-Sources of Funds'!B5</f>
        <v>Yes</v>
      </c>
      <c r="C368" s="1337" t="s">
        <v>2409</v>
      </c>
      <c r="D368" s="1330"/>
      <c r="E368" s="1393"/>
      <c r="F368" s="1393"/>
      <c r="G368" s="1393"/>
      <c r="H368" s="1334">
        <f>'Part III-Sources of Funds'!L11</f>
        <v>0</v>
      </c>
      <c r="I368" s="1337" t="s">
        <v>1536</v>
      </c>
      <c r="J368" s="1393"/>
      <c r="K368" s="1393"/>
      <c r="L368" s="1334">
        <f>'Part III-Sources of Funds'!B11</f>
        <v>0</v>
      </c>
      <c r="M368" s="1330" t="s">
        <v>3885</v>
      </c>
      <c r="N368" s="1393"/>
      <c r="O368" s="1393"/>
      <c r="P368" s="1393"/>
      <c r="Q368" s="1393"/>
    </row>
    <row r="369" spans="1:17" ht="13.8">
      <c r="A369" s="1328"/>
      <c r="B369" s="1334">
        <f>'Part III-Sources of Funds'!B6</f>
        <v>0</v>
      </c>
      <c r="C369" s="1337" t="s">
        <v>549</v>
      </c>
      <c r="D369" s="1330"/>
      <c r="E369" s="1393"/>
      <c r="F369" s="1393"/>
      <c r="G369" s="1393"/>
      <c r="H369" s="1334">
        <f>'Part III-Sources of Funds'!L12</f>
        <v>0</v>
      </c>
      <c r="I369" s="1337" t="s">
        <v>548</v>
      </c>
      <c r="J369" s="1393"/>
      <c r="K369" s="1393"/>
      <c r="L369" s="1334">
        <f>'Part III-Sources of Funds'!E8</f>
        <v>0</v>
      </c>
      <c r="M369" s="1337" t="s">
        <v>2600</v>
      </c>
      <c r="N369" s="1393"/>
      <c r="O369" s="1393"/>
      <c r="P369" s="1393"/>
      <c r="Q369" s="1393"/>
    </row>
    <row r="370" spans="1:17" ht="13.8">
      <c r="A370" s="1330"/>
      <c r="B370" s="1334">
        <f>'Part III-Sources of Funds'!E14</f>
        <v>0</v>
      </c>
      <c r="C370" s="1337" t="s">
        <v>3882</v>
      </c>
      <c r="D370" s="1393"/>
      <c r="E370" s="1393"/>
      <c r="F370" s="1449">
        <f>'Part III-Sources of Funds'!I14</f>
        <v>0</v>
      </c>
      <c r="G370" s="1449">
        <f>'Part III-Sources of Funds'!J14</f>
        <v>0</v>
      </c>
      <c r="H370" s="1334">
        <f>'Part III-Sources of Funds'!L13</f>
        <v>0</v>
      </c>
      <c r="I370" s="1337" t="s">
        <v>3678</v>
      </c>
      <c r="J370" s="1393"/>
      <c r="K370" s="1393"/>
      <c r="L370" s="1334">
        <f>'Part III-Sources of Funds'!B8</f>
        <v>0</v>
      </c>
      <c r="M370" s="1337" t="s">
        <v>2601</v>
      </c>
      <c r="N370" s="1393"/>
      <c r="O370" s="1393"/>
      <c r="P370" s="1393"/>
      <c r="Q370" s="1393"/>
    </row>
    <row r="371" spans="1:17" ht="13.8">
      <c r="A371" s="1328"/>
      <c r="B371" s="1334">
        <f>'Part III-Sources of Funds'!B14</f>
        <v>0</v>
      </c>
      <c r="C371" s="1337" t="s">
        <v>1802</v>
      </c>
      <c r="D371" s="1330"/>
      <c r="E371" s="1393"/>
      <c r="F371" s="1393"/>
      <c r="G371" s="1393"/>
      <c r="H371" s="1334">
        <f>'Part III-Sources of Funds'!L14</f>
        <v>0</v>
      </c>
      <c r="I371" s="1330" t="s">
        <v>2609</v>
      </c>
      <c r="J371" s="1393"/>
      <c r="K371" s="1393"/>
      <c r="L371" s="1334">
        <f>'Part III-Sources of Funds'!B9</f>
        <v>0</v>
      </c>
      <c r="M371" s="1337" t="s">
        <v>3683</v>
      </c>
      <c r="N371" s="1393"/>
      <c r="O371" s="1393"/>
      <c r="P371" s="1393"/>
      <c r="Q371" s="1393"/>
    </row>
    <row r="372" spans="1:17" ht="13.8">
      <c r="A372" s="1328"/>
      <c r="B372" s="1334">
        <f>'Part III-Sources of Funds'!B7</f>
        <v>0</v>
      </c>
      <c r="C372" s="1337" t="s">
        <v>550</v>
      </c>
      <c r="D372" s="1393"/>
      <c r="E372" s="1393"/>
      <c r="F372" s="1393"/>
      <c r="G372" s="1393"/>
      <c r="H372" s="1334">
        <f>'Part III-Sources of Funds'!B12</f>
        <v>0</v>
      </c>
      <c r="I372" s="1330" t="s">
        <v>2607</v>
      </c>
      <c r="J372" s="1393"/>
      <c r="K372" s="1393"/>
      <c r="L372" s="1334">
        <f>'Part III-Sources of Funds'!B10</f>
        <v>0</v>
      </c>
      <c r="M372" s="1337" t="s">
        <v>2608</v>
      </c>
      <c r="N372" s="1393"/>
      <c r="O372" s="1393"/>
      <c r="P372" s="1393"/>
      <c r="Q372" s="1393"/>
    </row>
    <row r="373" spans="1:17" ht="13.8">
      <c r="A373" s="1328"/>
      <c r="B373" s="1334">
        <f>'Part III-Sources of Funds'!L5</f>
        <v>0</v>
      </c>
      <c r="C373" s="1337" t="s">
        <v>3883</v>
      </c>
      <c r="D373" s="1393"/>
      <c r="E373" s="1393"/>
      <c r="F373" s="1393"/>
      <c r="G373" s="1394"/>
      <c r="H373" s="1334">
        <f>'Part III-Sources of Funds'!B13</f>
        <v>0</v>
      </c>
      <c r="I373" s="1330" t="s">
        <v>3717</v>
      </c>
      <c r="J373" s="1365"/>
      <c r="K373" s="1365"/>
      <c r="L373" s="1334">
        <f>'Part III-Sources of Funds'!E9</f>
        <v>0</v>
      </c>
      <c r="M373" s="1337" t="s">
        <v>3719</v>
      </c>
      <c r="N373" s="1393"/>
      <c r="O373" s="1393" t="str">
        <f>'Part III-Sources of Funds'!H9</f>
        <v>Specify Other PBRA Source here</v>
      </c>
      <c r="P373" s="1393">
        <f>'Part III-Sources of Funds'!I9</f>
        <v>0</v>
      </c>
      <c r="Q373" s="1393">
        <f>'Part III-Sources of Funds'!J9</f>
        <v>0</v>
      </c>
    </row>
    <row r="374" spans="1:17" ht="13.8">
      <c r="A374" s="1328"/>
      <c r="B374" s="1334">
        <f>'Part III-Sources of Funds'!E5</f>
        <v>0</v>
      </c>
      <c r="C374" s="1337" t="s">
        <v>4499</v>
      </c>
      <c r="D374" s="1330"/>
      <c r="E374" s="1815">
        <f>'Part III-Sources of Funds'!H5</f>
        <v>0</v>
      </c>
      <c r="F374" s="1794">
        <f>'Part III-Sources of Funds'!I5</f>
        <v>0</v>
      </c>
      <c r="G374" s="1393"/>
      <c r="H374" s="1334">
        <f>'Part III-Sources of Funds'!L6</f>
        <v>0</v>
      </c>
      <c r="I374" s="1330" t="s">
        <v>3722</v>
      </c>
      <c r="J374" s="1393"/>
      <c r="K374" s="1393"/>
      <c r="L374" s="1334">
        <f>'Part III-Sources of Funds'!L9</f>
        <v>0</v>
      </c>
      <c r="M374" s="1330" t="s">
        <v>3617</v>
      </c>
      <c r="N374" s="1393"/>
      <c r="O374" s="1393"/>
      <c r="P374" s="1393"/>
      <c r="Q374" s="1393"/>
    </row>
    <row r="375" spans="1:17" ht="13.8">
      <c r="A375" s="1328"/>
      <c r="B375" s="1334">
        <f>'Part III-Sources of Funds'!E6</f>
        <v>0</v>
      </c>
      <c r="C375" s="1337" t="s">
        <v>4500</v>
      </c>
      <c r="D375" s="1393"/>
      <c r="E375" s="1815">
        <f>'Part III-Sources of Funds'!H6</f>
        <v>0</v>
      </c>
      <c r="F375" s="1794">
        <f>'Part III-Sources of Funds'!I6</f>
        <v>0</v>
      </c>
      <c r="G375" s="1393"/>
      <c r="H375" s="1334">
        <f>'Part III-Sources of Funds'!L7</f>
        <v>0</v>
      </c>
      <c r="I375" s="1375" t="s">
        <v>2794</v>
      </c>
      <c r="J375" s="1375"/>
      <c r="K375" s="1375"/>
      <c r="L375" s="1334">
        <f>'Part III-Sources of Funds'!E12</f>
        <v>0</v>
      </c>
      <c r="M375" s="1393" t="str">
        <f>'Part III-Sources of Funds'!F12</f>
        <v>Other Type of STATE/LOCAL Funding - describe type/program here</v>
      </c>
      <c r="N375" s="1393">
        <f>'Part III-Sources of Funds'!G12</f>
        <v>0</v>
      </c>
      <c r="O375" s="1393">
        <f>'Part III-Sources of Funds'!H12</f>
        <v>0</v>
      </c>
      <c r="P375" s="1393">
        <f>'Part III-Sources of Funds'!I12</f>
        <v>0</v>
      </c>
      <c r="Q375" s="1393">
        <f>'Part III-Sources of Funds'!J12</f>
        <v>0</v>
      </c>
    </row>
    <row r="376" spans="1:17" ht="13.8">
      <c r="A376" s="1328"/>
      <c r="B376" s="1393"/>
      <c r="C376" s="1393" t="s">
        <v>3718</v>
      </c>
      <c r="D376" s="1393"/>
      <c r="E376" s="1393" t="str">
        <f>'Part III-Sources of Funds'!H7</f>
        <v>Specify Other HOME Source here</v>
      </c>
      <c r="F376" s="1393">
        <f>'Part III-Sources of Funds'!I7</f>
        <v>0</v>
      </c>
      <c r="G376" s="1393">
        <f>'Part III-Sources of Funds'!J7</f>
        <v>0</v>
      </c>
      <c r="H376" s="1334">
        <f>'Part III-Sources of Funds'!L8</f>
        <v>0</v>
      </c>
      <c r="I376" s="1337" t="s">
        <v>3884</v>
      </c>
      <c r="J376" s="1375"/>
      <c r="K376" s="1375"/>
      <c r="L376" s="1393"/>
      <c r="M376" s="1393" t="str">
        <f>'Part III-Sources of Funds'!F13</f>
        <v>Specify Source/Administrator of Other STATE/LOCAL Funding here</v>
      </c>
      <c r="N376" s="1393">
        <f>'Part III-Sources of Funds'!G13</f>
        <v>0</v>
      </c>
      <c r="O376" s="1393">
        <f>'Part III-Sources of Funds'!H13</f>
        <v>0</v>
      </c>
      <c r="P376" s="1393">
        <f>'Part III-Sources of Funds'!I13</f>
        <v>0</v>
      </c>
      <c r="Q376" s="1393">
        <f>'Part III-Sources of Funds'!J13</f>
        <v>0</v>
      </c>
    </row>
    <row r="377" spans="1:17" ht="13.8">
      <c r="A377" s="1328"/>
      <c r="B377" s="1393" t="s">
        <v>3684</v>
      </c>
      <c r="C377" s="1330"/>
      <c r="D377" s="1330"/>
      <c r="E377" s="1330"/>
      <c r="F377" s="1330"/>
      <c r="G377" s="1330"/>
      <c r="H377" s="1330"/>
      <c r="I377" s="1330"/>
      <c r="J377" s="1330"/>
      <c r="K377" s="1330"/>
      <c r="L377" s="1330"/>
      <c r="M377" s="1348"/>
      <c r="N377" s="1330"/>
      <c r="O377" s="1330"/>
      <c r="P377" s="1330"/>
      <c r="Q377" s="1330"/>
    </row>
    <row r="378" spans="1:17" ht="13.8">
      <c r="A378" s="1328"/>
      <c r="B378" s="1393"/>
      <c r="C378" s="1393"/>
      <c r="D378" s="1393"/>
      <c r="E378" s="1393"/>
      <c r="F378" s="1393"/>
      <c r="G378" s="1393"/>
      <c r="H378" s="1393"/>
      <c r="I378" s="1393"/>
      <c r="J378" s="1393"/>
      <c r="K378" s="1393"/>
      <c r="L378" s="1330"/>
      <c r="M378" s="1348"/>
      <c r="N378" s="1330"/>
      <c r="O378" s="1330"/>
      <c r="P378" s="1330"/>
      <c r="Q378" s="1330"/>
    </row>
    <row r="379" spans="1:17" ht="13.8">
      <c r="A379" s="1311" t="s">
        <v>739</v>
      </c>
      <c r="B379" s="1331" t="s">
        <v>2344</v>
      </c>
      <c r="C379" s="1330"/>
      <c r="D379" s="1330"/>
      <c r="E379" s="1330"/>
      <c r="F379" s="1330"/>
      <c r="G379" s="1330"/>
      <c r="H379" s="1393"/>
      <c r="I379" s="1381"/>
      <c r="J379" s="1381"/>
      <c r="K379" s="1381"/>
      <c r="L379" s="1330"/>
      <c r="M379" s="1330"/>
      <c r="N379" s="1330"/>
      <c r="O379" s="1330"/>
      <c r="P379" s="1330"/>
      <c r="Q379" s="1330"/>
    </row>
    <row r="380" spans="1:17" ht="13.8">
      <c r="A380" s="1311"/>
      <c r="B380" s="1331"/>
      <c r="C380" s="1330"/>
      <c r="D380" s="1381"/>
      <c r="E380" s="1381"/>
      <c r="F380" s="1381"/>
      <c r="G380" s="1381"/>
      <c r="H380" s="1381"/>
      <c r="I380" s="1381"/>
      <c r="J380" s="1381"/>
      <c r="K380" s="1330"/>
      <c r="L380" s="1330"/>
      <c r="M380" s="1330"/>
      <c r="N380" s="1334"/>
      <c r="O380" s="1334"/>
      <c r="P380" s="1330"/>
      <c r="Q380" s="1330"/>
    </row>
    <row r="381" spans="1:17" ht="13.8">
      <c r="A381" s="1330"/>
      <c r="B381" s="1337" t="s">
        <v>1870</v>
      </c>
      <c r="C381" s="1330"/>
      <c r="D381" s="1330"/>
      <c r="E381" s="1330"/>
      <c r="F381" s="1330"/>
      <c r="G381" s="1330"/>
      <c r="H381" s="1330" t="s">
        <v>1296</v>
      </c>
      <c r="I381" s="1330"/>
      <c r="J381" s="1330"/>
      <c r="K381" s="1330"/>
      <c r="L381" s="1330" t="s">
        <v>1989</v>
      </c>
      <c r="M381" s="1330"/>
      <c r="N381" s="1330" t="s">
        <v>1506</v>
      </c>
      <c r="O381" s="1330"/>
      <c r="P381" s="1330" t="s">
        <v>1629</v>
      </c>
      <c r="Q381" s="1330"/>
    </row>
    <row r="382" spans="1:17" ht="13.8">
      <c r="A382" s="1330"/>
      <c r="B382" s="1330" t="s">
        <v>1590</v>
      </c>
      <c r="C382" s="1330"/>
      <c r="D382" s="1330"/>
      <c r="E382" s="1330"/>
      <c r="F382" s="1330"/>
      <c r="G382" s="1330"/>
      <c r="H382" s="1386" t="str">
        <f>'Part III-Sources of Funds'!H20</f>
        <v>Regions Bank</v>
      </c>
      <c r="I382" s="1386">
        <f>'Part III-Sources of Funds'!I20</f>
        <v>0</v>
      </c>
      <c r="J382" s="1386">
        <f>'Part III-Sources of Funds'!J20</f>
        <v>0</v>
      </c>
      <c r="K382" s="1386">
        <f>'Part III-Sources of Funds'!K20</f>
        <v>0</v>
      </c>
      <c r="L382" s="1412">
        <f>'Part III-Sources of Funds'!L20</f>
        <v>4100000</v>
      </c>
      <c r="M382" s="1412">
        <f>'Part III-Sources of Funds'!M20</f>
        <v>0</v>
      </c>
      <c r="N382" s="1395">
        <f>'Part III-Sources of Funds'!N20</f>
        <v>5.5E-2</v>
      </c>
      <c r="O382" s="1395">
        <f>'Part III-Sources of Funds'!O20</f>
        <v>0</v>
      </c>
      <c r="P382" s="1467">
        <f>'Part III-Sources of Funds'!P20</f>
        <v>18</v>
      </c>
      <c r="Q382" s="1467">
        <f>'Part III-Sources of Funds'!Q20</f>
        <v>0</v>
      </c>
    </row>
    <row r="383" spans="1:17" ht="13.8">
      <c r="A383" s="1330"/>
      <c r="B383" s="1330" t="s">
        <v>1591</v>
      </c>
      <c r="C383" s="1330"/>
      <c r="D383" s="1330"/>
      <c r="E383" s="1330"/>
      <c r="F383" s="1330"/>
      <c r="G383" s="1330"/>
      <c r="H383" s="1386">
        <f>'Part III-Sources of Funds'!H21</f>
        <v>0</v>
      </c>
      <c r="I383" s="1386">
        <f>'Part III-Sources of Funds'!I21</f>
        <v>0</v>
      </c>
      <c r="J383" s="1386">
        <f>'Part III-Sources of Funds'!J21</f>
        <v>0</v>
      </c>
      <c r="K383" s="1386">
        <f>'Part III-Sources of Funds'!K21</f>
        <v>0</v>
      </c>
      <c r="L383" s="1412">
        <f>'Part III-Sources of Funds'!L21</f>
        <v>0</v>
      </c>
      <c r="M383" s="1412">
        <f>'Part III-Sources of Funds'!M21</f>
        <v>0</v>
      </c>
      <c r="N383" s="1395">
        <f>'Part III-Sources of Funds'!N21</f>
        <v>0</v>
      </c>
      <c r="O383" s="1395">
        <f>'Part III-Sources of Funds'!O21</f>
        <v>0</v>
      </c>
      <c r="P383" s="1467">
        <f>'Part III-Sources of Funds'!P21</f>
        <v>0</v>
      </c>
      <c r="Q383" s="1467">
        <f>'Part III-Sources of Funds'!Q21</f>
        <v>0</v>
      </c>
    </row>
    <row r="384" spans="1:17" ht="13.8">
      <c r="A384" s="1330"/>
      <c r="B384" s="1330" t="s">
        <v>1592</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ht="13.8">
      <c r="A385" s="1330"/>
      <c r="B385" s="1330" t="s">
        <v>2214</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8">
      <c r="A386" s="1330"/>
      <c r="B386" s="1330" t="s">
        <v>800</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8">
      <c r="A387" s="1330"/>
      <c r="B387" s="1330" t="s">
        <v>640</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13.8">
      <c r="A388" s="1330"/>
      <c r="B388" s="1330" t="s">
        <v>801</v>
      </c>
      <c r="C388" s="1330"/>
      <c r="D388" s="1330"/>
      <c r="E388" s="1330"/>
      <c r="F388" s="1393"/>
      <c r="G388" s="1393"/>
      <c r="H388" s="1386" t="str">
        <f>'Part III-Sources of Funds'!H26</f>
        <v>Regions Bank</v>
      </c>
      <c r="I388" s="1386">
        <f>'Part III-Sources of Funds'!I26</f>
        <v>0</v>
      </c>
      <c r="J388" s="1386">
        <f>'Part III-Sources of Funds'!J26</f>
        <v>0</v>
      </c>
      <c r="K388" s="1386">
        <f>'Part III-Sources of Funds'!K26</f>
        <v>0</v>
      </c>
      <c r="L388" s="1412">
        <f>'Part III-Sources of Funds'!L26</f>
        <v>775000</v>
      </c>
      <c r="M388" s="1412">
        <f>'Part III-Sources of Funds'!M26</f>
        <v>0</v>
      </c>
      <c r="N388" s="1330"/>
      <c r="O388" s="1330"/>
      <c r="P388" s="1330"/>
      <c r="Q388" s="1330"/>
    </row>
    <row r="389" spans="1:17" ht="27.6">
      <c r="A389" s="1330"/>
      <c r="B389" s="1330" t="s">
        <v>802</v>
      </c>
      <c r="C389" s="1330"/>
      <c r="D389" s="1330"/>
      <c r="E389" s="1330"/>
      <c r="F389" s="1393"/>
      <c r="G389" s="1393"/>
      <c r="H389" s="1386" t="str">
        <f>'Part III-Sources of Funds'!H27</f>
        <v>Sugar Creek Capital</v>
      </c>
      <c r="I389" s="1386">
        <f>'Part III-Sources of Funds'!I27</f>
        <v>0</v>
      </c>
      <c r="J389" s="1386">
        <f>'Part III-Sources of Funds'!J27</f>
        <v>0</v>
      </c>
      <c r="K389" s="1386">
        <f>'Part III-Sources of Funds'!K27</f>
        <v>0</v>
      </c>
      <c r="L389" s="1412">
        <f>'Part III-Sources of Funds'!L27</f>
        <v>325000</v>
      </c>
      <c r="M389" s="1412">
        <f>'Part III-Sources of Funds'!M27</f>
        <v>0</v>
      </c>
      <c r="N389" s="1330"/>
      <c r="O389" s="1393"/>
      <c r="P389" s="1393"/>
      <c r="Q389" s="1330"/>
    </row>
    <row r="390" spans="1:17" ht="13.8">
      <c r="A390" s="1330"/>
      <c r="B390" s="1330" t="s">
        <v>242</v>
      </c>
      <c r="C390" s="1330"/>
      <c r="D390" s="1386">
        <f>'Part III-Sources of Funds'!D28</f>
        <v>0</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0</v>
      </c>
      <c r="M390" s="1412">
        <f>'Part III-Sources of Funds'!M28</f>
        <v>0</v>
      </c>
      <c r="N390" s="1330"/>
      <c r="O390" s="1393"/>
      <c r="P390" s="1393"/>
      <c r="Q390" s="1330"/>
    </row>
    <row r="391" spans="1:17" ht="13.8">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8">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8">
      <c r="A393" s="1330"/>
      <c r="B393" s="1331" t="s">
        <v>1297</v>
      </c>
      <c r="C393" s="1330"/>
      <c r="D393" s="1330"/>
      <c r="E393" s="1330"/>
      <c r="F393" s="1330"/>
      <c r="G393" s="1330"/>
      <c r="H393" s="1330"/>
      <c r="I393" s="1330"/>
      <c r="J393" s="1393"/>
      <c r="K393" s="1393"/>
      <c r="L393" s="1396">
        <f>SUM(L382:L392)</f>
        <v>5200000</v>
      </c>
      <c r="M393" s="1396"/>
      <c r="N393" s="1336"/>
      <c r="O393" s="1393"/>
      <c r="P393" s="1393"/>
      <c r="Q393" s="1393"/>
    </row>
    <row r="394" spans="1:17" ht="13.8">
      <c r="A394" s="1330"/>
      <c r="B394" s="1337" t="s">
        <v>1298</v>
      </c>
      <c r="C394" s="1330"/>
      <c r="D394" s="1330"/>
      <c r="E394" s="1330"/>
      <c r="F394" s="1330"/>
      <c r="G394" s="1330"/>
      <c r="H394" s="1330"/>
      <c r="I394" s="1330"/>
      <c r="J394" s="1393"/>
      <c r="K394" s="1393"/>
      <c r="L394" s="1396">
        <f>'Part III-Sources of Funds'!L32</f>
        <v>4408410</v>
      </c>
      <c r="M394" s="1396">
        <f>'Part III-Sources of Funds'!M32</f>
        <v>0</v>
      </c>
      <c r="N394" s="1341"/>
      <c r="O394" s="1393"/>
      <c r="P394" s="1393"/>
      <c r="Q394" s="1393"/>
    </row>
    <row r="395" spans="1:17" ht="13.8">
      <c r="A395" s="1330"/>
      <c r="B395" s="1337" t="s">
        <v>2156</v>
      </c>
      <c r="C395" s="1330"/>
      <c r="D395" s="1330"/>
      <c r="E395" s="1330"/>
      <c r="F395" s="1330"/>
      <c r="G395" s="1330"/>
      <c r="H395" s="1330"/>
      <c r="I395" s="1330"/>
      <c r="J395" s="1393"/>
      <c r="K395" s="1393"/>
      <c r="L395" s="1397">
        <f>L393-L394</f>
        <v>791590</v>
      </c>
      <c r="M395" s="1397"/>
      <c r="N395" s="1341"/>
      <c r="O395" s="1393"/>
      <c r="P395" s="1393"/>
      <c r="Q395" s="1393"/>
    </row>
    <row r="396" spans="1:17" ht="13.8">
      <c r="A396" s="1362"/>
      <c r="B396" s="1331"/>
      <c r="C396" s="1336"/>
      <c r="D396" s="1336"/>
      <c r="E396" s="1336"/>
      <c r="F396" s="1336"/>
      <c r="G396" s="1336"/>
      <c r="H396" s="1336"/>
      <c r="I396" s="1336"/>
      <c r="J396" s="1336"/>
      <c r="K396" s="1336"/>
      <c r="L396" s="1336"/>
      <c r="M396" s="1334"/>
      <c r="N396" s="1334"/>
      <c r="O396" s="1398"/>
      <c r="P396" s="1398"/>
      <c r="Q396" s="1398"/>
    </row>
    <row r="397" spans="1:17" ht="13.8">
      <c r="A397" s="1311" t="s">
        <v>741</v>
      </c>
      <c r="B397" s="1331" t="s">
        <v>799</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2098</v>
      </c>
      <c r="L398" s="1334" t="s">
        <v>1294</v>
      </c>
      <c r="M398" s="1334" t="s">
        <v>1299</v>
      </c>
      <c r="N398" s="1341" t="s">
        <v>34</v>
      </c>
      <c r="O398" s="1341"/>
      <c r="P398" s="1334"/>
      <c r="Q398" s="1311"/>
    </row>
    <row r="399" spans="1:17" ht="13.8">
      <c r="A399" s="1330"/>
      <c r="B399" s="1337" t="s">
        <v>1870</v>
      </c>
      <c r="C399" s="1330"/>
      <c r="D399" s="1330"/>
      <c r="E399" s="1330" t="s">
        <v>1296</v>
      </c>
      <c r="F399" s="1330"/>
      <c r="G399" s="1330"/>
      <c r="H399" s="1330"/>
      <c r="I399" s="1330" t="s">
        <v>487</v>
      </c>
      <c r="J399" s="1330"/>
      <c r="K399" s="1334" t="s">
        <v>1805</v>
      </c>
      <c r="L399" s="1334" t="s">
        <v>2213</v>
      </c>
      <c r="M399" s="1334" t="s">
        <v>2213</v>
      </c>
      <c r="N399" s="1341"/>
      <c r="O399" s="1341"/>
      <c r="P399" s="1330" t="s">
        <v>74</v>
      </c>
      <c r="Q399" s="1330"/>
    </row>
    <row r="400" spans="1:17" ht="13.8">
      <c r="A400" s="1330"/>
      <c r="B400" s="1330" t="s">
        <v>2613</v>
      </c>
      <c r="C400" s="1330"/>
      <c r="D400" s="1330"/>
      <c r="E400" s="1386">
        <f>'Part III-Sources of Funds'!E38</f>
        <v>0</v>
      </c>
      <c r="F400" s="1386">
        <f>'Part III-Sources of Funds'!F38</f>
        <v>0</v>
      </c>
      <c r="G400" s="1386">
        <f>'Part III-Sources of Funds'!G38</f>
        <v>0</v>
      </c>
      <c r="H400" s="1386">
        <f>'Part III-Sources of Funds'!H38</f>
        <v>0</v>
      </c>
      <c r="I400" s="1462">
        <f>'Part III-Sources of Funds'!I38</f>
        <v>0</v>
      </c>
      <c r="J400" s="1330">
        <f>'Part III-Sources of Funds'!J38</f>
        <v>0</v>
      </c>
      <c r="K400" s="1399">
        <f>'Part III-Sources of Funds'!K38</f>
        <v>0</v>
      </c>
      <c r="L400" s="1334">
        <f>'Part III-Sources of Funds'!L38</f>
        <v>0</v>
      </c>
      <c r="M400" s="1334">
        <f>'Part III-Sources of Funds'!M38</f>
        <v>0</v>
      </c>
      <c r="N400" s="1400" t="str">
        <f>'Part III-Sources of Funds'!P38</f>
        <v/>
      </c>
      <c r="O400" s="1400">
        <f>'Part III-Sources of Funds'!Q38</f>
        <v>0</v>
      </c>
      <c r="P400" s="1330">
        <f>'Part III-Sources of Funds'!N38</f>
        <v>0</v>
      </c>
      <c r="Q400" s="1330">
        <f>'Part III-Sources of Funds'!O38</f>
        <v>0</v>
      </c>
    </row>
    <row r="401" spans="1:17" ht="13.8">
      <c r="A401" s="1330"/>
      <c r="B401" s="1330" t="s">
        <v>2614</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ht="13.8">
      <c r="A402" s="1330"/>
      <c r="B402" s="1330" t="s">
        <v>2615</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ht="13.8">
      <c r="A403" s="1330"/>
      <c r="B403" s="1330" t="s">
        <v>740</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ht="13.8">
      <c r="A404" s="1330"/>
      <c r="B404" s="1330" t="s">
        <v>2747</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69">
      <c r="A405" s="1330"/>
      <c r="B405" s="1330" t="s">
        <v>228</v>
      </c>
      <c r="C405" s="1330"/>
      <c r="D405" s="1401">
        <f>'Part III-Sources of Funds'!D43</f>
        <v>1.7307901315074448E-3</v>
      </c>
      <c r="E405" s="1386" t="str">
        <f>'Part III-Sources of Funds'!E43</f>
        <v>Woodstone Apartments II, LP-Deferred Dev. Fee</v>
      </c>
      <c r="F405" s="1386">
        <f>'Part III-Sources of Funds'!F43</f>
        <v>0</v>
      </c>
      <c r="G405" s="1386">
        <f>'Part III-Sources of Funds'!G43</f>
        <v>0</v>
      </c>
      <c r="H405" s="1386">
        <f>'Part III-Sources of Funds'!H43</f>
        <v>0</v>
      </c>
      <c r="I405" s="1462">
        <f>'Part III-Sources of Funds'!I43</f>
        <v>637</v>
      </c>
      <c r="J405" s="1330">
        <f>'Part III-Sources of Funds'!J43</f>
        <v>0</v>
      </c>
      <c r="K405" s="1399">
        <f>'Part III-Sources of Funds'!K43</f>
        <v>0</v>
      </c>
      <c r="L405" s="1334">
        <f>'Part III-Sources of Funds'!L43</f>
        <v>0</v>
      </c>
      <c r="M405" s="1334">
        <f>'Part III-Sources of Funds'!M43</f>
        <v>0</v>
      </c>
      <c r="N405" s="1400">
        <f>'Part III-Sources of Funds'!P43</f>
        <v>0</v>
      </c>
      <c r="O405" s="1400">
        <f>'Part III-Sources of Funds'!Q43</f>
        <v>0</v>
      </c>
      <c r="P405" s="1330" t="str">
        <f>'Part III-Sources of Funds'!N43</f>
        <v>Cash Flow</v>
      </c>
      <c r="Q405" s="1330">
        <f>'Part III-Sources of Funds'!O43</f>
        <v>0</v>
      </c>
    </row>
    <row r="406" spans="1:17" ht="13.8">
      <c r="A406" s="1330"/>
      <c r="B406" s="1330"/>
      <c r="C406" s="1330"/>
      <c r="D406" s="1330"/>
      <c r="E406" s="1330"/>
      <c r="F406" s="1330"/>
      <c r="G406" s="1330"/>
      <c r="H406" s="1330"/>
      <c r="I406" s="1816"/>
      <c r="J406" s="1410"/>
      <c r="K406" s="1399"/>
      <c r="L406" s="1334"/>
      <c r="M406" s="1334"/>
      <c r="N406" s="1817"/>
      <c r="O406" s="1817"/>
      <c r="P406" s="1334"/>
      <c r="Q406" s="1334"/>
    </row>
    <row r="407" spans="1:17" ht="13.8">
      <c r="A407" s="1330"/>
      <c r="B407" s="1393" t="s">
        <v>4181</v>
      </c>
      <c r="C407" s="1330"/>
      <c r="D407" s="1393"/>
      <c r="E407" s="1393" t="s">
        <v>4083</v>
      </c>
      <c r="F407" s="1402" t="e">
        <f>'Part III-Sources of Funds'!F45</f>
        <v>#N/A</v>
      </c>
      <c r="G407" s="1393"/>
      <c r="H407" s="1394" t="s">
        <v>4180</v>
      </c>
      <c r="I407" s="1402" t="e">
        <f>'Part III-Sources of Funds'!I45</f>
        <v>#N/A</v>
      </c>
      <c r="J407" s="1393"/>
      <c r="K407" s="1399"/>
      <c r="L407" s="1334"/>
      <c r="M407" s="1334"/>
      <c r="N407" s="1817"/>
      <c r="O407" s="1817"/>
      <c r="P407" s="1334"/>
      <c r="Q407" s="1334"/>
    </row>
    <row r="408" spans="1:17" ht="13.8">
      <c r="A408" s="1330"/>
      <c r="B408" s="1393" t="s">
        <v>4501</v>
      </c>
      <c r="C408" s="1330"/>
      <c r="D408" s="1401"/>
      <c r="E408" s="1393"/>
      <c r="F408" s="1403" t="e">
        <f>'Part III-Sources of Funds'!#REF!</f>
        <v>#REF!</v>
      </c>
      <c r="G408" s="1403" t="e">
        <f>'Part III-Sources of Funds'!#REF!</f>
        <v>#REF!</v>
      </c>
      <c r="H408" s="1394" t="s">
        <v>4182</v>
      </c>
      <c r="I408" s="1403" t="e">
        <f>'Part III-Sources of Funds'!L45</f>
        <v>#N/A</v>
      </c>
      <c r="J408" s="1403">
        <f>'Part III-Sources of Funds'!M45</f>
        <v>0</v>
      </c>
      <c r="K408" s="1399"/>
      <c r="L408" s="1334"/>
      <c r="M408" s="1334"/>
      <c r="N408" s="1817"/>
      <c r="O408" s="1817"/>
      <c r="P408" s="1334"/>
      <c r="Q408" s="1334"/>
    </row>
    <row r="409" spans="1:17" ht="13.8">
      <c r="A409" s="1330"/>
      <c r="B409" s="1330"/>
      <c r="C409" s="1330"/>
      <c r="D409" s="1330"/>
      <c r="E409" s="1330"/>
      <c r="F409" s="1330"/>
      <c r="G409" s="1330"/>
      <c r="H409" s="1330"/>
      <c r="I409" s="1816"/>
      <c r="J409" s="1410"/>
      <c r="K409" s="1399"/>
      <c r="L409" s="1334"/>
      <c r="M409" s="1334"/>
      <c r="N409" s="1817"/>
      <c r="O409" s="1817"/>
      <c r="P409" s="1334"/>
      <c r="Q409" s="1334"/>
    </row>
    <row r="410" spans="1:17" ht="13.8">
      <c r="A410" s="1330"/>
      <c r="B410" s="1330" t="s">
        <v>2214</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8">
      <c r="A411" s="1330"/>
      <c r="B411" s="1330" t="s">
        <v>800</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516</v>
      </c>
      <c r="M411" s="1404"/>
      <c r="N411" s="1405" t="s">
        <v>517</v>
      </c>
      <c r="O411" s="1405"/>
      <c r="P411" s="1334" t="s">
        <v>515</v>
      </c>
      <c r="Q411" s="1330"/>
    </row>
    <row r="412" spans="1:17" ht="55.2">
      <c r="A412" s="1330"/>
      <c r="B412" s="1330" t="s">
        <v>801</v>
      </c>
      <c r="C412" s="1330"/>
      <c r="D412" s="1330"/>
      <c r="E412" s="1386" t="str">
        <f>'Part III-Sources of Funds'!E49</f>
        <v>Regions Bank &amp; Sugar Creek</v>
      </c>
      <c r="F412" s="1386">
        <f>'Part III-Sources of Funds'!F49</f>
        <v>0</v>
      </c>
      <c r="G412" s="1386">
        <f>'Part III-Sources of Funds'!G49</f>
        <v>0</v>
      </c>
      <c r="H412" s="1386">
        <f>'Part III-Sources of Funds'!H49</f>
        <v>0</v>
      </c>
      <c r="I412" s="1462">
        <f>'Part III-Sources of Funds'!I49</f>
        <v>3174322</v>
      </c>
      <c r="J412" s="1330">
        <f>'Part III-Sources of Funds'!J49</f>
        <v>0</v>
      </c>
      <c r="K412" s="1393"/>
      <c r="L412" s="1406">
        <f>'Part IV-A-Uses of Funds'!$J$175*10*'Part IV-A-Uses of Funds'!$N$168</f>
        <v>3174956.6</v>
      </c>
      <c r="M412" s="1406"/>
      <c r="N412" s="1407">
        <f>I412-L412</f>
        <v>-634.60000000009313</v>
      </c>
      <c r="O412" s="1407"/>
      <c r="P412" s="1408" t="s">
        <v>2559</v>
      </c>
      <c r="Q412" s="1330"/>
    </row>
    <row r="413" spans="1:17" ht="27.6">
      <c r="A413" s="1330"/>
      <c r="B413" s="1330" t="s">
        <v>802</v>
      </c>
      <c r="C413" s="1330"/>
      <c r="D413" s="1330"/>
      <c r="E413" s="1386" t="str">
        <f>'Part III-Sources of Funds'!E50</f>
        <v>Sugar Creek</v>
      </c>
      <c r="F413" s="1386">
        <f>'Part III-Sources of Funds'!F50</f>
        <v>0</v>
      </c>
      <c r="G413" s="1386">
        <f>'Part III-Sources of Funds'!G50</f>
        <v>0</v>
      </c>
      <c r="H413" s="1386">
        <f>'Part III-Sources of Funds'!H50</f>
        <v>0</v>
      </c>
      <c r="I413" s="1462">
        <f>'Part III-Sources of Funds'!I50</f>
        <v>1993577</v>
      </c>
      <c r="J413" s="1330">
        <f>'Part III-Sources of Funds'!J50</f>
        <v>0</v>
      </c>
      <c r="K413" s="1393"/>
      <c r="L413" s="1406">
        <f>'Part IV-A-Uses of Funds'!$J$175*10*'Part IV-A-Uses of Funds'!$Q$168</f>
        <v>1993577.4000000001</v>
      </c>
      <c r="M413" s="1406"/>
      <c r="N413" s="1407">
        <f>I413-L413</f>
        <v>-0.40000000013969839</v>
      </c>
      <c r="O413" s="1407"/>
      <c r="P413" s="1409">
        <f>I412/I422</f>
        <v>0.61416269520034295</v>
      </c>
      <c r="Q413" s="1330"/>
    </row>
    <row r="414" spans="1:17" ht="13.8">
      <c r="A414" s="1330"/>
      <c r="B414" s="1330" t="s">
        <v>1409</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0.38571405906817713</v>
      </c>
      <c r="Q414" s="1330"/>
    </row>
    <row r="415" spans="1:17" ht="13.8">
      <c r="A415" s="1330"/>
      <c r="B415" s="1330" t="s">
        <v>530</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0.99987675426852007</v>
      </c>
      <c r="Q415" s="1330"/>
    </row>
    <row r="416" spans="1:17" ht="13.8">
      <c r="A416" s="1330"/>
      <c r="B416" s="1330" t="s">
        <v>1868</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8">
      <c r="A417" s="1330"/>
      <c r="B417" s="1330" t="s">
        <v>1869</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13.8">
      <c r="A418" s="1330"/>
      <c r="B418" s="1330" t="s">
        <v>740</v>
      </c>
      <c r="C418" s="1386">
        <f>'Part III-Sources of Funds'!C55</f>
        <v>0</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0</v>
      </c>
      <c r="J418" s="1330">
        <f>'Part III-Sources of Funds'!J55</f>
        <v>0</v>
      </c>
      <c r="K418" s="1393"/>
      <c r="L418" s="1393"/>
      <c r="M418" s="1386"/>
      <c r="N418" s="1386"/>
      <c r="O418" s="1386"/>
      <c r="P418" s="1386"/>
      <c r="Q418" s="1330"/>
    </row>
    <row r="419" spans="1:17" ht="13.8">
      <c r="A419" s="1330"/>
      <c r="B419" s="1330" t="s">
        <v>740</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ht="13.8">
      <c r="A420" s="1330"/>
      <c r="B420" s="1330" t="s">
        <v>740</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8">
      <c r="A421" s="1330"/>
      <c r="B421" s="1337" t="s">
        <v>2215</v>
      </c>
      <c r="C421" s="1330"/>
      <c r="D421" s="1330"/>
      <c r="E421" s="1330"/>
      <c r="F421" s="1330"/>
      <c r="G421" s="1330"/>
      <c r="H421" s="1393"/>
      <c r="I421" s="1396">
        <f>SUM(I400:J405)+SUM(I410:J420)</f>
        <v>5168536</v>
      </c>
      <c r="J421" s="1396"/>
      <c r="K421" s="1330"/>
      <c r="L421" s="1334"/>
      <c r="M421" s="1386"/>
      <c r="N421" s="1386"/>
      <c r="O421" s="1386"/>
      <c r="P421" s="1386"/>
      <c r="Q421" s="1330"/>
    </row>
    <row r="422" spans="1:17" ht="13.8">
      <c r="A422" s="1330"/>
      <c r="B422" s="1337" t="s">
        <v>2216</v>
      </c>
      <c r="C422" s="1330"/>
      <c r="D422" s="1330"/>
      <c r="E422" s="1330"/>
      <c r="F422" s="1330"/>
      <c r="G422" s="1330"/>
      <c r="H422" s="1393"/>
      <c r="I422" s="1396">
        <f>'Part IV-A-Uses of Funds'!$G$132</f>
        <v>5168536</v>
      </c>
      <c r="J422" s="1396"/>
      <c r="K422" s="1330"/>
      <c r="L422" s="1334"/>
      <c r="M422" s="1386"/>
      <c r="N422" s="1386"/>
      <c r="O422" s="1386"/>
      <c r="P422" s="1386"/>
      <c r="Q422" s="1330"/>
    </row>
    <row r="423" spans="1:17" ht="13.8">
      <c r="A423" s="1330"/>
      <c r="B423" s="1337" t="s">
        <v>1524</v>
      </c>
      <c r="C423" s="1330"/>
      <c r="D423" s="1330"/>
      <c r="E423" s="1330"/>
      <c r="F423" s="1330"/>
      <c r="G423" s="1330"/>
      <c r="H423" s="1393"/>
      <c r="I423" s="1397">
        <f>I421-I422</f>
        <v>0</v>
      </c>
      <c r="J423" s="1397"/>
      <c r="K423" s="1330"/>
      <c r="L423" s="1334"/>
      <c r="M423" s="1386"/>
      <c r="N423" s="1386"/>
      <c r="O423" s="1386"/>
      <c r="P423" s="1386"/>
      <c r="Q423" s="1330"/>
    </row>
    <row r="424" spans="1:17" ht="13.8">
      <c r="A424" s="1330" t="s">
        <v>3466</v>
      </c>
      <c r="B424" s="1337"/>
      <c r="C424" s="1330"/>
      <c r="D424" s="1330"/>
      <c r="E424" s="1330"/>
      <c r="F424" s="1330"/>
      <c r="G424" s="1330"/>
      <c r="H424" s="1410"/>
      <c r="I424" s="1410"/>
      <c r="J424" s="1336"/>
      <c r="K424" s="1330"/>
      <c r="L424" s="1334"/>
      <c r="M424" s="1386"/>
      <c r="N424" s="1386"/>
      <c r="O424" s="1386"/>
      <c r="P424" s="1386"/>
      <c r="Q424" s="1330"/>
    </row>
    <row r="425" spans="1:17" ht="13.8">
      <c r="A425" s="1336"/>
      <c r="B425" s="1336"/>
      <c r="C425" s="1336"/>
      <c r="D425" s="1336"/>
      <c r="E425" s="1336"/>
      <c r="F425" s="1336"/>
      <c r="G425" s="1336"/>
      <c r="H425" s="1336"/>
      <c r="I425" s="1336"/>
      <c r="J425" s="1336"/>
      <c r="K425" s="1336"/>
      <c r="L425" s="1336"/>
      <c r="M425" s="1336"/>
      <c r="N425" s="1336"/>
      <c r="O425" s="1336"/>
      <c r="P425" s="1336"/>
      <c r="Q425" s="1336"/>
    </row>
    <row r="426" spans="1:17" ht="13.8">
      <c r="A426" s="1311" t="s">
        <v>1791</v>
      </c>
      <c r="B426" s="1311" t="s">
        <v>571</v>
      </c>
      <c r="C426" s="1336"/>
      <c r="D426" s="1336"/>
      <c r="E426" s="1336"/>
      <c r="F426" s="1336"/>
      <c r="G426" s="1336"/>
      <c r="H426" s="1336"/>
      <c r="I426" s="1336"/>
      <c r="J426" s="1336"/>
      <c r="K426" s="1398"/>
      <c r="L426" s="1398"/>
      <c r="M426" s="1311" t="s">
        <v>1791</v>
      </c>
      <c r="N426" s="1311" t="s">
        <v>79</v>
      </c>
      <c r="O426" s="1336"/>
      <c r="P426" s="1336"/>
      <c r="Q426" s="1336"/>
    </row>
    <row r="427" spans="1:17" ht="12.75" customHeight="1">
      <c r="A427" s="1391" t="str">
        <f>'Part III-Sources of Funds'!A64</f>
        <v>There will be no permanent debt  for  the Woodstone II property. The equity will be used to extinguish the existing HOME debt balance of approx. $752,783 (as of 3/1/2019) with the balance of the proceeds used for acquisition and rehab of the property as outlined in the rehabilitation schedule and the Physical Needs Assessment report.</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ht="13.8">
      <c r="A437" s="1311" t="str">
        <f>CONCATENATE("PART FOUR -  USES OF FUNDS","  -  ",'Part I-Project Information'!$O$6," ",'Part I-Project Information'!$F$34,", ",'Part I-Project Information'!F481,", ",'Part I-Project Information'!J482," County")</f>
        <v>PART FOUR -  USES OF FUNDS  -  2019-049 Woodstone Apartments II,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2019-049 Woodstone Apartments II, ,  County</v>
      </c>
      <c r="X437" s="1311"/>
    </row>
    <row r="438" spans="1:24" ht="13.8">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ht="13.8">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3.8">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615</v>
      </c>
      <c r="B441" s="1411" t="s">
        <v>899</v>
      </c>
      <c r="C441" s="1330"/>
      <c r="D441" s="1330"/>
      <c r="E441" s="1330"/>
      <c r="F441" s="1330"/>
      <c r="G441" s="1330"/>
      <c r="H441" s="1411"/>
      <c r="I441" s="1411"/>
      <c r="J441" s="1329" t="s">
        <v>271</v>
      </c>
      <c r="K441" s="1329"/>
      <c r="L441" s="1412"/>
      <c r="M441" s="1413" t="s">
        <v>488</v>
      </c>
      <c r="N441" s="1413"/>
      <c r="O441" s="1330"/>
      <c r="P441" s="1329" t="s">
        <v>272</v>
      </c>
      <c r="Q441" s="1329"/>
      <c r="R441" s="1330"/>
      <c r="S441" s="1329" t="s">
        <v>273</v>
      </c>
      <c r="T441" s="1329"/>
      <c r="U441" s="1330"/>
      <c r="V441" s="1414" t="str">
        <f>B441</f>
        <v>DEVELOPMENT BUDGET</v>
      </c>
      <c r="W441" s="1330"/>
      <c r="X441" s="1330"/>
    </row>
    <row r="442" spans="1:24" ht="13.8">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2682</v>
      </c>
      <c r="W442" s="1330"/>
      <c r="X442" s="1366"/>
    </row>
    <row r="443" spans="1:24" ht="13.8">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ht="13.8">
      <c r="A444" s="1330"/>
      <c r="B444" s="1330" t="s">
        <v>1999</v>
      </c>
      <c r="C444" s="1330"/>
      <c r="D444" s="1330"/>
      <c r="E444" s="1330"/>
      <c r="F444" s="1330"/>
      <c r="G444" s="1412">
        <f>'Part IV-A-Uses of Funds'!G8</f>
        <v>7500</v>
      </c>
      <c r="H444" s="1412">
        <f>'Part IV-A-Uses of Funds'!H8</f>
        <v>0</v>
      </c>
      <c r="I444" s="1330"/>
      <c r="J444" s="1412">
        <f>'Part IV-A-Uses of Funds'!J8</f>
        <v>0</v>
      </c>
      <c r="K444" s="1412">
        <f>'Part IV-A-Uses of Funds'!K8</f>
        <v>0</v>
      </c>
      <c r="L444" s="1347"/>
      <c r="M444" s="1412">
        <f>'Part IV-A-Uses of Funds'!M8</f>
        <v>0</v>
      </c>
      <c r="N444" s="1412">
        <f>'Part IV-A-Uses of Funds'!N8</f>
        <v>0</v>
      </c>
      <c r="O444" s="1330"/>
      <c r="P444" s="1412">
        <f>'Part IV-A-Uses of Funds'!P8</f>
        <v>7500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ht="13.8">
      <c r="A445" s="1330"/>
      <c r="B445" s="1330" t="s">
        <v>457</v>
      </c>
      <c r="C445" s="1330"/>
      <c r="D445" s="1330"/>
      <c r="E445" s="1330"/>
      <c r="F445" s="1330"/>
      <c r="G445" s="1412">
        <f>'Part IV-A-Uses of Funds'!G9</f>
        <v>5500</v>
      </c>
      <c r="H445" s="1412">
        <f>'Part IV-A-Uses of Funds'!H9</f>
        <v>0</v>
      </c>
      <c r="I445" s="1330"/>
      <c r="J445" s="1412">
        <f>'Part IV-A-Uses of Funds'!J9</f>
        <v>0</v>
      </c>
      <c r="K445" s="1412">
        <f>'Part IV-A-Uses of Funds'!K9</f>
        <v>0</v>
      </c>
      <c r="L445" s="1347"/>
      <c r="M445" s="1412">
        <f>'Part IV-A-Uses of Funds'!M9</f>
        <v>0</v>
      </c>
      <c r="N445" s="1412">
        <f>'Part IV-A-Uses of Funds'!N9</f>
        <v>0</v>
      </c>
      <c r="O445" s="1330"/>
      <c r="P445" s="1412">
        <f>'Part IV-A-Uses of Funds'!P9</f>
        <v>5500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ht="13.8">
      <c r="A446" s="1330"/>
      <c r="B446" s="1330" t="s">
        <v>485</v>
      </c>
      <c r="C446" s="1330"/>
      <c r="D446" s="1330"/>
      <c r="E446" s="1330"/>
      <c r="F446" s="1330"/>
      <c r="G446" s="1412">
        <f>'Part IV-A-Uses of Funds'!G10</f>
        <v>3500</v>
      </c>
      <c r="H446" s="1412">
        <f>'Part IV-A-Uses of Funds'!H10</f>
        <v>0</v>
      </c>
      <c r="I446" s="1330"/>
      <c r="J446" s="1412">
        <f>'Part IV-A-Uses of Funds'!J10</f>
        <v>0</v>
      </c>
      <c r="K446" s="1412">
        <f>'Part IV-A-Uses of Funds'!K10</f>
        <v>0</v>
      </c>
      <c r="L446" s="1347"/>
      <c r="M446" s="1412">
        <f>'Part IV-A-Uses of Funds'!M10</f>
        <v>0</v>
      </c>
      <c r="N446" s="1412">
        <f>'Part IV-A-Uses of Funds'!N10</f>
        <v>0</v>
      </c>
      <c r="O446" s="1330"/>
      <c r="P446" s="1412">
        <f>'Part IV-A-Uses of Funds'!P10</f>
        <v>3500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ht="13.8">
      <c r="A447" s="1330"/>
      <c r="B447" s="1330" t="s">
        <v>486</v>
      </c>
      <c r="C447" s="1330"/>
      <c r="D447" s="1330"/>
      <c r="E447" s="1330"/>
      <c r="F447" s="1330"/>
      <c r="G447" s="1412">
        <f>'Part IV-A-Uses of Funds'!G11</f>
        <v>0</v>
      </c>
      <c r="H447" s="1412">
        <f>'Part IV-A-Uses of Funds'!H11</f>
        <v>0</v>
      </c>
      <c r="I447" s="1330"/>
      <c r="J447" s="1412">
        <f>'Part IV-A-Uses of Funds'!J11</f>
        <v>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ht="13.8">
      <c r="A448" s="1330"/>
      <c r="B448" s="1330" t="s">
        <v>2499</v>
      </c>
      <c r="C448" s="1330"/>
      <c r="D448" s="1330"/>
      <c r="E448" s="1330"/>
      <c r="F448" s="1330"/>
      <c r="G448" s="1412">
        <f>'Part IV-A-Uses of Funds'!G12</f>
        <v>15800</v>
      </c>
      <c r="H448" s="1412">
        <f>'Part IV-A-Uses of Funds'!H12</f>
        <v>0</v>
      </c>
      <c r="I448" s="1330"/>
      <c r="J448" s="1412">
        <f>'Part IV-A-Uses of Funds'!J12</f>
        <v>0</v>
      </c>
      <c r="K448" s="1412">
        <f>'Part IV-A-Uses of Funds'!K12</f>
        <v>0</v>
      </c>
      <c r="L448" s="1347"/>
      <c r="M448" s="1412">
        <f>'Part IV-A-Uses of Funds'!M12</f>
        <v>0</v>
      </c>
      <c r="N448" s="1412">
        <f>'Part IV-A-Uses of Funds'!N12</f>
        <v>0</v>
      </c>
      <c r="O448" s="1330"/>
      <c r="P448" s="1412">
        <f>'Part IV-A-Uses of Funds'!P12</f>
        <v>15800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ht="13.8">
      <c r="A449" s="1330"/>
      <c r="B449" s="1330" t="s">
        <v>190</v>
      </c>
      <c r="C449" s="1330"/>
      <c r="D449" s="1330"/>
      <c r="E449" s="1330"/>
      <c r="F449" s="1330"/>
      <c r="G449" s="1412">
        <f>'Part IV-A-Uses of Funds'!G13</f>
        <v>2500</v>
      </c>
      <c r="H449" s="1412">
        <f>'Part IV-A-Uses of Funds'!H13</f>
        <v>0</v>
      </c>
      <c r="I449" s="1330"/>
      <c r="J449" s="1412">
        <f>'Part IV-A-Uses of Funds'!J13</f>
        <v>0</v>
      </c>
      <c r="K449" s="1412">
        <f>'Part IV-A-Uses of Funds'!K13</f>
        <v>0</v>
      </c>
      <c r="L449" s="1347"/>
      <c r="M449" s="1412">
        <f>'Part IV-A-Uses of Funds'!M13</f>
        <v>0</v>
      </c>
      <c r="N449" s="1412">
        <f>'Part IV-A-Uses of Funds'!N13</f>
        <v>0</v>
      </c>
      <c r="O449" s="1330"/>
      <c r="P449" s="1412">
        <f>'Part IV-A-Uses of Funds'!P13</f>
        <v>2500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740</v>
      </c>
      <c r="C450" s="1342" t="str">
        <f>'Part IV-A-Uses of Funds'!C14</f>
        <v>Engineering-Const Cost Analysis, PNA Report, radon testing, etc.</v>
      </c>
      <c r="D450" s="1342">
        <f>'Part IV-A-Uses of Funds'!D14</f>
        <v>0</v>
      </c>
      <c r="E450" s="1342">
        <f>'Part IV-A-Uses of Funds'!E14</f>
        <v>0</v>
      </c>
      <c r="F450" s="1342">
        <f>'Part IV-A-Uses of Funds'!F14</f>
        <v>0</v>
      </c>
      <c r="G450" s="1412">
        <f>'Part IV-A-Uses of Funds'!G14</f>
        <v>15000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15000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740</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740</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ht="13.8">
      <c r="A453" s="1330"/>
      <c r="B453" s="1330"/>
      <c r="C453" s="1330"/>
      <c r="D453" s="1330"/>
      <c r="E453" s="1330"/>
      <c r="F453" s="1416" t="s">
        <v>191</v>
      </c>
      <c r="G453" s="1412">
        <f>SUM(G444:H452)</f>
        <v>49800</v>
      </c>
      <c r="H453" s="1412"/>
      <c r="I453" s="1330"/>
      <c r="J453" s="1412">
        <f>SUM(J444:K452)</f>
        <v>0</v>
      </c>
      <c r="K453" s="1348"/>
      <c r="L453" s="1347"/>
      <c r="M453" s="1412">
        <f>SUM(M444:N452)</f>
        <v>0</v>
      </c>
      <c r="N453" s="1412"/>
      <c r="O453" s="1330"/>
      <c r="P453" s="1412">
        <f>SUM(P444:Q452)</f>
        <v>49800</v>
      </c>
      <c r="Q453" s="1412"/>
      <c r="R453" s="1330"/>
      <c r="S453" s="1412">
        <f>SUM(S444:T452)</f>
        <v>0</v>
      </c>
      <c r="T453" s="1412"/>
      <c r="U453" s="1330"/>
      <c r="V453" s="1418">
        <f>SUM(V444:V452)</f>
        <v>0</v>
      </c>
      <c r="W453" s="1203"/>
      <c r="X453" s="1203"/>
    </row>
    <row r="454" spans="1:24" ht="13.8">
      <c r="A454" s="1330"/>
      <c r="B454" s="1311" t="s">
        <v>2196</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ht="13.8">
      <c r="A455" s="1330"/>
      <c r="B455" s="1330" t="s">
        <v>2197</v>
      </c>
      <c r="C455" s="1330"/>
      <c r="D455" s="1330"/>
      <c r="E455" s="1330"/>
      <c r="F455" s="1330"/>
      <c r="G455" s="1412">
        <f>'Part IV-A-Uses of Funds'!G19</f>
        <v>120000</v>
      </c>
      <c r="H455" s="1412">
        <f>'Part IV-A-Uses of Funds'!H19</f>
        <v>0</v>
      </c>
      <c r="I455" s="1330"/>
      <c r="J455" s="1347"/>
      <c r="K455" s="1412"/>
      <c r="L455" s="1347"/>
      <c r="M455" s="1347"/>
      <c r="N455" s="1412"/>
      <c r="O455" s="1330"/>
      <c r="P455" s="1347"/>
      <c r="Q455" s="1412"/>
      <c r="R455" s="1330"/>
      <c r="S455" s="1412">
        <f>'Part IV-A-Uses of Funds'!S19</f>
        <v>120000</v>
      </c>
      <c r="T455" s="1412">
        <f>'Part IV-A-Uses of Funds'!T19</f>
        <v>0</v>
      </c>
      <c r="U455" s="1330"/>
      <c r="V455" s="1418"/>
      <c r="W455" s="1203">
        <f>'Part IV-A-Uses of Funds'!W19</f>
        <v>0</v>
      </c>
      <c r="X455" s="1203">
        <f>'Part IV-A-Uses of Funds'!X19</f>
        <v>0</v>
      </c>
    </row>
    <row r="456" spans="1:24" ht="13.8">
      <c r="A456" s="1330"/>
      <c r="B456" s="1330" t="s">
        <v>1118</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ht="13.8">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ht="13.8">
      <c r="A458" s="1330"/>
      <c r="B458" s="1330" t="s">
        <v>430</v>
      </c>
      <c r="C458" s="1330"/>
      <c r="D458" s="1330"/>
      <c r="E458" s="1330"/>
      <c r="F458" s="1330"/>
      <c r="G458" s="1412">
        <f>'Part IV-A-Uses of Funds'!G22</f>
        <v>858238</v>
      </c>
      <c r="H458" s="1412">
        <f>'Part IV-A-Uses of Funds'!H22</f>
        <v>0</v>
      </c>
      <c r="I458" s="1330"/>
      <c r="J458" s="1347"/>
      <c r="K458" s="1412"/>
      <c r="L458" s="1347"/>
      <c r="M458" s="1412">
        <f>'Part IV-A-Uses of Funds'!M22</f>
        <v>752783</v>
      </c>
      <c r="N458" s="1412">
        <f>'Part IV-A-Uses of Funds'!N22</f>
        <v>0</v>
      </c>
      <c r="O458" s="1330"/>
      <c r="P458" s="1347"/>
      <c r="Q458" s="1412"/>
      <c r="R458" s="1330"/>
      <c r="S458" s="1412">
        <f>'Part IV-A-Uses of Funds'!S22</f>
        <v>105455</v>
      </c>
      <c r="T458" s="1412">
        <f>'Part IV-A-Uses of Funds'!T22</f>
        <v>0</v>
      </c>
      <c r="U458" s="1330"/>
      <c r="V458" s="1418"/>
      <c r="W458" s="1203">
        <f>'Part IV-A-Uses of Funds'!W22</f>
        <v>0</v>
      </c>
      <c r="X458" s="1203">
        <f>'Part IV-A-Uses of Funds'!X22</f>
        <v>0</v>
      </c>
    </row>
    <row r="459" spans="1:24" ht="13.8">
      <c r="A459" s="1330"/>
      <c r="B459" s="1330"/>
      <c r="C459" s="1330"/>
      <c r="D459" s="1330"/>
      <c r="E459" s="1330"/>
      <c r="F459" s="1416" t="s">
        <v>191</v>
      </c>
      <c r="G459" s="1412">
        <f>SUM(G455:H458)</f>
        <v>978238</v>
      </c>
      <c r="H459" s="1412"/>
      <c r="I459" s="1330"/>
      <c r="J459" s="1347"/>
      <c r="K459" s="1412"/>
      <c r="L459" s="1347"/>
      <c r="M459" s="1412">
        <f>SUM(M457:N458)</f>
        <v>752783</v>
      </c>
      <c r="N459" s="1412"/>
      <c r="O459" s="1330"/>
      <c r="P459" s="1347"/>
      <c r="Q459" s="1412"/>
      <c r="R459" s="1330"/>
      <c r="S459" s="1412">
        <f>SUM(S455:T458)</f>
        <v>225455</v>
      </c>
      <c r="T459" s="1412"/>
      <c r="U459" s="1330"/>
      <c r="V459" s="1418">
        <f>SUM(V455:V458)</f>
        <v>0</v>
      </c>
      <c r="W459" s="1203"/>
      <c r="X459" s="1203"/>
    </row>
    <row r="460" spans="1:24" ht="13.8">
      <c r="A460" s="1330"/>
      <c r="B460" s="1311" t="s">
        <v>1119</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ht="13.8">
      <c r="A461" s="1330"/>
      <c r="B461" s="1330" t="s">
        <v>1120</v>
      </c>
      <c r="C461" s="1330"/>
      <c r="D461" s="1330"/>
      <c r="E461" s="1377" t="s">
        <v>3724</v>
      </c>
      <c r="F461" s="1419">
        <f>IF('Part I-Project Information'!$O$37="","",G461/'Part I-Project Information'!$O$37)</f>
        <v>34806.822137138879</v>
      </c>
      <c r="G461" s="1412">
        <f>'Part IV-A-Uses of Funds'!G25</f>
        <v>200000</v>
      </c>
      <c r="H461" s="1412">
        <f>'Part IV-A-Uses of Funds'!H25</f>
        <v>0</v>
      </c>
      <c r="I461" s="1330"/>
      <c r="J461" s="1412">
        <f>'Part IV-A-Uses of Funds'!J25</f>
        <v>0</v>
      </c>
      <c r="K461" s="1412">
        <f>'Part IV-A-Uses of Funds'!K25</f>
        <v>0</v>
      </c>
      <c r="L461" s="1347"/>
      <c r="M461" s="1412">
        <f>'Part IV-A-Uses of Funds'!M25</f>
        <v>0</v>
      </c>
      <c r="N461" s="1412">
        <f>'Part IV-A-Uses of Funds'!N25</f>
        <v>0</v>
      </c>
      <c r="O461" s="1330"/>
      <c r="P461" s="1412">
        <f>'Part IV-A-Uses of Funds'!P25</f>
        <v>200000</v>
      </c>
      <c r="Q461" s="1412">
        <f>'Part IV-A-Uses of Funds'!Q25</f>
        <v>0</v>
      </c>
      <c r="R461" s="1330"/>
      <c r="S461" s="1412">
        <f>'Part IV-A-Uses of Funds'!S25</f>
        <v>0</v>
      </c>
      <c r="T461" s="1412">
        <f>'Part IV-A-Uses of Funds'!T25</f>
        <v>0</v>
      </c>
      <c r="U461" s="1330"/>
      <c r="V461" s="1418"/>
      <c r="W461" s="1203">
        <f>'Part IV-A-Uses of Funds'!W25</f>
        <v>0</v>
      </c>
      <c r="X461" s="1203">
        <f>'Part IV-A-Uses of Funds'!X25</f>
        <v>0</v>
      </c>
    </row>
    <row r="462" spans="1:24" ht="13.8">
      <c r="A462" s="1330"/>
      <c r="B462" s="1330" t="s">
        <v>1121</v>
      </c>
      <c r="C462" s="1330"/>
      <c r="D462" s="1330"/>
      <c r="E462" s="1330"/>
      <c r="F462" s="1330"/>
      <c r="G462" s="1412">
        <f>'Part IV-A-Uses of Funds'!G26</f>
        <v>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0</v>
      </c>
      <c r="T462" s="1412">
        <f>'Part IV-A-Uses of Funds'!T26</f>
        <v>0</v>
      </c>
      <c r="U462" s="1330"/>
      <c r="V462" s="1418"/>
      <c r="W462" s="1203">
        <f>'Part IV-A-Uses of Funds'!W26</f>
        <v>0</v>
      </c>
      <c r="X462" s="1203">
        <f>'Part IV-A-Uses of Funds'!X26</f>
        <v>0</v>
      </c>
    </row>
    <row r="463" spans="1:24" ht="13.8">
      <c r="A463" s="1330"/>
      <c r="B463" s="1330"/>
      <c r="C463" s="1330"/>
      <c r="D463" s="1330"/>
      <c r="E463" s="1330"/>
      <c r="F463" s="1416" t="s">
        <v>191</v>
      </c>
      <c r="G463" s="1412">
        <f>SUM(G461:H462)</f>
        <v>200000</v>
      </c>
      <c r="H463" s="1412"/>
      <c r="I463" s="1330"/>
      <c r="J463" s="1412">
        <f>SUM(J461:K462)</f>
        <v>0</v>
      </c>
      <c r="K463" s="1412"/>
      <c r="L463" s="1347"/>
      <c r="M463" s="1412">
        <f>M461</f>
        <v>0</v>
      </c>
      <c r="N463" s="1412"/>
      <c r="O463" s="1330"/>
      <c r="P463" s="1412">
        <f>P461</f>
        <v>200000</v>
      </c>
      <c r="Q463" s="1412"/>
      <c r="R463" s="1330"/>
      <c r="S463" s="1412">
        <f>SUM(S461:T462)</f>
        <v>0</v>
      </c>
      <c r="T463" s="1412"/>
      <c r="U463" s="1330"/>
      <c r="V463" s="1418">
        <f>SUM(V461:V462)</f>
        <v>0</v>
      </c>
      <c r="W463" s="1203"/>
      <c r="X463" s="1203"/>
    </row>
    <row r="464" spans="1:24" ht="13.8">
      <c r="A464" s="1330"/>
      <c r="B464" s="1311" t="s">
        <v>1122</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ht="13.8">
      <c r="A465" s="1330"/>
      <c r="B465" s="1330" t="s">
        <v>1123</v>
      </c>
      <c r="C465" s="1330"/>
      <c r="D465" s="1330"/>
      <c r="E465" s="1330"/>
      <c r="F465" s="1330"/>
      <c r="G465" s="1412">
        <f>'Part IV-A-Uses of Funds'!G29</f>
        <v>0</v>
      </c>
      <c r="H465" s="1412">
        <f>'Part IV-A-Uses of Funds'!H29</f>
        <v>0</v>
      </c>
      <c r="I465" s="1330"/>
      <c r="J465" s="1412">
        <f>'Part IV-A-Uses of Funds'!J29</f>
        <v>0</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ht="13.8">
      <c r="A466" s="1330"/>
      <c r="B466" s="1330" t="s">
        <v>1124</v>
      </c>
      <c r="C466" s="1330"/>
      <c r="D466" s="1330"/>
      <c r="E466" s="1330"/>
      <c r="F466" s="1330"/>
      <c r="G466" s="1412">
        <f>'Part IV-A-Uses of Funds'!G30</f>
        <v>1952756</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1952756</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ht="13.8">
      <c r="A467" s="1330"/>
      <c r="B467" s="1330" t="s">
        <v>2778</v>
      </c>
      <c r="C467" s="1330"/>
      <c r="D467" s="1330"/>
      <c r="E467" s="1330"/>
      <c r="F467" s="1330"/>
      <c r="G467" s="1412">
        <f>'Part IV-A-Uses of Funds'!G31</f>
        <v>0</v>
      </c>
      <c r="H467" s="1412">
        <f>'Part IV-A-Uses of Funds'!H31</f>
        <v>0</v>
      </c>
      <c r="I467" s="1330"/>
      <c r="J467" s="1412">
        <f>'Part IV-A-Uses of Funds'!J31</f>
        <v>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ht="13.8">
      <c r="A468" s="1336"/>
      <c r="B468" s="1330" t="s">
        <v>2777</v>
      </c>
      <c r="C468" s="1336"/>
      <c r="D468" s="1336"/>
      <c r="E468" s="1336"/>
      <c r="F468" s="1336"/>
      <c r="G468" s="1412">
        <f>'Part IV-A-Uses of Funds'!G32</f>
        <v>30000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30000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ht="13.8">
      <c r="A469" s="1330"/>
      <c r="B469" s="1330"/>
      <c r="C469" s="1421"/>
      <c r="D469" s="1421"/>
      <c r="E469" s="1422"/>
      <c r="F469" s="1416" t="s">
        <v>191</v>
      </c>
      <c r="G469" s="1412">
        <f>SUM(G465:H468)</f>
        <v>1982756</v>
      </c>
      <c r="H469" s="1412"/>
      <c r="I469" s="1330"/>
      <c r="J469" s="1412">
        <f>SUM(J465:K468)</f>
        <v>0</v>
      </c>
      <c r="K469" s="1412"/>
      <c r="L469" s="1347"/>
      <c r="M469" s="1412">
        <f>SUM(M465:N468)</f>
        <v>0</v>
      </c>
      <c r="N469" s="1412"/>
      <c r="O469" s="1330"/>
      <c r="P469" s="1412">
        <f>SUM(P465:Q468)</f>
        <v>1982756</v>
      </c>
      <c r="Q469" s="1412"/>
      <c r="R469" s="1330"/>
      <c r="S469" s="1412">
        <f>SUM(S465:T468)</f>
        <v>0</v>
      </c>
      <c r="T469" s="1412"/>
      <c r="U469" s="1330"/>
      <c r="V469" s="1418">
        <f>SUM(V465:V468)</f>
        <v>0</v>
      </c>
      <c r="W469" s="1203"/>
      <c r="X469" s="1203"/>
    </row>
    <row r="470" spans="1:24" ht="13.8">
      <c r="A470" s="1330"/>
      <c r="B470" s="1311" t="s">
        <v>2342</v>
      </c>
      <c r="C470" s="1330"/>
      <c r="D470" s="1381" t="s">
        <v>3728</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8">
      <c r="A471" s="1330"/>
      <c r="B471" s="1330" t="s">
        <v>2343</v>
      </c>
      <c r="C471" s="1330"/>
      <c r="D471" s="1425">
        <f>'DCA Underwriting Assumptions'!$R$73</f>
        <v>0.06</v>
      </c>
      <c r="E471" s="1426">
        <f>D471*(G463+G469)</f>
        <v>130965.36</v>
      </c>
      <c r="F471" s="1425" t="e">
        <f>IF(($G$27+$G$33)=0,0,G471/($G$27+$G$33))</f>
        <v>#VALUE!</v>
      </c>
      <c r="G471" s="1412">
        <f>'Part IV-A-Uses of Funds'!G35</f>
        <v>125928</v>
      </c>
      <c r="H471" s="1412">
        <f>'Part IV-A-Uses of Funds'!H35</f>
        <v>0</v>
      </c>
      <c r="I471" s="1336"/>
      <c r="J471" s="1412">
        <f>'Part IV-A-Uses of Funds'!J35</f>
        <v>0</v>
      </c>
      <c r="K471" s="1412">
        <f>'Part IV-A-Uses of Funds'!K35</f>
        <v>0</v>
      </c>
      <c r="L471" s="1347"/>
      <c r="M471" s="1412">
        <f>'Part IV-A-Uses of Funds'!M35</f>
        <v>0</v>
      </c>
      <c r="N471" s="1412">
        <f>'Part IV-A-Uses of Funds'!N35</f>
        <v>0</v>
      </c>
      <c r="O471" s="1330"/>
      <c r="P471" s="1412">
        <f>'Part IV-A-Uses of Funds'!P35</f>
        <v>125928</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8">
      <c r="A472" s="1330"/>
      <c r="B472" s="1330" t="s">
        <v>2734</v>
      </c>
      <c r="C472" s="1330"/>
      <c r="D472" s="1425">
        <f>'DCA Underwriting Assumptions'!$R$74</f>
        <v>0.02</v>
      </c>
      <c r="E472" s="1426">
        <f>D472*(G463+G469)</f>
        <v>43655.12</v>
      </c>
      <c r="F472" s="1425" t="e">
        <f>IF(($G$27+$G$33)=0,0,G472/($G$27+$G$33))</f>
        <v>#VALUE!</v>
      </c>
      <c r="G472" s="1412">
        <f>'Part IV-A-Uses of Funds'!G36</f>
        <v>41976</v>
      </c>
      <c r="H472" s="1412">
        <f>'Part IV-A-Uses of Funds'!H36</f>
        <v>0</v>
      </c>
      <c r="I472" s="1336"/>
      <c r="J472" s="1412">
        <f>'Part IV-A-Uses of Funds'!J36</f>
        <v>0</v>
      </c>
      <c r="K472" s="1412">
        <f>'Part IV-A-Uses of Funds'!K36</f>
        <v>0</v>
      </c>
      <c r="L472" s="1347"/>
      <c r="M472" s="1412">
        <f>'Part IV-A-Uses of Funds'!M36</f>
        <v>0</v>
      </c>
      <c r="N472" s="1412">
        <f>'Part IV-A-Uses of Funds'!N36</f>
        <v>0</v>
      </c>
      <c r="O472" s="1330"/>
      <c r="P472" s="1412">
        <f>'Part IV-A-Uses of Funds'!P36</f>
        <v>41976</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8">
      <c r="A473" s="1330"/>
      <c r="B473" s="1330" t="s">
        <v>2735</v>
      </c>
      <c r="C473" s="1330"/>
      <c r="D473" s="1425">
        <f>'DCA Underwriting Assumptions'!$R$75</f>
        <v>0.06</v>
      </c>
      <c r="E473" s="1426">
        <f>D473*(G463+G469)</f>
        <v>130965.36</v>
      </c>
      <c r="F473" s="1425" t="e">
        <f>IF(($G$27+$G$33)=0,0,G473/($G$27+$G$33))</f>
        <v>#VALUE!</v>
      </c>
      <c r="G473" s="1412">
        <f>'Part IV-A-Uses of Funds'!G37</f>
        <v>125928</v>
      </c>
      <c r="H473" s="1412">
        <f>'Part IV-A-Uses of Funds'!H37</f>
        <v>0</v>
      </c>
      <c r="I473" s="1336"/>
      <c r="J473" s="1412">
        <f>'Part IV-A-Uses of Funds'!J37</f>
        <v>0</v>
      </c>
      <c r="K473" s="1412">
        <f>'Part IV-A-Uses of Funds'!K37</f>
        <v>0</v>
      </c>
      <c r="L473" s="1347"/>
      <c r="M473" s="1412">
        <f>'Part IV-A-Uses of Funds'!M37</f>
        <v>0</v>
      </c>
      <c r="N473" s="1412">
        <f>'Part IV-A-Uses of Funds'!N37</f>
        <v>0</v>
      </c>
      <c r="O473" s="1330"/>
      <c r="P473" s="1412">
        <f>'Part IV-A-Uses of Funds'!P37</f>
        <v>125928</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8">
      <c r="A474" s="1330"/>
      <c r="B474" s="1335" t="s">
        <v>3729</v>
      </c>
      <c r="C474" s="1330"/>
      <c r="D474" s="1423">
        <f>SUM(D471:D473)</f>
        <v>0.14000000000000001</v>
      </c>
      <c r="E474" s="1427">
        <f>SUM(E471:E473)</f>
        <v>305585.84000000003</v>
      </c>
      <c r="F474" s="1416" t="s">
        <v>191</v>
      </c>
      <c r="G474" s="1412">
        <f>SUM(G471:H473)</f>
        <v>293832</v>
      </c>
      <c r="H474" s="1412"/>
      <c r="I474" s="1330"/>
      <c r="J474" s="1412">
        <f>SUM(J471:K473)</f>
        <v>0</v>
      </c>
      <c r="K474" s="1412"/>
      <c r="L474" s="1347"/>
      <c r="M474" s="1412">
        <f>SUM(M471:N473)</f>
        <v>0</v>
      </c>
      <c r="N474" s="1412"/>
      <c r="O474" s="1330"/>
      <c r="P474" s="1412">
        <f>SUM(P471:Q473)</f>
        <v>293832</v>
      </c>
      <c r="Q474" s="1412"/>
      <c r="R474" s="1330"/>
      <c r="S474" s="1412">
        <f>SUM(S471:T473)</f>
        <v>0</v>
      </c>
      <c r="T474" s="1412"/>
      <c r="U474" s="1330"/>
      <c r="V474" s="1418">
        <f>SUM(V471:V473)</f>
        <v>0</v>
      </c>
      <c r="W474" s="1203"/>
      <c r="X474" s="1203"/>
    </row>
    <row r="475" spans="1:24" ht="13.8">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ht="13.8">
      <c r="A476" s="1330"/>
      <c r="B476" s="1311" t="s">
        <v>4502</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740</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ht="13.8">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4503</v>
      </c>
      <c r="C479" s="1429"/>
      <c r="D479" s="1330"/>
      <c r="E479" s="1329" t="s">
        <v>2742</v>
      </c>
      <c r="F479" s="1430">
        <f>B480/'Part VI-Revenues &amp; Expenses'!$O$65</f>
        <v>63502.256410256414</v>
      </c>
      <c r="G479" s="1431" t="s">
        <v>4504</v>
      </c>
      <c r="H479" s="1330"/>
      <c r="I479" s="1330"/>
      <c r="J479" s="1432">
        <f>B480/'Part VI-Revenues &amp; Expenses'!$O$67</f>
        <v>61914.7</v>
      </c>
      <c r="K479" s="1432"/>
      <c r="L479" s="1330"/>
      <c r="M479" s="1433" t="s">
        <v>1401</v>
      </c>
      <c r="N479" s="1433"/>
      <c r="O479" s="1330"/>
      <c r="P479" s="1432">
        <f>B480/'Part I-Project Information'!$P$75</f>
        <v>66.985502542464573</v>
      </c>
      <c r="Q479" s="1432"/>
      <c r="R479" s="1330"/>
      <c r="S479" s="1354" t="s">
        <v>2776</v>
      </c>
      <c r="T479" s="1354"/>
      <c r="U479" s="1330"/>
      <c r="V479" s="1418"/>
      <c r="W479" s="1203">
        <f>'Part IV-A-Uses of Funds'!W43</f>
        <v>0</v>
      </c>
      <c r="X479" s="1203">
        <f>'Part IV-A-Uses of Funds'!X43</f>
        <v>0</v>
      </c>
    </row>
    <row r="480" spans="1:24" ht="13.8">
      <c r="A480" s="1330"/>
      <c r="B480" s="1434">
        <f>G463+G469+G474+G477</f>
        <v>2476588</v>
      </c>
      <c r="C480" s="1434"/>
      <c r="D480" s="1330"/>
      <c r="E480" s="1329"/>
      <c r="F480" s="1430">
        <f>B480/'Part VI-Revenues &amp; Expenses'!$O$154</f>
        <v>71.451718069299787</v>
      </c>
      <c r="G480" s="1354" t="s">
        <v>4505</v>
      </c>
      <c r="H480" s="1330"/>
      <c r="I480" s="1330"/>
      <c r="J480" s="1432">
        <f>B480/'Part VI-Revenues &amp; Expenses'!$O$156</f>
        <v>69.614009444569376</v>
      </c>
      <c r="K480" s="1432"/>
      <c r="L480" s="1330"/>
      <c r="M480" s="1354" t="s">
        <v>2775</v>
      </c>
      <c r="N480" s="1354"/>
      <c r="O480" s="1330"/>
      <c r="P480" s="1330"/>
      <c r="Q480" s="1330"/>
      <c r="R480" s="1330"/>
      <c r="S480" s="1330"/>
      <c r="T480" s="1330"/>
      <c r="U480" s="1330"/>
      <c r="V480" s="1418"/>
      <c r="W480" s="1203">
        <f>'Part IV-A-Uses of Funds'!W44</f>
        <v>0</v>
      </c>
      <c r="X480" s="1203">
        <f>'Part IV-A-Uses of Funds'!X44</f>
        <v>0</v>
      </c>
    </row>
    <row r="481" spans="1:24" ht="13.8">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ht="13.8">
      <c r="A482" s="1330"/>
      <c r="B482" s="1311" t="s">
        <v>1125</v>
      </c>
      <c r="C482" s="1330"/>
      <c r="D482" s="1330"/>
      <c r="E482" s="1330"/>
      <c r="F482" s="1435" t="s">
        <v>4186</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8">
      <c r="A483" s="1336"/>
      <c r="B483" s="1330" t="s">
        <v>1960</v>
      </c>
      <c r="C483" s="1336"/>
      <c r="D483" s="1436" t="s">
        <v>4185</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247658.80000000002</v>
      </c>
      <c r="F483" s="1438">
        <f>G483/B480</f>
        <v>0.10000008075626628</v>
      </c>
      <c r="G483" s="1412">
        <f>'Part IV-A-Uses of Funds'!G47</f>
        <v>247659</v>
      </c>
      <c r="H483" s="1412">
        <f>'Part IV-A-Uses of Funds'!H47</f>
        <v>0</v>
      </c>
      <c r="I483" s="1330"/>
      <c r="J483" s="1412">
        <f>'Part IV-A-Uses of Funds'!J47</f>
        <v>0</v>
      </c>
      <c r="K483" s="1412">
        <f>'Part IV-A-Uses of Funds'!K47</f>
        <v>0</v>
      </c>
      <c r="L483" s="1347"/>
      <c r="M483" s="1412">
        <f>'Part IV-A-Uses of Funds'!M47</f>
        <v>0</v>
      </c>
      <c r="N483" s="1412">
        <f>'Part IV-A-Uses of Funds'!N47</f>
        <v>0</v>
      </c>
      <c r="O483" s="1330"/>
      <c r="P483" s="1412">
        <f>'Part IV-A-Uses of Funds'!P47</f>
        <v>222893</v>
      </c>
      <c r="Q483" s="1412">
        <f>'Part IV-A-Uses of Funds'!Q47</f>
        <v>0</v>
      </c>
      <c r="R483" s="1330"/>
      <c r="S483" s="1412">
        <f>'Part IV-A-Uses of Funds'!S47</f>
        <v>24766</v>
      </c>
      <c r="T483" s="1412">
        <f>'Part IV-A-Uses of Funds'!T47</f>
        <v>0</v>
      </c>
      <c r="U483" s="1336"/>
      <c r="V483" s="1418"/>
      <c r="W483" s="1203">
        <f>'Part IV-A-Uses of Funds'!W47</f>
        <v>0</v>
      </c>
      <c r="X483" s="1203">
        <f>'Part IV-A-Uses of Funds'!X47</f>
        <v>0</v>
      </c>
    </row>
    <row r="484" spans="1:24" ht="13.8">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615</v>
      </c>
      <c r="B485" s="1411" t="s">
        <v>4506</v>
      </c>
      <c r="C485" s="1330"/>
      <c r="D485" s="1330"/>
      <c r="E485" s="1330"/>
      <c r="F485" s="1330"/>
      <c r="G485" s="1330"/>
      <c r="H485" s="1330"/>
      <c r="I485" s="1330"/>
      <c r="J485" s="1329" t="s">
        <v>271</v>
      </c>
      <c r="K485" s="1329"/>
      <c r="L485" s="1412"/>
      <c r="M485" s="1413" t="s">
        <v>488</v>
      </c>
      <c r="N485" s="1413"/>
      <c r="O485" s="1330"/>
      <c r="P485" s="1329" t="s">
        <v>272</v>
      </c>
      <c r="Q485" s="1329"/>
      <c r="R485" s="1330"/>
      <c r="S485" s="1329" t="s">
        <v>273</v>
      </c>
      <c r="T485" s="1329"/>
      <c r="U485" s="1330"/>
      <c r="V485" s="1418"/>
      <c r="W485" s="1414" t="str">
        <f>B485</f>
        <v>DEVELOPMENT BUDGET (cont'd)</v>
      </c>
      <c r="X485" s="1330"/>
    </row>
    <row r="486" spans="1:24" ht="13.8">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2682</v>
      </c>
      <c r="X486" s="1366"/>
    </row>
    <row r="487" spans="1:24" ht="13.8">
      <c r="A487" s="1330"/>
      <c r="B487" s="1311" t="s">
        <v>721</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ht="13.8">
      <c r="A488" s="1330"/>
      <c r="B488" s="1330" t="s">
        <v>3730</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ht="13.8">
      <c r="A489" s="1330"/>
      <c r="B489" s="1330" t="s">
        <v>3731</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ht="13.8">
      <c r="A490" s="1330"/>
      <c r="B490" s="1330" t="s">
        <v>2345</v>
      </c>
      <c r="C490" s="1330"/>
      <c r="D490" s="1330"/>
      <c r="E490" s="1330"/>
      <c r="F490" s="1330"/>
      <c r="G490" s="1412">
        <f>'Part IV-A-Uses of Funds'!G54</f>
        <v>20500</v>
      </c>
      <c r="H490" s="1412">
        <f>'Part IV-A-Uses of Funds'!H54</f>
        <v>0</v>
      </c>
      <c r="I490" s="1330"/>
      <c r="J490" s="1412">
        <f>'Part IV-A-Uses of Funds'!J54</f>
        <v>0</v>
      </c>
      <c r="K490" s="1412">
        <f>'Part IV-A-Uses of Funds'!K54</f>
        <v>0</v>
      </c>
      <c r="L490" s="1347"/>
      <c r="M490" s="1412">
        <f>'Part IV-A-Uses of Funds'!M54</f>
        <v>0</v>
      </c>
      <c r="N490" s="1412">
        <f>'Part IV-A-Uses of Funds'!N54</f>
        <v>0</v>
      </c>
      <c r="O490" s="1330"/>
      <c r="P490" s="1412">
        <f>'Part IV-A-Uses of Funds'!P54</f>
        <v>20500</v>
      </c>
      <c r="Q490" s="1412">
        <f>'Part IV-A-Uses of Funds'!Q54</f>
        <v>0</v>
      </c>
      <c r="R490" s="1330"/>
      <c r="S490" s="1412">
        <f>'Part IV-A-Uses of Funds'!S54</f>
        <v>0</v>
      </c>
      <c r="T490" s="1412">
        <f>'Part IV-A-Uses of Funds'!T54</f>
        <v>0</v>
      </c>
      <c r="U490" s="1330"/>
      <c r="V490" s="1418"/>
      <c r="W490" s="1203"/>
      <c r="X490" s="1203"/>
    </row>
    <row r="491" spans="1:24" ht="13.8">
      <c r="A491" s="1330"/>
      <c r="B491" s="1330" t="s">
        <v>2346</v>
      </c>
      <c r="C491" s="1330"/>
      <c r="D491" s="1330"/>
      <c r="E491" s="1330"/>
      <c r="F491" s="1330"/>
      <c r="G491" s="1412">
        <f>'Part IV-A-Uses of Funds'!G55</f>
        <v>194500</v>
      </c>
      <c r="H491" s="1412">
        <f>'Part IV-A-Uses of Funds'!H55</f>
        <v>0</v>
      </c>
      <c r="I491" s="1330"/>
      <c r="J491" s="1412">
        <f>'Part IV-A-Uses of Funds'!J55</f>
        <v>0</v>
      </c>
      <c r="K491" s="1412">
        <f>'Part IV-A-Uses of Funds'!K55</f>
        <v>0</v>
      </c>
      <c r="L491" s="1347"/>
      <c r="M491" s="1412">
        <f>'Part IV-A-Uses of Funds'!M55</f>
        <v>0</v>
      </c>
      <c r="N491" s="1412">
        <f>'Part IV-A-Uses of Funds'!N55</f>
        <v>0</v>
      </c>
      <c r="O491" s="1330"/>
      <c r="P491" s="1412">
        <f>'Part IV-A-Uses of Funds'!P55</f>
        <v>194500</v>
      </c>
      <c r="Q491" s="1412">
        <f>'Part IV-A-Uses of Funds'!Q55</f>
        <v>0</v>
      </c>
      <c r="R491" s="1330"/>
      <c r="S491" s="1412">
        <f>'Part IV-A-Uses of Funds'!S55</f>
        <v>0</v>
      </c>
      <c r="T491" s="1412">
        <f>'Part IV-A-Uses of Funds'!T55</f>
        <v>0</v>
      </c>
      <c r="U491" s="1330"/>
      <c r="V491" s="1418"/>
      <c r="W491" s="1203"/>
      <c r="X491" s="1203"/>
    </row>
    <row r="492" spans="1:24" ht="13.8">
      <c r="A492" s="1330"/>
      <c r="B492" s="1330" t="s">
        <v>2347</v>
      </c>
      <c r="C492" s="1330"/>
      <c r="D492" s="1330"/>
      <c r="E492" s="1330"/>
      <c r="F492" s="1330"/>
      <c r="G492" s="1412">
        <f>'Part IV-A-Uses of Funds'!G56</f>
        <v>76000</v>
      </c>
      <c r="H492" s="1412">
        <f>'Part IV-A-Uses of Funds'!H56</f>
        <v>0</v>
      </c>
      <c r="I492" s="1330"/>
      <c r="J492" s="1412">
        <f>'Part IV-A-Uses of Funds'!J56</f>
        <v>0</v>
      </c>
      <c r="K492" s="1412">
        <f>'Part IV-A-Uses of Funds'!K56</f>
        <v>0</v>
      </c>
      <c r="L492" s="1347"/>
      <c r="M492" s="1412">
        <f>'Part IV-A-Uses of Funds'!M56</f>
        <v>0</v>
      </c>
      <c r="N492" s="1412">
        <f>'Part IV-A-Uses of Funds'!N56</f>
        <v>0</v>
      </c>
      <c r="O492" s="1330"/>
      <c r="P492" s="1412">
        <f>'Part IV-A-Uses of Funds'!P56</f>
        <v>55000</v>
      </c>
      <c r="Q492" s="1412">
        <f>'Part IV-A-Uses of Funds'!Q56</f>
        <v>0</v>
      </c>
      <c r="R492" s="1330"/>
      <c r="S492" s="1412">
        <f>'Part IV-A-Uses of Funds'!S56</f>
        <v>21000</v>
      </c>
      <c r="T492" s="1412">
        <f>'Part IV-A-Uses of Funds'!T56</f>
        <v>0</v>
      </c>
      <c r="U492" s="1330"/>
      <c r="V492" s="1418"/>
      <c r="W492" s="1203"/>
      <c r="X492" s="1203"/>
    </row>
    <row r="493" spans="1:24" ht="13.8">
      <c r="A493" s="1330"/>
      <c r="B493" s="1330" t="s">
        <v>2686</v>
      </c>
      <c r="C493" s="1330"/>
      <c r="D493" s="1330"/>
      <c r="E493" s="1330"/>
      <c r="F493" s="1330"/>
      <c r="G493" s="1412">
        <f>'Part IV-A-Uses of Funds'!G57</f>
        <v>15000</v>
      </c>
      <c r="H493" s="1412">
        <f>'Part IV-A-Uses of Funds'!H57</f>
        <v>0</v>
      </c>
      <c r="I493" s="1330"/>
      <c r="J493" s="1412">
        <f>'Part IV-A-Uses of Funds'!J57</f>
        <v>0</v>
      </c>
      <c r="K493" s="1412">
        <f>'Part IV-A-Uses of Funds'!K57</f>
        <v>0</v>
      </c>
      <c r="L493" s="1347"/>
      <c r="M493" s="1412">
        <f>'Part IV-A-Uses of Funds'!M57</f>
        <v>0</v>
      </c>
      <c r="N493" s="1412">
        <f>'Part IV-A-Uses of Funds'!N57</f>
        <v>0</v>
      </c>
      <c r="O493" s="1330"/>
      <c r="P493" s="1412">
        <f>'Part IV-A-Uses of Funds'!P57</f>
        <v>15000</v>
      </c>
      <c r="Q493" s="1412">
        <f>'Part IV-A-Uses of Funds'!Q57</f>
        <v>0</v>
      </c>
      <c r="R493" s="1330"/>
      <c r="S493" s="1412">
        <f>'Part IV-A-Uses of Funds'!S57</f>
        <v>0</v>
      </c>
      <c r="T493" s="1412">
        <f>'Part IV-A-Uses of Funds'!T57</f>
        <v>0</v>
      </c>
      <c r="U493" s="1330"/>
      <c r="V493" s="1418"/>
      <c r="W493" s="1203"/>
      <c r="X493" s="1203"/>
    </row>
    <row r="494" spans="1:24" ht="13.8">
      <c r="A494" s="1330"/>
      <c r="B494" s="1330" t="s">
        <v>722</v>
      </c>
      <c r="C494" s="1330"/>
      <c r="D494" s="1330"/>
      <c r="E494" s="1330"/>
      <c r="F494" s="1330"/>
      <c r="G494" s="1412">
        <f>'Part IV-A-Uses of Funds'!G58</f>
        <v>1000</v>
      </c>
      <c r="H494" s="1412">
        <f>'Part IV-A-Uses of Funds'!H58</f>
        <v>0</v>
      </c>
      <c r="I494" s="1330"/>
      <c r="J494" s="1412">
        <f>'Part IV-A-Uses of Funds'!J58</f>
        <v>0</v>
      </c>
      <c r="K494" s="1412">
        <f>'Part IV-A-Uses of Funds'!K58</f>
        <v>0</v>
      </c>
      <c r="L494" s="1347"/>
      <c r="M494" s="1412">
        <f>'Part IV-A-Uses of Funds'!M58</f>
        <v>0</v>
      </c>
      <c r="N494" s="1412">
        <f>'Part IV-A-Uses of Funds'!N58</f>
        <v>0</v>
      </c>
      <c r="O494" s="1330"/>
      <c r="P494" s="1412">
        <f>'Part IV-A-Uses of Funds'!P58</f>
        <v>1000</v>
      </c>
      <c r="Q494" s="1412">
        <f>'Part IV-A-Uses of Funds'!Q58</f>
        <v>0</v>
      </c>
      <c r="R494" s="1330"/>
      <c r="S494" s="1412">
        <f>'Part IV-A-Uses of Funds'!S58</f>
        <v>0</v>
      </c>
      <c r="T494" s="1412">
        <f>'Part IV-A-Uses of Funds'!T58</f>
        <v>0</v>
      </c>
      <c r="U494" s="1330"/>
      <c r="V494" s="1418"/>
      <c r="W494" s="1203"/>
      <c r="X494" s="1203"/>
    </row>
    <row r="495" spans="1:24" ht="13.8">
      <c r="A495" s="1330"/>
      <c r="B495" s="1330" t="s">
        <v>2348</v>
      </c>
      <c r="C495" s="1330"/>
      <c r="D495" s="1330"/>
      <c r="E495" s="1330"/>
      <c r="F495" s="1330"/>
      <c r="G495" s="1412">
        <f>'Part IV-A-Uses of Funds'!G59</f>
        <v>7000</v>
      </c>
      <c r="H495" s="1412">
        <f>'Part IV-A-Uses of Funds'!H59</f>
        <v>0</v>
      </c>
      <c r="I495" s="1330"/>
      <c r="J495" s="1412">
        <f>'Part IV-A-Uses of Funds'!J59</f>
        <v>0</v>
      </c>
      <c r="K495" s="1412">
        <f>'Part IV-A-Uses of Funds'!K59</f>
        <v>0</v>
      </c>
      <c r="L495" s="1347"/>
      <c r="M495" s="1412">
        <f>'Part IV-A-Uses of Funds'!M59</f>
        <v>0</v>
      </c>
      <c r="N495" s="1412">
        <f>'Part IV-A-Uses of Funds'!N59</f>
        <v>0</v>
      </c>
      <c r="O495" s="1330"/>
      <c r="P495" s="1412">
        <f>'Part IV-A-Uses of Funds'!P59</f>
        <v>7000</v>
      </c>
      <c r="Q495" s="1412">
        <f>'Part IV-A-Uses of Funds'!Q59</f>
        <v>0</v>
      </c>
      <c r="R495" s="1330"/>
      <c r="S495" s="1412">
        <f>'Part IV-A-Uses of Funds'!S59</f>
        <v>0</v>
      </c>
      <c r="T495" s="1412">
        <f>'Part IV-A-Uses of Funds'!T59</f>
        <v>0</v>
      </c>
      <c r="U495" s="1330"/>
      <c r="V495" s="1418"/>
      <c r="W495" s="1203"/>
      <c r="X495" s="1203"/>
    </row>
    <row r="496" spans="1:24" ht="13.8">
      <c r="A496" s="1330"/>
      <c r="B496" s="1330" t="s">
        <v>1275</v>
      </c>
      <c r="C496" s="1330"/>
      <c r="D496" s="1330"/>
      <c r="E496" s="1330"/>
      <c r="F496" s="1330"/>
      <c r="G496" s="1412">
        <f>'Part IV-A-Uses of Funds'!G60</f>
        <v>10000</v>
      </c>
      <c r="H496" s="1412">
        <f>'Part IV-A-Uses of Funds'!H60</f>
        <v>0</v>
      </c>
      <c r="I496" s="1330"/>
      <c r="J496" s="1412">
        <f>'Part IV-A-Uses of Funds'!J60</f>
        <v>0</v>
      </c>
      <c r="K496" s="1412">
        <f>'Part IV-A-Uses of Funds'!K60</f>
        <v>0</v>
      </c>
      <c r="L496" s="1347"/>
      <c r="M496" s="1412">
        <f>'Part IV-A-Uses of Funds'!M60</f>
        <v>0</v>
      </c>
      <c r="N496" s="1412">
        <f>'Part IV-A-Uses of Funds'!N60</f>
        <v>0</v>
      </c>
      <c r="O496" s="1330"/>
      <c r="P496" s="1412">
        <f>'Part IV-A-Uses of Funds'!P60</f>
        <v>10000</v>
      </c>
      <c r="Q496" s="1412">
        <f>'Part IV-A-Uses of Funds'!Q60</f>
        <v>0</v>
      </c>
      <c r="R496" s="1330"/>
      <c r="S496" s="1412">
        <f>'Part IV-A-Uses of Funds'!S60</f>
        <v>0</v>
      </c>
      <c r="T496" s="1412">
        <f>'Part IV-A-Uses of Funds'!T60</f>
        <v>0</v>
      </c>
      <c r="U496" s="1330"/>
      <c r="V496" s="1418"/>
      <c r="W496" s="1203"/>
      <c r="X496" s="1203"/>
    </row>
    <row r="497" spans="1:24" ht="13.8">
      <c r="A497" s="1330"/>
      <c r="B497" s="1439" t="s">
        <v>1152</v>
      </c>
      <c r="C497" s="1330"/>
      <c r="D497" s="1438"/>
      <c r="E497" s="1438"/>
      <c r="F497" s="1440"/>
      <c r="G497" s="1412">
        <f>'Part IV-A-Uses of Funds'!G61</f>
        <v>0</v>
      </c>
      <c r="H497" s="1412">
        <f>'Part IV-A-Uses of Funds'!H61</f>
        <v>0</v>
      </c>
      <c r="I497" s="1336"/>
      <c r="J497" s="1412">
        <f>'Part IV-A-Uses of Funds'!J61</f>
        <v>0</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740</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740</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ht="13.8">
      <c r="A500" s="1330"/>
      <c r="B500" s="1330"/>
      <c r="C500" s="1330"/>
      <c r="D500" s="1330"/>
      <c r="E500" s="1330"/>
      <c r="F500" s="1416" t="s">
        <v>191</v>
      </c>
      <c r="G500" s="1412">
        <f>SUM(G488:H499)</f>
        <v>324000</v>
      </c>
      <c r="H500" s="1412"/>
      <c r="I500" s="1330"/>
      <c r="J500" s="1412">
        <f>SUM(J488:K499)</f>
        <v>0</v>
      </c>
      <c r="K500" s="1412"/>
      <c r="L500" s="1347"/>
      <c r="M500" s="1412">
        <f>SUM(M488:N499)</f>
        <v>0</v>
      </c>
      <c r="N500" s="1412"/>
      <c r="O500" s="1330"/>
      <c r="P500" s="1412">
        <f>SUM(P488:Q499)</f>
        <v>303000</v>
      </c>
      <c r="Q500" s="1412"/>
      <c r="R500" s="1330"/>
      <c r="S500" s="1412">
        <f>SUM(S488:T499)</f>
        <v>21000</v>
      </c>
      <c r="T500" s="1412"/>
      <c r="U500" s="1330"/>
      <c r="V500" s="1418">
        <f>SUM(V488:V499)</f>
        <v>0</v>
      </c>
      <c r="W500" s="1203"/>
      <c r="X500" s="1203"/>
    </row>
    <row r="501" spans="1:24" ht="13.8">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ht="13.8">
      <c r="A502" s="1330"/>
      <c r="B502" s="1330" t="s">
        <v>477</v>
      </c>
      <c r="C502" s="1330"/>
      <c r="D502" s="1330"/>
      <c r="E502" s="1330"/>
      <c r="F502" s="1330"/>
      <c r="G502" s="1412">
        <f>'Part IV-A-Uses of Funds'!G66</f>
        <v>89600</v>
      </c>
      <c r="H502" s="1412">
        <f>'Part IV-A-Uses of Funds'!H66</f>
        <v>0</v>
      </c>
      <c r="I502" s="1330"/>
      <c r="J502" s="1412">
        <f>'Part IV-A-Uses of Funds'!J66</f>
        <v>0</v>
      </c>
      <c r="K502" s="1412">
        <f>'Part IV-A-Uses of Funds'!K66</f>
        <v>0</v>
      </c>
      <c r="L502" s="1347"/>
      <c r="M502" s="1412">
        <f>'Part IV-A-Uses of Funds'!M66</f>
        <v>0</v>
      </c>
      <c r="N502" s="1412">
        <f>'Part IV-A-Uses of Funds'!N66</f>
        <v>0</v>
      </c>
      <c r="O502" s="1330"/>
      <c r="P502" s="1412">
        <f>'Part IV-A-Uses of Funds'!P66</f>
        <v>89600</v>
      </c>
      <c r="Q502" s="1412">
        <f>'Part IV-A-Uses of Funds'!Q66</f>
        <v>0</v>
      </c>
      <c r="R502" s="1330"/>
      <c r="S502" s="1412">
        <f>'Part IV-A-Uses of Funds'!S66</f>
        <v>0</v>
      </c>
      <c r="T502" s="1412">
        <f>'Part IV-A-Uses of Funds'!T66</f>
        <v>0</v>
      </c>
      <c r="U502" s="1330"/>
      <c r="V502" s="1418"/>
      <c r="W502" s="1203"/>
      <c r="X502" s="1203"/>
    </row>
    <row r="503" spans="1:24" ht="13.8">
      <c r="A503" s="1330"/>
      <c r="B503" s="1330" t="s">
        <v>478</v>
      </c>
      <c r="C503" s="1330"/>
      <c r="D503" s="1330"/>
      <c r="E503" s="1330"/>
      <c r="F503" s="1330"/>
      <c r="G503" s="1412">
        <f>'Part IV-A-Uses of Funds'!G67</f>
        <v>22400</v>
      </c>
      <c r="H503" s="1412">
        <f>'Part IV-A-Uses of Funds'!H67</f>
        <v>0</v>
      </c>
      <c r="I503" s="1330"/>
      <c r="J503" s="1412">
        <f>'Part IV-A-Uses of Funds'!J67</f>
        <v>0</v>
      </c>
      <c r="K503" s="1412">
        <f>'Part IV-A-Uses of Funds'!K67</f>
        <v>0</v>
      </c>
      <c r="L503" s="1347"/>
      <c r="M503" s="1412">
        <f>'Part IV-A-Uses of Funds'!M67</f>
        <v>0</v>
      </c>
      <c r="N503" s="1412">
        <f>'Part IV-A-Uses of Funds'!N67</f>
        <v>0</v>
      </c>
      <c r="O503" s="1330"/>
      <c r="P503" s="1412">
        <f>'Part IV-A-Uses of Funds'!P67</f>
        <v>22400</v>
      </c>
      <c r="Q503" s="1412">
        <f>'Part IV-A-Uses of Funds'!Q67</f>
        <v>0</v>
      </c>
      <c r="R503" s="1330"/>
      <c r="S503" s="1412">
        <f>'Part IV-A-Uses of Funds'!S67</f>
        <v>0</v>
      </c>
      <c r="T503" s="1412">
        <f>'Part IV-A-Uses of Funds'!T67</f>
        <v>0</v>
      </c>
      <c r="U503" s="1330"/>
      <c r="V503" s="1418"/>
      <c r="W503" s="1203"/>
      <c r="X503" s="1203"/>
    </row>
    <row r="504" spans="1:24" ht="13.8">
      <c r="A504" s="1330"/>
      <c r="B504" s="1330" t="s">
        <v>1126</v>
      </c>
      <c r="C504" s="1330"/>
      <c r="D504" s="1340" t="s">
        <v>3845</v>
      </c>
      <c r="E504" s="1441">
        <f>'DCA Underwriting Assumptions'!R516</f>
        <v>0</v>
      </c>
      <c r="F504" s="1311" t="str">
        <f>IF(G504&gt;E504,"CHECK!!!","")</f>
        <v>CHECK!!!</v>
      </c>
      <c r="G504" s="1412">
        <f>'Part IV-A-Uses of Funds'!G68</f>
        <v>15000</v>
      </c>
      <c r="H504" s="1412">
        <f>'Part IV-A-Uses of Funds'!H68</f>
        <v>0</v>
      </c>
      <c r="I504" s="1330"/>
      <c r="J504" s="1412">
        <f>'Part IV-A-Uses of Funds'!J68</f>
        <v>0</v>
      </c>
      <c r="K504" s="1412">
        <f>'Part IV-A-Uses of Funds'!K68</f>
        <v>0</v>
      </c>
      <c r="L504" s="1347"/>
      <c r="M504" s="1412">
        <f>'Part IV-A-Uses of Funds'!M68</f>
        <v>0</v>
      </c>
      <c r="N504" s="1412">
        <f>'Part IV-A-Uses of Funds'!N68</f>
        <v>0</v>
      </c>
      <c r="O504" s="1330"/>
      <c r="P504" s="1412">
        <f>'Part IV-A-Uses of Funds'!P68</f>
        <v>15000</v>
      </c>
      <c r="Q504" s="1412">
        <f>'Part IV-A-Uses of Funds'!Q68</f>
        <v>0</v>
      </c>
      <c r="R504" s="1330"/>
      <c r="S504" s="1412">
        <f>'Part IV-A-Uses of Funds'!S68</f>
        <v>0</v>
      </c>
      <c r="T504" s="1412">
        <f>'Part IV-A-Uses of Funds'!T68</f>
        <v>0</v>
      </c>
      <c r="U504" s="1330"/>
      <c r="V504" s="1418"/>
      <c r="W504" s="1203"/>
      <c r="X504" s="1203"/>
    </row>
    <row r="505" spans="1:24" ht="13.8">
      <c r="A505" s="1330"/>
      <c r="B505" s="1330" t="s">
        <v>1127</v>
      </c>
      <c r="C505" s="1330"/>
      <c r="D505" s="1330"/>
      <c r="E505" s="1330"/>
      <c r="F505" s="1330"/>
      <c r="G505" s="1412">
        <f>'Part IV-A-Uses of Funds'!G69</f>
        <v>0</v>
      </c>
      <c r="H505" s="1412">
        <f>'Part IV-A-Uses of Funds'!H69</f>
        <v>0</v>
      </c>
      <c r="I505" s="1330"/>
      <c r="J505" s="1412">
        <f>'Part IV-A-Uses of Funds'!J69</f>
        <v>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ht="13.8">
      <c r="A506" s="1330"/>
      <c r="B506" s="1330" t="s">
        <v>1128</v>
      </c>
      <c r="C506" s="1330"/>
      <c r="D506" s="1330"/>
      <c r="E506" s="1330"/>
      <c r="F506" s="1330"/>
      <c r="G506" s="1412">
        <f>'Part IV-A-Uses of Funds'!G70</f>
        <v>7500</v>
      </c>
      <c r="H506" s="1412">
        <f>'Part IV-A-Uses of Funds'!H70</f>
        <v>0</v>
      </c>
      <c r="I506" s="1330"/>
      <c r="J506" s="1412">
        <f>'Part IV-A-Uses of Funds'!J70</f>
        <v>0</v>
      </c>
      <c r="K506" s="1412">
        <f>'Part IV-A-Uses of Funds'!K70</f>
        <v>0</v>
      </c>
      <c r="L506" s="1347"/>
      <c r="M506" s="1412">
        <f>'Part IV-A-Uses of Funds'!M70</f>
        <v>0</v>
      </c>
      <c r="N506" s="1412">
        <f>'Part IV-A-Uses of Funds'!N70</f>
        <v>0</v>
      </c>
      <c r="O506" s="1330"/>
      <c r="P506" s="1412">
        <f>'Part IV-A-Uses of Funds'!P70</f>
        <v>7500</v>
      </c>
      <c r="Q506" s="1412">
        <f>'Part IV-A-Uses of Funds'!Q70</f>
        <v>0</v>
      </c>
      <c r="R506" s="1330"/>
      <c r="S506" s="1412">
        <f>'Part IV-A-Uses of Funds'!S70</f>
        <v>0</v>
      </c>
      <c r="T506" s="1412">
        <f>'Part IV-A-Uses of Funds'!T70</f>
        <v>0</v>
      </c>
      <c r="U506" s="1330"/>
      <c r="V506" s="1418"/>
      <c r="W506" s="1203"/>
      <c r="X506" s="1203"/>
    </row>
    <row r="507" spans="1:24" ht="13.8">
      <c r="A507" s="1330"/>
      <c r="B507" s="1330" t="s">
        <v>1129</v>
      </c>
      <c r="C507" s="1330"/>
      <c r="D507" s="1330"/>
      <c r="E507" s="1330"/>
      <c r="F507" s="1330"/>
      <c r="G507" s="1412">
        <f>'Part IV-A-Uses of Funds'!G71</f>
        <v>10000</v>
      </c>
      <c r="H507" s="1412">
        <f>'Part IV-A-Uses of Funds'!H71</f>
        <v>0</v>
      </c>
      <c r="I507" s="1330"/>
      <c r="J507" s="1412">
        <f>'Part IV-A-Uses of Funds'!J71</f>
        <v>0</v>
      </c>
      <c r="K507" s="1412">
        <f>'Part IV-A-Uses of Funds'!K71</f>
        <v>0</v>
      </c>
      <c r="L507" s="1347"/>
      <c r="M507" s="1412">
        <f>'Part IV-A-Uses of Funds'!M71</f>
        <v>0</v>
      </c>
      <c r="N507" s="1412">
        <f>'Part IV-A-Uses of Funds'!N71</f>
        <v>0</v>
      </c>
      <c r="O507" s="1330"/>
      <c r="P507" s="1412">
        <f>'Part IV-A-Uses of Funds'!P71</f>
        <v>10000</v>
      </c>
      <c r="Q507" s="1412">
        <f>'Part IV-A-Uses of Funds'!Q71</f>
        <v>0</v>
      </c>
      <c r="R507" s="1330"/>
      <c r="S507" s="1412">
        <f>'Part IV-A-Uses of Funds'!S71</f>
        <v>0</v>
      </c>
      <c r="T507" s="1412">
        <f>'Part IV-A-Uses of Funds'!T71</f>
        <v>0</v>
      </c>
      <c r="U507" s="1330"/>
      <c r="V507" s="1418"/>
      <c r="W507" s="1203"/>
      <c r="X507" s="1203"/>
    </row>
    <row r="508" spans="1:24" ht="13.8">
      <c r="A508" s="1330"/>
      <c r="B508" s="1330" t="s">
        <v>479</v>
      </c>
      <c r="C508" s="1330"/>
      <c r="D508" s="1330"/>
      <c r="E508" s="1330"/>
      <c r="F508" s="1330"/>
      <c r="G508" s="1412">
        <f>'Part IV-A-Uses of Funds'!G72</f>
        <v>50000</v>
      </c>
      <c r="H508" s="1412">
        <f>'Part IV-A-Uses of Funds'!H72</f>
        <v>0</v>
      </c>
      <c r="I508" s="1330"/>
      <c r="J508" s="1412">
        <f>'Part IV-A-Uses of Funds'!J72</f>
        <v>0</v>
      </c>
      <c r="K508" s="1412">
        <f>'Part IV-A-Uses of Funds'!K72</f>
        <v>0</v>
      </c>
      <c r="L508" s="1347"/>
      <c r="M508" s="1412">
        <f>'Part IV-A-Uses of Funds'!M72</f>
        <v>0</v>
      </c>
      <c r="N508" s="1412">
        <f>'Part IV-A-Uses of Funds'!N72</f>
        <v>0</v>
      </c>
      <c r="O508" s="1330"/>
      <c r="P508" s="1412">
        <f>'Part IV-A-Uses of Funds'!P72</f>
        <v>50000</v>
      </c>
      <c r="Q508" s="1412">
        <f>'Part IV-A-Uses of Funds'!Q72</f>
        <v>0</v>
      </c>
      <c r="R508" s="1330"/>
      <c r="S508" s="1412">
        <f>'Part IV-A-Uses of Funds'!S72</f>
        <v>0</v>
      </c>
      <c r="T508" s="1412">
        <f>'Part IV-A-Uses of Funds'!T72</f>
        <v>0</v>
      </c>
      <c r="U508" s="1330"/>
      <c r="V508" s="1418"/>
      <c r="W508" s="1203"/>
      <c r="X508" s="1203"/>
    </row>
    <row r="509" spans="1:24" ht="13.8">
      <c r="A509" s="1330"/>
      <c r="B509" s="1330" t="s">
        <v>480</v>
      </c>
      <c r="C509" s="1330"/>
      <c r="D509" s="1330"/>
      <c r="E509" s="1330"/>
      <c r="F509" s="1330"/>
      <c r="G509" s="1412">
        <f>'Part IV-A-Uses of Funds'!G73</f>
        <v>30000</v>
      </c>
      <c r="H509" s="1412">
        <f>'Part IV-A-Uses of Funds'!H73</f>
        <v>0</v>
      </c>
      <c r="I509" s="1330"/>
      <c r="J509" s="1412">
        <f>'Part IV-A-Uses of Funds'!J73</f>
        <v>0</v>
      </c>
      <c r="K509" s="1412">
        <f>'Part IV-A-Uses of Funds'!K73</f>
        <v>0</v>
      </c>
      <c r="L509" s="1347"/>
      <c r="M509" s="1412">
        <f>'Part IV-A-Uses of Funds'!M73</f>
        <v>0</v>
      </c>
      <c r="N509" s="1412">
        <f>'Part IV-A-Uses of Funds'!N73</f>
        <v>0</v>
      </c>
      <c r="O509" s="1330"/>
      <c r="P509" s="1412">
        <f>'Part IV-A-Uses of Funds'!P73</f>
        <v>15000</v>
      </c>
      <c r="Q509" s="1412">
        <f>'Part IV-A-Uses of Funds'!Q73</f>
        <v>0</v>
      </c>
      <c r="R509" s="1330"/>
      <c r="S509" s="1412">
        <f>'Part IV-A-Uses of Funds'!S73</f>
        <v>15000</v>
      </c>
      <c r="T509" s="1412">
        <f>'Part IV-A-Uses of Funds'!T73</f>
        <v>0</v>
      </c>
      <c r="U509" s="1330"/>
      <c r="V509" s="1418"/>
      <c r="W509" s="1203"/>
      <c r="X509" s="1203"/>
    </row>
    <row r="510" spans="1:24" ht="13.8">
      <c r="A510" s="1330"/>
      <c r="B510" s="1330" t="s">
        <v>2048</v>
      </c>
      <c r="C510" s="1330"/>
      <c r="D510" s="1330"/>
      <c r="E510" s="1330"/>
      <c r="F510" s="1330"/>
      <c r="G510" s="1412">
        <f>'Part IV-A-Uses of Funds'!G74</f>
        <v>16500</v>
      </c>
      <c r="H510" s="1412">
        <f>'Part IV-A-Uses of Funds'!H74</f>
        <v>0</v>
      </c>
      <c r="I510" s="1330"/>
      <c r="J510" s="1412">
        <f>'Part IV-A-Uses of Funds'!J74</f>
        <v>0</v>
      </c>
      <c r="K510" s="1412">
        <f>'Part IV-A-Uses of Funds'!K74</f>
        <v>0</v>
      </c>
      <c r="L510" s="1347"/>
      <c r="M510" s="1412">
        <f>'Part IV-A-Uses of Funds'!M74</f>
        <v>0</v>
      </c>
      <c r="N510" s="1412">
        <f>'Part IV-A-Uses of Funds'!N74</f>
        <v>0</v>
      </c>
      <c r="O510" s="1330"/>
      <c r="P510" s="1412">
        <f>'Part IV-A-Uses of Funds'!P74</f>
        <v>2500</v>
      </c>
      <c r="Q510" s="1412">
        <f>'Part IV-A-Uses of Funds'!Q74</f>
        <v>0</v>
      </c>
      <c r="R510" s="1330"/>
      <c r="S510" s="1412">
        <f>'Part IV-A-Uses of Funds'!S74</f>
        <v>14000</v>
      </c>
      <c r="T510" s="1412">
        <f>'Part IV-A-Uses of Funds'!T74</f>
        <v>0</v>
      </c>
      <c r="U510" s="1330"/>
      <c r="V510" s="1418"/>
      <c r="W510" s="1203"/>
      <c r="X510" s="1203"/>
    </row>
    <row r="511" spans="1:24" ht="13.8">
      <c r="A511" s="1330"/>
      <c r="B511" s="1330" t="s">
        <v>1276</v>
      </c>
      <c r="C511" s="1330"/>
      <c r="D511" s="1330"/>
      <c r="E511" s="1330"/>
      <c r="F511" s="1330"/>
      <c r="G511" s="1412">
        <f>'Part IV-A-Uses of Funds'!G75</f>
        <v>15000</v>
      </c>
      <c r="H511" s="1412">
        <f>'Part IV-A-Uses of Funds'!H75</f>
        <v>0</v>
      </c>
      <c r="I511" s="1330"/>
      <c r="J511" s="1412">
        <f>'Part IV-A-Uses of Funds'!J75</f>
        <v>0</v>
      </c>
      <c r="K511" s="1412">
        <f>'Part IV-A-Uses of Funds'!K75</f>
        <v>0</v>
      </c>
      <c r="L511" s="1347"/>
      <c r="M511" s="1412">
        <f>'Part IV-A-Uses of Funds'!M75</f>
        <v>0</v>
      </c>
      <c r="N511" s="1412">
        <f>'Part IV-A-Uses of Funds'!N75</f>
        <v>0</v>
      </c>
      <c r="O511" s="1330"/>
      <c r="P511" s="1412">
        <f>'Part IV-A-Uses of Funds'!P75</f>
        <v>15000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740</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ht="13.8">
      <c r="A513" s="1330"/>
      <c r="B513" s="1330"/>
      <c r="C513" s="1330"/>
      <c r="D513" s="1330"/>
      <c r="E513" s="1330"/>
      <c r="F513" s="1416" t="s">
        <v>191</v>
      </c>
      <c r="G513" s="1412">
        <f>SUM(G502:H512)</f>
        <v>256000</v>
      </c>
      <c r="H513" s="1412"/>
      <c r="I513" s="1330"/>
      <c r="J513" s="1412">
        <f>SUM(J502:K512)</f>
        <v>0</v>
      </c>
      <c r="K513" s="1412"/>
      <c r="L513" s="1347"/>
      <c r="M513" s="1412">
        <f>SUM(M502:N512)</f>
        <v>0</v>
      </c>
      <c r="N513" s="1412"/>
      <c r="O513" s="1330"/>
      <c r="P513" s="1412">
        <f>SUM(P502:Q512)</f>
        <v>227000</v>
      </c>
      <c r="Q513" s="1412"/>
      <c r="R513" s="1330"/>
      <c r="S513" s="1412">
        <f>SUM(S502:T512)</f>
        <v>29000</v>
      </c>
      <c r="T513" s="1412"/>
      <c r="U513" s="1330"/>
      <c r="V513" s="1418">
        <f>SUM(V502:V512)</f>
        <v>0</v>
      </c>
      <c r="W513" s="1203"/>
      <c r="X513" s="1203"/>
    </row>
    <row r="514" spans="1:24" ht="13.8">
      <c r="A514" s="1330"/>
      <c r="B514" s="1311" t="s">
        <v>1268</v>
      </c>
      <c r="C514" s="1330"/>
      <c r="D514" s="1442" t="s">
        <v>3732</v>
      </c>
      <c r="E514" s="1443">
        <f>G519/'Part VI-Revenues &amp; Expenses'!$O$67</f>
        <v>702.3</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ht="13.8">
      <c r="A515" s="1330"/>
      <c r="B515" s="1330" t="s">
        <v>1269</v>
      </c>
      <c r="C515" s="1330"/>
      <c r="D515" s="1330"/>
      <c r="E515" s="1330"/>
      <c r="F515" s="1330"/>
      <c r="G515" s="1412">
        <f>'Part IV-A-Uses of Funds'!G79</f>
        <v>2092</v>
      </c>
      <c r="H515" s="1412">
        <f>'Part IV-A-Uses of Funds'!H79</f>
        <v>0</v>
      </c>
      <c r="I515" s="1330"/>
      <c r="J515" s="1412">
        <f>'Part IV-A-Uses of Funds'!J79</f>
        <v>0</v>
      </c>
      <c r="K515" s="1412">
        <f>'Part IV-A-Uses of Funds'!K79</f>
        <v>0</v>
      </c>
      <c r="L515" s="1347"/>
      <c r="M515" s="1412">
        <f>'Part IV-A-Uses of Funds'!M79</f>
        <v>0</v>
      </c>
      <c r="N515" s="1412">
        <f>'Part IV-A-Uses of Funds'!N79</f>
        <v>0</v>
      </c>
      <c r="O515" s="1330"/>
      <c r="P515" s="1412">
        <f>'Part IV-A-Uses of Funds'!P79</f>
        <v>2092</v>
      </c>
      <c r="Q515" s="1412">
        <f>'Part IV-A-Uses of Funds'!Q79</f>
        <v>0</v>
      </c>
      <c r="R515" s="1330"/>
      <c r="S515" s="1412">
        <f>'Part IV-A-Uses of Funds'!S79</f>
        <v>0</v>
      </c>
      <c r="T515" s="1412">
        <f>'Part IV-A-Uses of Funds'!T79</f>
        <v>0</v>
      </c>
      <c r="U515" s="1330"/>
      <c r="V515" s="1418"/>
      <c r="W515" s="1203"/>
      <c r="X515" s="1203"/>
    </row>
    <row r="516" spans="1:24" ht="13.8">
      <c r="A516" s="1330"/>
      <c r="B516" s="1330" t="s">
        <v>1270</v>
      </c>
      <c r="C516" s="1330"/>
      <c r="D516" s="1330"/>
      <c r="E516" s="1330"/>
      <c r="F516" s="1330"/>
      <c r="G516" s="1412">
        <f>'Part IV-A-Uses of Funds'!G80</f>
        <v>2000</v>
      </c>
      <c r="H516" s="1412">
        <f>'Part IV-A-Uses of Funds'!H80</f>
        <v>0</v>
      </c>
      <c r="I516" s="1330"/>
      <c r="J516" s="1412">
        <f>'Part IV-A-Uses of Funds'!J80</f>
        <v>0</v>
      </c>
      <c r="K516" s="1412">
        <f>'Part IV-A-Uses of Funds'!K80</f>
        <v>0</v>
      </c>
      <c r="L516" s="1347"/>
      <c r="M516" s="1412">
        <f>'Part IV-A-Uses of Funds'!M80</f>
        <v>0</v>
      </c>
      <c r="N516" s="1412">
        <f>'Part IV-A-Uses of Funds'!N80</f>
        <v>0</v>
      </c>
      <c r="O516" s="1330"/>
      <c r="P516" s="1412">
        <f>'Part IV-A-Uses of Funds'!P80</f>
        <v>2000</v>
      </c>
      <c r="Q516" s="1412">
        <f>'Part IV-A-Uses of Funds'!Q80</f>
        <v>0</v>
      </c>
      <c r="R516" s="1330"/>
      <c r="S516" s="1412">
        <f>'Part IV-A-Uses of Funds'!S80</f>
        <v>0</v>
      </c>
      <c r="T516" s="1412">
        <f>'Part IV-A-Uses of Funds'!T80</f>
        <v>0</v>
      </c>
      <c r="U516" s="1330"/>
      <c r="V516" s="1418"/>
      <c r="W516" s="1203"/>
      <c r="X516" s="1203"/>
    </row>
    <row r="517" spans="1:24" ht="13.8">
      <c r="A517" s="1330"/>
      <c r="B517" s="1330" t="s">
        <v>1271</v>
      </c>
      <c r="C517" s="1330"/>
      <c r="D517" s="1444" t="s">
        <v>1402</v>
      </c>
      <c r="E517" s="1457">
        <f>'Part IV-A-Uses of Funds'!E81</f>
        <v>0</v>
      </c>
      <c r="F517" s="1330"/>
      <c r="G517" s="1412">
        <f>'Part IV-A-Uses of Funds'!G81</f>
        <v>24000</v>
      </c>
      <c r="H517" s="1412">
        <f>'Part IV-A-Uses of Funds'!H81</f>
        <v>0</v>
      </c>
      <c r="I517" s="1336"/>
      <c r="J517" s="1412">
        <f>'Part IV-A-Uses of Funds'!J81</f>
        <v>0</v>
      </c>
      <c r="K517" s="1412">
        <f>'Part IV-A-Uses of Funds'!K81</f>
        <v>0</v>
      </c>
      <c r="L517" s="1347"/>
      <c r="M517" s="1412">
        <f>'Part IV-A-Uses of Funds'!M81</f>
        <v>0</v>
      </c>
      <c r="N517" s="1412">
        <f>'Part IV-A-Uses of Funds'!N81</f>
        <v>0</v>
      </c>
      <c r="O517" s="1330"/>
      <c r="P517" s="1412">
        <f>'Part IV-A-Uses of Funds'!P81</f>
        <v>24000</v>
      </c>
      <c r="Q517" s="1412">
        <f>'Part IV-A-Uses of Funds'!Q81</f>
        <v>0</v>
      </c>
      <c r="R517" s="1330"/>
      <c r="S517" s="1412">
        <f>'Part IV-A-Uses of Funds'!S81</f>
        <v>0</v>
      </c>
      <c r="T517" s="1412">
        <f>'Part IV-A-Uses of Funds'!T81</f>
        <v>0</v>
      </c>
      <c r="U517" s="1330"/>
      <c r="V517" s="1418"/>
      <c r="W517" s="1203"/>
      <c r="X517" s="1203"/>
    </row>
    <row r="518" spans="1:24" ht="13.8">
      <c r="A518" s="1330"/>
      <c r="B518" s="1330" t="s">
        <v>1272</v>
      </c>
      <c r="C518" s="1330"/>
      <c r="D518" s="1444" t="s">
        <v>1402</v>
      </c>
      <c r="E518" s="1457">
        <f>'Part IV-A-Uses of Funds'!E82</f>
        <v>0</v>
      </c>
      <c r="F518" s="1330"/>
      <c r="G518" s="1412">
        <f>'Part IV-A-Uses of Funds'!G82</f>
        <v>0</v>
      </c>
      <c r="H518" s="1412">
        <f>'Part IV-A-Uses of Funds'!H82</f>
        <v>0</v>
      </c>
      <c r="I518" s="1336"/>
      <c r="J518" s="1412">
        <f>'Part IV-A-Uses of Funds'!J82</f>
        <v>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ht="13.8">
      <c r="A519" s="1330"/>
      <c r="B519" s="1330"/>
      <c r="C519" s="1330"/>
      <c r="D519" s="1330"/>
      <c r="E519" s="1330"/>
      <c r="F519" s="1416" t="s">
        <v>191</v>
      </c>
      <c r="G519" s="1412">
        <f>SUM(G515:H518)</f>
        <v>28092</v>
      </c>
      <c r="H519" s="1412"/>
      <c r="I519" s="1330"/>
      <c r="J519" s="1412">
        <f>SUM(J515:K518)</f>
        <v>0</v>
      </c>
      <c r="K519" s="1412"/>
      <c r="L519" s="1347"/>
      <c r="M519" s="1412">
        <f>SUM(M515:N518)</f>
        <v>0</v>
      </c>
      <c r="N519" s="1412"/>
      <c r="O519" s="1330"/>
      <c r="P519" s="1412">
        <f>SUM(P515:Q518)</f>
        <v>28092</v>
      </c>
      <c r="Q519" s="1412"/>
      <c r="R519" s="1330"/>
      <c r="S519" s="1412">
        <f>SUM(S515:T518)</f>
        <v>0</v>
      </c>
      <c r="T519" s="1412"/>
      <c r="U519" s="1330"/>
      <c r="V519" s="1418">
        <f>SUM(V515:V518)</f>
        <v>0</v>
      </c>
      <c r="W519" s="1203"/>
      <c r="X519" s="1203"/>
    </row>
    <row r="520" spans="1:24" ht="13.8">
      <c r="A520" s="1330"/>
      <c r="B520" s="1311" t="s">
        <v>723</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ht="13.8">
      <c r="A521" s="1330"/>
      <c r="B521" s="1330" t="s">
        <v>1273</v>
      </c>
      <c r="C521" s="1330"/>
      <c r="D521" s="1330"/>
      <c r="E521" s="1330"/>
      <c r="F521" s="1330"/>
      <c r="G521" s="1412">
        <f>'Part IV-A-Uses of Funds'!G85</f>
        <v>0</v>
      </c>
      <c r="H521" s="1412">
        <f>'Part IV-A-Uses of Funds'!H85</f>
        <v>0</v>
      </c>
      <c r="I521" s="1330"/>
      <c r="J521" s="1412"/>
      <c r="K521" s="1412"/>
      <c r="L521" s="1347"/>
      <c r="M521" s="1412"/>
      <c r="N521" s="1412"/>
      <c r="O521" s="1330"/>
      <c r="P521" s="1412"/>
      <c r="Q521" s="1412"/>
      <c r="R521" s="1330"/>
      <c r="S521" s="1412">
        <f>'Part IV-A-Uses of Funds'!S85</f>
        <v>0</v>
      </c>
      <c r="T521" s="1412">
        <f>'Part IV-A-Uses of Funds'!T85</f>
        <v>0</v>
      </c>
      <c r="U521" s="1330"/>
      <c r="V521" s="1418"/>
      <c r="W521" s="1203"/>
      <c r="X521" s="1203"/>
    </row>
    <row r="522" spans="1:24" ht="13.8">
      <c r="A522" s="1330"/>
      <c r="B522" s="1330" t="s">
        <v>1274</v>
      </c>
      <c r="C522" s="1330"/>
      <c r="D522" s="1330"/>
      <c r="E522" s="1330"/>
      <c r="F522" s="1330"/>
      <c r="G522" s="1412">
        <f>'Part IV-A-Uses of Funds'!G86</f>
        <v>0</v>
      </c>
      <c r="H522" s="1412">
        <f>'Part IV-A-Uses of Funds'!H86</f>
        <v>0</v>
      </c>
      <c r="I522" s="1330"/>
      <c r="J522" s="1412"/>
      <c r="K522" s="1412"/>
      <c r="L522" s="1347"/>
      <c r="M522" s="1412"/>
      <c r="N522" s="1412"/>
      <c r="O522" s="1330"/>
      <c r="P522" s="1412"/>
      <c r="Q522" s="1412"/>
      <c r="R522" s="1330"/>
      <c r="S522" s="1412">
        <f>'Part IV-A-Uses of Funds'!S86</f>
        <v>0</v>
      </c>
      <c r="T522" s="1412">
        <f>'Part IV-A-Uses of Funds'!T86</f>
        <v>0</v>
      </c>
      <c r="U522" s="1330"/>
      <c r="V522" s="1418"/>
      <c r="W522" s="1203"/>
      <c r="X522" s="1203"/>
    </row>
    <row r="523" spans="1:24" ht="13.8">
      <c r="A523" s="1330"/>
      <c r="B523" s="1330" t="s">
        <v>1275</v>
      </c>
      <c r="C523" s="1330"/>
      <c r="D523" s="1330"/>
      <c r="E523" s="1330"/>
      <c r="F523" s="1330"/>
      <c r="G523" s="1412">
        <f>'Part IV-A-Uses of Funds'!G87</f>
        <v>0</v>
      </c>
      <c r="H523" s="1412">
        <f>'Part IV-A-Uses of Funds'!H87</f>
        <v>0</v>
      </c>
      <c r="I523" s="1330"/>
      <c r="J523" s="1412"/>
      <c r="K523" s="1412"/>
      <c r="L523" s="1347"/>
      <c r="M523" s="1412"/>
      <c r="N523" s="1412"/>
      <c r="O523" s="1330"/>
      <c r="P523" s="1412"/>
      <c r="Q523" s="1412"/>
      <c r="R523" s="1330"/>
      <c r="S523" s="1412">
        <f>'Part IV-A-Uses of Funds'!S87</f>
        <v>0</v>
      </c>
      <c r="T523" s="1412">
        <f>'Part IV-A-Uses of Funds'!T87</f>
        <v>0</v>
      </c>
      <c r="U523" s="1330"/>
      <c r="V523" s="1418"/>
      <c r="W523" s="1203"/>
      <c r="X523" s="1203"/>
    </row>
    <row r="524" spans="1:24" ht="13.8">
      <c r="A524" s="1330"/>
      <c r="B524" s="1330" t="s">
        <v>1277</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ht="13.8">
      <c r="A525" s="1330"/>
      <c r="B525" s="1330" t="s">
        <v>2297</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740</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ht="13.8">
      <c r="A527" s="1330"/>
      <c r="B527" s="1330"/>
      <c r="C527" s="1330"/>
      <c r="D527" s="1330"/>
      <c r="E527" s="1330"/>
      <c r="F527" s="1416" t="s">
        <v>191</v>
      </c>
      <c r="G527" s="1412">
        <f>SUM(G521:H526)</f>
        <v>0</v>
      </c>
      <c r="H527" s="1412"/>
      <c r="I527" s="1330"/>
      <c r="J527" s="1412"/>
      <c r="K527" s="1412"/>
      <c r="L527" s="1347"/>
      <c r="M527" s="1412"/>
      <c r="N527" s="1412"/>
      <c r="O527" s="1330"/>
      <c r="P527" s="1412"/>
      <c r="Q527" s="1412"/>
      <c r="R527" s="1330"/>
      <c r="S527" s="1412">
        <f>SUM(S521:T526)</f>
        <v>0</v>
      </c>
      <c r="T527" s="1412"/>
      <c r="U527" s="1330"/>
      <c r="V527" s="1418">
        <f>SUM(V521:V526)</f>
        <v>0</v>
      </c>
      <c r="W527" s="1203"/>
      <c r="X527" s="1203"/>
    </row>
    <row r="528" spans="1:24" ht="13.8">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615</v>
      </c>
      <c r="B529" s="1411" t="s">
        <v>4507</v>
      </c>
      <c r="C529" s="1330"/>
      <c r="D529" s="1330"/>
      <c r="E529" s="1330"/>
      <c r="F529" s="1330"/>
      <c r="G529" s="1330"/>
      <c r="H529" s="1330"/>
      <c r="I529" s="1330"/>
      <c r="J529" s="1329" t="s">
        <v>271</v>
      </c>
      <c r="K529" s="1329"/>
      <c r="L529" s="1412"/>
      <c r="M529" s="1413" t="s">
        <v>488</v>
      </c>
      <c r="N529" s="1413"/>
      <c r="O529" s="1330"/>
      <c r="P529" s="1329" t="s">
        <v>272</v>
      </c>
      <c r="Q529" s="1329"/>
      <c r="R529" s="1330"/>
      <c r="S529" s="1329" t="s">
        <v>273</v>
      </c>
      <c r="T529" s="1329"/>
      <c r="U529" s="1330"/>
      <c r="V529" s="1414" t="str">
        <f>B529</f>
        <v>DEVELOPMENT BUDGET  (cont'd)</v>
      </c>
      <c r="W529" s="1330"/>
      <c r="X529" s="1330"/>
    </row>
    <row r="530" spans="1:24" ht="13.8">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2682</v>
      </c>
      <c r="W530" s="1330"/>
      <c r="X530" s="1366"/>
    </row>
    <row r="531" spans="1:24" ht="13.8">
      <c r="A531" s="1330"/>
      <c r="B531" s="1311" t="s">
        <v>724</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ht="13.8">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0</v>
      </c>
      <c r="H532" s="1412">
        <f>'Part IV-A-Uses of Funds'!H96</f>
        <v>0</v>
      </c>
      <c r="I532" s="1330"/>
      <c r="J532" s="1347"/>
      <c r="K532" s="1347"/>
      <c r="L532" s="1347"/>
      <c r="M532" s="1347"/>
      <c r="N532" s="1347"/>
      <c r="O532" s="1330"/>
      <c r="P532" s="1347"/>
      <c r="Q532" s="1347"/>
      <c r="R532" s="1330"/>
      <c r="S532" s="1412">
        <f>'Part IV-A-Uses of Funds'!S96</f>
        <v>0</v>
      </c>
      <c r="T532" s="1412">
        <f>'Part IV-A-Uses of Funds'!T96</f>
        <v>0</v>
      </c>
      <c r="U532" s="1330"/>
      <c r="V532" s="1418"/>
      <c r="W532" s="1203"/>
      <c r="X532" s="1203"/>
    </row>
    <row r="533" spans="1:24" ht="13.8">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6500</v>
      </c>
      <c r="T533" s="1412">
        <f>'Part IV-A-Uses of Funds'!T97</f>
        <v>0</v>
      </c>
      <c r="U533" s="1330"/>
      <c r="V533" s="1418"/>
      <c r="W533" s="1203"/>
      <c r="X533" s="1203"/>
    </row>
    <row r="534" spans="1:24" ht="13.8">
      <c r="A534" s="1330"/>
      <c r="B534" s="1330" t="s">
        <v>3947</v>
      </c>
      <c r="C534" s="1330"/>
      <c r="D534" s="1330"/>
      <c r="E534" s="1330"/>
      <c r="F534" s="1330"/>
      <c r="G534" s="1412">
        <f>'Part IV-A-Uses of Funds'!G98</f>
        <v>1500</v>
      </c>
      <c r="H534" s="1412">
        <f>'Part IV-A-Uses of Funds'!H98</f>
        <v>0</v>
      </c>
      <c r="I534" s="1330"/>
      <c r="J534" s="1347"/>
      <c r="K534" s="1347"/>
      <c r="L534" s="1445"/>
      <c r="M534" s="1347"/>
      <c r="N534" s="1347"/>
      <c r="O534" s="1330"/>
      <c r="P534" s="1347"/>
      <c r="Q534" s="1347"/>
      <c r="R534" s="1330"/>
      <c r="S534" s="1412">
        <f>'Part IV-A-Uses of Funds'!S98</f>
        <v>1500</v>
      </c>
      <c r="T534" s="1412">
        <f>'Part IV-A-Uses of Funds'!T98</f>
        <v>0</v>
      </c>
      <c r="U534" s="1330"/>
      <c r="V534" s="1418"/>
      <c r="W534" s="1203"/>
      <c r="X534" s="1203"/>
    </row>
    <row r="535" spans="1:24" ht="13.8">
      <c r="A535" s="1330"/>
      <c r="B535" s="1330" t="s">
        <v>518</v>
      </c>
      <c r="C535" s="1330"/>
      <c r="D535" s="1330"/>
      <c r="E535" s="1446">
        <f>'DCA Underwriting Assumptions'!$Q$88*J611</f>
        <v>29534.48</v>
      </c>
      <c r="F535" s="1446"/>
      <c r="G535" s="1412">
        <f>'Part IV-A-Uses of Funds'!G99</f>
        <v>29533</v>
      </c>
      <c r="H535" s="1412">
        <f>'Part IV-A-Uses of Funds'!H99</f>
        <v>0</v>
      </c>
      <c r="I535" s="1330"/>
      <c r="J535" s="1447" t="str">
        <f>IF(E535&gt;G535,"WARNING!  LIHTC Allocation Fee proposed is below minimum required.","")</f>
        <v>WARNING!  LIHTC Allocation Fee proposed is below minimum required.</v>
      </c>
      <c r="K535" s="1347"/>
      <c r="L535" s="1347"/>
      <c r="M535" s="1347"/>
      <c r="N535" s="1347"/>
      <c r="O535" s="1330"/>
      <c r="P535" s="1347"/>
      <c r="Q535" s="1347"/>
      <c r="R535" s="1330"/>
      <c r="S535" s="1412">
        <f>'Part IV-A-Uses of Funds'!S99</f>
        <v>29533</v>
      </c>
      <c r="T535" s="1412">
        <f>'Part IV-A-Uses of Funds'!T99</f>
        <v>0</v>
      </c>
      <c r="U535" s="1330"/>
      <c r="V535" s="1418"/>
      <c r="W535" s="1203"/>
      <c r="X535" s="1203"/>
    </row>
    <row r="536" spans="1:24" ht="13.8">
      <c r="A536" s="1330"/>
      <c r="B536" s="1330" t="s">
        <v>752</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32000</v>
      </c>
      <c r="F536" s="1446"/>
      <c r="G536" s="1412">
        <f>'Part IV-A-Uses of Funds'!G100</f>
        <v>32000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32000</v>
      </c>
      <c r="T536" s="1412">
        <f>'Part IV-A-Uses of Funds'!T100</f>
        <v>0</v>
      </c>
      <c r="U536" s="1330"/>
      <c r="V536" s="1418"/>
      <c r="W536" s="1203"/>
      <c r="X536" s="1203"/>
    </row>
    <row r="537" spans="1:24" ht="13.8">
      <c r="A537" s="1330"/>
      <c r="B537" s="1330" t="s">
        <v>4238</v>
      </c>
      <c r="C537" s="1330"/>
      <c r="D537" s="1330"/>
      <c r="E537" s="1330"/>
      <c r="F537" s="1448">
        <f>'DCA Underwriting Assumptions'!$Q$90</f>
        <v>3000</v>
      </c>
      <c r="G537" s="1412">
        <f>'Part IV-A-Uses of Funds'!G101</f>
        <v>0</v>
      </c>
      <c r="H537" s="1412">
        <f>'Part IV-A-Uses of Funds'!H101</f>
        <v>0</v>
      </c>
      <c r="I537" s="1330"/>
      <c r="J537" s="1336"/>
      <c r="K537" s="1336"/>
      <c r="L537" s="1336"/>
      <c r="M537" s="1336"/>
      <c r="N537" s="1336"/>
      <c r="O537" s="1336"/>
      <c r="P537" s="1336"/>
      <c r="Q537" s="1336"/>
      <c r="R537" s="1330"/>
      <c r="S537" s="1412">
        <f>'Part IV-A-Uses of Funds'!S101</f>
        <v>0</v>
      </c>
      <c r="T537" s="1412">
        <f>'Part IV-A-Uses of Funds'!T101</f>
        <v>0</v>
      </c>
      <c r="U537" s="1330"/>
      <c r="V537" s="1418"/>
      <c r="W537" s="1203"/>
      <c r="X537" s="1203"/>
    </row>
    <row r="538" spans="1:24" ht="13.8">
      <c r="A538" s="1330"/>
      <c r="B538" s="1330" t="s">
        <v>4239</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3000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740</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740</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ht="13.8">
      <c r="A541" s="1330"/>
      <c r="B541" s="1330"/>
      <c r="C541" s="1330"/>
      <c r="D541" s="1330"/>
      <c r="E541" s="1330"/>
      <c r="F541" s="1416" t="s">
        <v>191</v>
      </c>
      <c r="G541" s="1412">
        <f>SUM(G532:H540)</f>
        <v>72533</v>
      </c>
      <c r="H541" s="1412"/>
      <c r="I541" s="1330"/>
      <c r="J541" s="1347"/>
      <c r="K541" s="1347"/>
      <c r="L541" s="1347"/>
      <c r="M541" s="1347"/>
      <c r="N541" s="1347"/>
      <c r="O541" s="1330"/>
      <c r="P541" s="1347"/>
      <c r="Q541" s="1347"/>
      <c r="R541" s="1330"/>
      <c r="S541" s="1412">
        <f>SUM(S532:T540)</f>
        <v>72533</v>
      </c>
      <c r="T541" s="1412"/>
      <c r="U541" s="1330"/>
      <c r="V541" s="1418">
        <f>SUM(V532:V540)</f>
        <v>0</v>
      </c>
      <c r="W541" s="1521"/>
      <c r="X541" s="1521"/>
    </row>
    <row r="542" spans="1:24" ht="13.8">
      <c r="A542" s="1330"/>
      <c r="B542" s="1311" t="s">
        <v>2298</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ht="13.8">
      <c r="A543" s="1330"/>
      <c r="B543" s="1330" t="s">
        <v>279</v>
      </c>
      <c r="C543" s="1330"/>
      <c r="D543" s="1330"/>
      <c r="E543" s="1330"/>
      <c r="F543" s="1330"/>
      <c r="G543" s="1412">
        <f>'Part IV-A-Uses of Funds'!G107</f>
        <v>0</v>
      </c>
      <c r="H543" s="1412">
        <f>'Part IV-A-Uses of Funds'!H107</f>
        <v>0</v>
      </c>
      <c r="I543" s="1330"/>
      <c r="J543" s="1412"/>
      <c r="K543" s="1412"/>
      <c r="L543" s="1347"/>
      <c r="M543" s="1412"/>
      <c r="N543" s="1412"/>
      <c r="O543" s="1330"/>
      <c r="P543" s="1412"/>
      <c r="Q543" s="1412"/>
      <c r="R543" s="1330"/>
      <c r="S543" s="1412">
        <f>'Part IV-A-Uses of Funds'!S107</f>
        <v>0</v>
      </c>
      <c r="T543" s="1412">
        <f>'Part IV-A-Uses of Funds'!T107</f>
        <v>0</v>
      </c>
      <c r="U543" s="1330"/>
      <c r="V543" s="1418"/>
      <c r="W543" s="1203"/>
      <c r="X543" s="1203"/>
    </row>
    <row r="544" spans="1:24" ht="13.8">
      <c r="A544" s="1330"/>
      <c r="B544" s="1330" t="s">
        <v>280</v>
      </c>
      <c r="C544" s="1330"/>
      <c r="D544" s="1330"/>
      <c r="E544" s="1330"/>
      <c r="F544" s="1330"/>
      <c r="G544" s="1412">
        <f>'Part IV-A-Uses of Funds'!G108</f>
        <v>4000</v>
      </c>
      <c r="H544" s="1412">
        <f>'Part IV-A-Uses of Funds'!H108</f>
        <v>0</v>
      </c>
      <c r="I544" s="1330"/>
      <c r="J544" s="1412"/>
      <c r="K544" s="1412"/>
      <c r="L544" s="1347"/>
      <c r="M544" s="1412"/>
      <c r="N544" s="1412"/>
      <c r="O544" s="1330"/>
      <c r="P544" s="1412"/>
      <c r="Q544" s="1412"/>
      <c r="R544" s="1330"/>
      <c r="S544" s="1412">
        <f>'Part IV-A-Uses of Funds'!S108</f>
        <v>4000</v>
      </c>
      <c r="T544" s="1412">
        <f>'Part IV-A-Uses of Funds'!T108</f>
        <v>0</v>
      </c>
      <c r="U544" s="1330"/>
      <c r="V544" s="1418"/>
      <c r="W544" s="1203"/>
      <c r="X544" s="1203"/>
    </row>
    <row r="545" spans="1:24" ht="13.8">
      <c r="A545" s="1330"/>
      <c r="B545" s="1330" t="s">
        <v>2385</v>
      </c>
      <c r="C545" s="1330"/>
      <c r="D545" s="1330"/>
      <c r="E545" s="1330"/>
      <c r="F545" s="1330"/>
      <c r="G545" s="1412">
        <f>'Part IV-A-Uses of Funds'!G109</f>
        <v>37500</v>
      </c>
      <c r="H545" s="1412">
        <f>'Part IV-A-Uses of Funds'!H109</f>
        <v>0</v>
      </c>
      <c r="I545" s="1330"/>
      <c r="J545" s="1412"/>
      <c r="K545" s="1412"/>
      <c r="L545" s="1347"/>
      <c r="M545" s="1412"/>
      <c r="N545" s="1412"/>
      <c r="O545" s="1330"/>
      <c r="P545" s="1412"/>
      <c r="Q545" s="1412"/>
      <c r="R545" s="1330"/>
      <c r="S545" s="1412">
        <f>'Part IV-A-Uses of Funds'!S109</f>
        <v>37500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740</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ht="13.8">
      <c r="A547" s="1330"/>
      <c r="B547" s="1330"/>
      <c r="C547" s="1330"/>
      <c r="D547" s="1330"/>
      <c r="E547" s="1330"/>
      <c r="F547" s="1416" t="s">
        <v>191</v>
      </c>
      <c r="G547" s="1412">
        <f>SUM(G543:H546)</f>
        <v>41500</v>
      </c>
      <c r="H547" s="1412"/>
      <c r="I547" s="1330"/>
      <c r="J547" s="1412"/>
      <c r="K547" s="1412"/>
      <c r="L547" s="1347"/>
      <c r="M547" s="1412"/>
      <c r="N547" s="1412"/>
      <c r="O547" s="1330"/>
      <c r="P547" s="1412"/>
      <c r="Q547" s="1412"/>
      <c r="R547" s="1330"/>
      <c r="S547" s="1412">
        <f>SUM(S543:T546)</f>
        <v>41500</v>
      </c>
      <c r="T547" s="1412"/>
      <c r="U547" s="1330"/>
      <c r="V547" s="1418">
        <f>SUM(V543:V546)</f>
        <v>0</v>
      </c>
      <c r="W547" s="1203"/>
      <c r="X547" s="1203"/>
    </row>
    <row r="548" spans="1:24" ht="13.8">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ht="13.8">
      <c r="A549" s="1330"/>
      <c r="B549" s="1330" t="s">
        <v>1859</v>
      </c>
      <c r="C549" s="1330"/>
      <c r="D549" s="1330"/>
      <c r="E549" s="1330"/>
      <c r="F549" s="1399">
        <f>IF($G$118=0,0,G549/$G$118)</f>
        <v>0</v>
      </c>
      <c r="G549" s="1412">
        <f>'Part IV-A-Uses of Funds'!G113</f>
        <v>184020</v>
      </c>
      <c r="H549" s="1412">
        <f>'Part IV-A-Uses of Funds'!H113</f>
        <v>0</v>
      </c>
      <c r="I549" s="1330"/>
      <c r="J549" s="1412">
        <f>'Part IV-A-Uses of Funds'!J113</f>
        <v>0</v>
      </c>
      <c r="K549" s="1412">
        <f>'Part IV-A-Uses of Funds'!K113</f>
        <v>0</v>
      </c>
      <c r="L549" s="1417"/>
      <c r="M549" s="1412">
        <f>'Part IV-A-Uses of Funds'!M113</f>
        <v>0</v>
      </c>
      <c r="N549" s="1412">
        <f>'Part IV-A-Uses of Funds'!N113</f>
        <v>0</v>
      </c>
      <c r="O549" s="1330"/>
      <c r="P549" s="1412">
        <f>'Part IV-A-Uses of Funds'!P113</f>
        <v>184020</v>
      </c>
      <c r="Q549" s="1412">
        <f>'Part IV-A-Uses of Funds'!Q113</f>
        <v>0</v>
      </c>
      <c r="R549" s="1330"/>
      <c r="S549" s="1412">
        <f>'Part IV-A-Uses of Funds'!S113</f>
        <v>0</v>
      </c>
      <c r="T549" s="1412">
        <f>'Part IV-A-Uses of Funds'!T113</f>
        <v>0</v>
      </c>
      <c r="U549" s="1330"/>
      <c r="V549" s="1418"/>
      <c r="W549" s="1203"/>
      <c r="X549" s="1203"/>
    </row>
    <row r="550" spans="1:24" ht="13.8">
      <c r="A550" s="1330"/>
      <c r="B550" s="1330" t="s">
        <v>4194</v>
      </c>
      <c r="C550" s="1330"/>
      <c r="D550" s="1330"/>
      <c r="E550" s="1330"/>
      <c r="F550" s="1819">
        <f>'Part IV-A-Uses of Funds'!F114</f>
        <v>0</v>
      </c>
      <c r="G550" s="1330"/>
      <c r="H550" s="1330"/>
      <c r="I550" s="1330"/>
      <c r="J550" s="1330"/>
      <c r="K550" s="1330"/>
      <c r="L550" s="1330"/>
      <c r="M550" s="1330"/>
      <c r="N550" s="1330"/>
      <c r="O550" s="1330"/>
      <c r="P550" s="1330"/>
      <c r="Q550" s="1330"/>
      <c r="R550" s="1330"/>
      <c r="S550" s="1330"/>
      <c r="T550" s="1330"/>
      <c r="U550" s="1330"/>
      <c r="V550" s="1418"/>
      <c r="W550" s="1203"/>
      <c r="X550" s="1203"/>
    </row>
    <row r="551" spans="1:24" ht="13.8">
      <c r="A551" s="1330"/>
      <c r="B551" s="1330" t="s">
        <v>1860</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ht="13.8">
      <c r="A552" s="1330"/>
      <c r="B552" s="1330" t="s">
        <v>3631</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ht="13.8">
      <c r="A553" s="1330"/>
      <c r="B553" s="1330" t="s">
        <v>1852</v>
      </c>
      <c r="C553" s="1330"/>
      <c r="D553" s="1330"/>
      <c r="E553" s="1330"/>
      <c r="F553" s="1399">
        <f>IF($G$118=0,0,G553/$G$118)</f>
        <v>0</v>
      </c>
      <c r="G553" s="1412">
        <f>'Part IV-A-Uses of Funds'!G117</f>
        <v>184020</v>
      </c>
      <c r="H553" s="1412">
        <f>'Part IV-A-Uses of Funds'!H117</f>
        <v>0</v>
      </c>
      <c r="I553" s="1330"/>
      <c r="J553" s="1412">
        <f>'Part IV-A-Uses of Funds'!J117</f>
        <v>0</v>
      </c>
      <c r="K553" s="1412">
        <f>'Part IV-A-Uses of Funds'!K117</f>
        <v>0</v>
      </c>
      <c r="L553" s="1347"/>
      <c r="M553" s="1412">
        <f>'Part IV-A-Uses of Funds'!M117</f>
        <v>0</v>
      </c>
      <c r="N553" s="1412">
        <f>'Part IV-A-Uses of Funds'!N117</f>
        <v>0</v>
      </c>
      <c r="O553" s="1330"/>
      <c r="P553" s="1412">
        <f>'Part IV-A-Uses of Funds'!P117</f>
        <v>184020</v>
      </c>
      <c r="Q553" s="1412">
        <f>'Part IV-A-Uses of Funds'!Q117</f>
        <v>0</v>
      </c>
      <c r="R553" s="1330"/>
      <c r="S553" s="1412">
        <f>'Part IV-A-Uses of Funds'!S117</f>
        <v>0</v>
      </c>
      <c r="T553" s="1412">
        <f>'Part IV-A-Uses of Funds'!T117</f>
        <v>0</v>
      </c>
      <c r="U553" s="1330"/>
      <c r="V553" s="1418"/>
      <c r="W553" s="1203"/>
      <c r="X553" s="1203"/>
    </row>
    <row r="554" spans="1:24" ht="13.8">
      <c r="A554" s="1330"/>
      <c r="B554" s="1330"/>
      <c r="C554" s="1331"/>
      <c r="D554" s="1330"/>
      <c r="E554" s="1330"/>
      <c r="F554" s="1416" t="s">
        <v>191</v>
      </c>
      <c r="G554" s="1412">
        <f>SUM(G549:H553)</f>
        <v>368040</v>
      </c>
      <c r="H554" s="1412"/>
      <c r="I554" s="1330"/>
      <c r="J554" s="1412">
        <f>SUM(J549:K553)</f>
        <v>0</v>
      </c>
      <c r="K554" s="1412"/>
      <c r="L554" s="1347"/>
      <c r="M554" s="1412">
        <f>SUM(M549:N553)</f>
        <v>0</v>
      </c>
      <c r="N554" s="1412"/>
      <c r="O554" s="1330"/>
      <c r="P554" s="1412">
        <f>SUM(P549:Q553)</f>
        <v>368040</v>
      </c>
      <c r="Q554" s="1412"/>
      <c r="R554" s="1330"/>
      <c r="S554" s="1412">
        <f>SUM(S549:T553)</f>
        <v>0</v>
      </c>
      <c r="T554" s="1412"/>
      <c r="U554" s="1330"/>
      <c r="V554" s="1418">
        <f>SUM(V549:V553)</f>
        <v>0</v>
      </c>
      <c r="W554" s="1203"/>
      <c r="X554" s="1203"/>
    </row>
    <row r="555" spans="1:24" ht="13.8">
      <c r="A555" s="1330"/>
      <c r="B555" s="1311" t="s">
        <v>1308</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ht="13.8">
      <c r="A556" s="1330"/>
      <c r="B556" s="1330" t="s">
        <v>251</v>
      </c>
      <c r="C556" s="1330"/>
      <c r="D556" s="1330"/>
      <c r="E556" s="1330"/>
      <c r="F556" s="1330"/>
      <c r="G556" s="1412">
        <f>'Part IV-A-Uses of Funds'!G120</f>
        <v>7500</v>
      </c>
      <c r="H556" s="1412">
        <f>'Part IV-A-Uses of Funds'!H120</f>
        <v>0</v>
      </c>
      <c r="I556" s="1330"/>
      <c r="J556" s="1445"/>
      <c r="K556" s="1445"/>
      <c r="L556" s="1445"/>
      <c r="M556" s="1445"/>
      <c r="N556" s="1445"/>
      <c r="O556" s="1330"/>
      <c r="P556" s="1445"/>
      <c r="Q556" s="1445"/>
      <c r="R556" s="1330"/>
      <c r="S556" s="1412">
        <f>'Part IV-A-Uses of Funds'!S120</f>
        <v>7500</v>
      </c>
      <c r="T556" s="1412">
        <f>'Part IV-A-Uses of Funds'!T120</f>
        <v>0</v>
      </c>
      <c r="U556" s="1330"/>
      <c r="V556" s="1418"/>
      <c r="W556" s="1203"/>
      <c r="X556" s="1203"/>
    </row>
    <row r="557" spans="1:24" ht="13.8">
      <c r="A557" s="1330"/>
      <c r="B557" s="1330" t="s">
        <v>1535</v>
      </c>
      <c r="C557" s="1330"/>
      <c r="D557" s="1330"/>
      <c r="E557" s="1330"/>
      <c r="F557" s="1449">
        <f>+'Part VI-Revenues &amp; Expenses'!$P$226*('DCA Underwriting Assumptions'!$Q$112/12)</f>
        <v>39783.25</v>
      </c>
      <c r="G557" s="1412">
        <f>'Part IV-A-Uses of Funds'!G121</f>
        <v>43283</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43283</v>
      </c>
      <c r="T557" s="1412">
        <f>'Part IV-A-Uses of Funds'!T121</f>
        <v>0</v>
      </c>
      <c r="U557" s="1330"/>
      <c r="V557" s="1418"/>
      <c r="W557" s="1203"/>
      <c r="X557" s="1203"/>
    </row>
    <row r="558" spans="1:24" ht="13.8">
      <c r="A558" s="1330"/>
      <c r="B558" s="1330" t="s">
        <v>677</v>
      </c>
      <c r="C558" s="1330"/>
      <c r="D558" s="1330"/>
      <c r="E558" s="1330"/>
      <c r="F558" s="1451">
        <f>'Part VI-Revenues &amp; Expenses'!$P$226*('DCA Underwriting Assumptions'!$Q$111/12)+('Part VII-Pro Forma'!$B$25+'Part VII-Pro Forma'!$B$26+'Part VII-Pro Forma'!$B$27+'Part VII-Pro Forma'!$B$28)*'DCA Underwriting Assumptions'!$Q$110/(-12)</f>
        <v>79566.5</v>
      </c>
      <c r="G558" s="1412">
        <f>'Part IV-A-Uses of Funds'!G122</f>
        <v>86567</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86567</v>
      </c>
      <c r="T558" s="1412">
        <f>'Part IV-A-Uses of Funds'!T122</f>
        <v>0</v>
      </c>
      <c r="U558" s="1330"/>
      <c r="V558" s="1418"/>
      <c r="W558" s="1203"/>
      <c r="X558" s="1203"/>
    </row>
    <row r="559" spans="1:24" ht="13.8">
      <c r="A559" s="1330"/>
      <c r="B559" s="1330" t="s">
        <v>1243</v>
      </c>
      <c r="C559" s="1330"/>
      <c r="D559" s="1330"/>
      <c r="E559" s="1330"/>
      <c r="F559" s="1330"/>
      <c r="G559" s="1412">
        <f>'Part IV-A-Uses of Funds'!G123</f>
        <v>7500</v>
      </c>
      <c r="H559" s="1412">
        <f>'Part IV-A-Uses of Funds'!H123</f>
        <v>0</v>
      </c>
      <c r="I559" s="1330"/>
      <c r="J559" s="1445"/>
      <c r="K559" s="1445"/>
      <c r="L559" s="1445"/>
      <c r="M559" s="1445"/>
      <c r="N559" s="1445"/>
      <c r="O559" s="1330"/>
      <c r="P559" s="1445"/>
      <c r="Q559" s="1445"/>
      <c r="R559" s="1330"/>
      <c r="S559" s="1412">
        <f>'Part IV-A-Uses of Funds'!S123</f>
        <v>7500</v>
      </c>
      <c r="T559" s="1412">
        <f>'Part IV-A-Uses of Funds'!T123</f>
        <v>0</v>
      </c>
      <c r="U559" s="1330"/>
      <c r="V559" s="1418"/>
      <c r="W559" s="1203"/>
      <c r="X559" s="1203"/>
    </row>
    <row r="560" spans="1:24" ht="13.8">
      <c r="A560" s="1330"/>
      <c r="B560" s="1330" t="s">
        <v>1244</v>
      </c>
      <c r="C560" s="1330"/>
      <c r="D560" s="1330"/>
      <c r="E560" s="1377" t="s">
        <v>3564</v>
      </c>
      <c r="F560" s="1419">
        <f>IF('Part VI-Revenues &amp; Expenses'!$O$67=0,0,G560/'Part VI-Revenues &amp; Expenses'!$O$67)</f>
        <v>338.9</v>
      </c>
      <c r="G560" s="1412">
        <f>'Part IV-A-Uses of Funds'!G124</f>
        <v>13556</v>
      </c>
      <c r="H560" s="1412">
        <f>'Part IV-A-Uses of Funds'!H124</f>
        <v>0</v>
      </c>
      <c r="I560" s="1330"/>
      <c r="J560" s="1412">
        <f>'Part IV-A-Uses of Funds'!J124</f>
        <v>0</v>
      </c>
      <c r="K560" s="1412">
        <f>'Part IV-A-Uses of Funds'!K124</f>
        <v>0</v>
      </c>
      <c r="L560" s="1347"/>
      <c r="M560" s="1412">
        <f>'Part IV-A-Uses of Funds'!M124</f>
        <v>0</v>
      </c>
      <c r="N560" s="1412">
        <f>'Part IV-A-Uses of Funds'!N124</f>
        <v>0</v>
      </c>
      <c r="O560" s="1330"/>
      <c r="P560" s="1412">
        <f>'Part IV-A-Uses of Funds'!P124</f>
        <v>13556</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740</v>
      </c>
      <c r="C561" s="1342" t="str">
        <f>'Part IV-A-Uses of Funds'!C125</f>
        <v>T &amp; I Escrow--$37,680; Asset Mgmt Fees --$45,000</v>
      </c>
      <c r="D561" s="1342">
        <f>'Part IV-A-Uses of Funds'!D125</f>
        <v>0</v>
      </c>
      <c r="E561" s="1342">
        <f>'Part IV-A-Uses of Funds'!E125</f>
        <v>0</v>
      </c>
      <c r="F561" s="1342">
        <f>'Part IV-A-Uses of Funds'!F125</f>
        <v>0</v>
      </c>
      <c r="G561" s="1412">
        <f>'Part IV-A-Uses of Funds'!G125</f>
        <v>82680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82680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ht="13.8">
      <c r="A562" s="1330"/>
      <c r="B562" s="1452"/>
      <c r="C562" s="1330"/>
      <c r="D562" s="1330"/>
      <c r="E562" s="1330"/>
      <c r="F562" s="1416" t="s">
        <v>191</v>
      </c>
      <c r="G562" s="1412">
        <f>SUM(G556:H561)</f>
        <v>241086</v>
      </c>
      <c r="H562" s="1412"/>
      <c r="I562" s="1330"/>
      <c r="J562" s="1412">
        <f>SUM(J560:K561)</f>
        <v>0</v>
      </c>
      <c r="K562" s="1412"/>
      <c r="L562" s="1347"/>
      <c r="M562" s="1412">
        <f>SUM(M560:N561)</f>
        <v>0</v>
      </c>
      <c r="N562" s="1412"/>
      <c r="O562" s="1330"/>
      <c r="P562" s="1412">
        <f>SUM(P560:Q561)</f>
        <v>13556</v>
      </c>
      <c r="Q562" s="1412"/>
      <c r="R562" s="1330"/>
      <c r="S562" s="1412">
        <f>SUM(S556:T561)</f>
        <v>227530</v>
      </c>
      <c r="T562" s="1412"/>
      <c r="U562" s="1330"/>
      <c r="V562" s="1418">
        <f>SUM(V556:V561)</f>
        <v>0</v>
      </c>
      <c r="W562" s="1203"/>
      <c r="X562" s="1203"/>
    </row>
    <row r="563" spans="1:24" ht="13.8">
      <c r="A563" s="1330"/>
      <c r="B563" s="1311" t="s">
        <v>609</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ht="13.8">
      <c r="A564" s="1330"/>
      <c r="B564" s="1330" t="s">
        <v>610</v>
      </c>
      <c r="C564" s="1337"/>
      <c r="D564" s="1330"/>
      <c r="E564" s="1330"/>
      <c r="F564" s="1330"/>
      <c r="G564" s="1412">
        <f>'Part IV-A-Uses of Funds'!G128</f>
        <v>85000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85000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740</v>
      </c>
      <c r="C565" s="1342" t="str">
        <f>'Part IV-A-Uses of Funds'!C129</f>
        <v>Relocation cost explanation included on Tab IV-B-Other Items</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ht="13.8">
      <c r="A566" s="1330"/>
      <c r="B566" s="1330"/>
      <c r="C566" s="1337"/>
      <c r="D566" s="1330"/>
      <c r="E566" s="1330"/>
      <c r="F566" s="1416" t="s">
        <v>191</v>
      </c>
      <c r="G566" s="1412">
        <f>SUM(G564:H565)</f>
        <v>85000</v>
      </c>
      <c r="H566" s="1412"/>
      <c r="I566" s="1330"/>
      <c r="J566" s="1412">
        <f>SUM(J564:K565)</f>
        <v>0</v>
      </c>
      <c r="K566" s="1412"/>
      <c r="L566" s="1347"/>
      <c r="M566" s="1412">
        <f>SUM(M564:N565)</f>
        <v>0</v>
      </c>
      <c r="N566" s="1412"/>
      <c r="O566" s="1330"/>
      <c r="P566" s="1412">
        <f>SUM(P564:Q565)</f>
        <v>0</v>
      </c>
      <c r="Q566" s="1412"/>
      <c r="R566" s="1330"/>
      <c r="S566" s="1412">
        <f>SUM(S564:T565)</f>
        <v>85000</v>
      </c>
      <c r="T566" s="1412"/>
      <c r="U566" s="1330"/>
      <c r="V566" s="1418">
        <f>SUM(V564:V565)</f>
        <v>0</v>
      </c>
      <c r="W566" s="1203"/>
      <c r="X566" s="1203"/>
    </row>
    <row r="567" spans="1:24" ht="13.8">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ht="13.8">
      <c r="A568" s="1330"/>
      <c r="B568" s="1331" t="s">
        <v>4508</v>
      </c>
      <c r="C568" s="1330"/>
      <c r="D568" s="1330"/>
      <c r="E568" s="1330"/>
      <c r="F568" s="1330"/>
      <c r="G568" s="1454">
        <f>G453+G459+G463+G469+G474+G477+G483+G500+G513+G519+G527+G541+G547+G554+G562+G566</f>
        <v>5168536</v>
      </c>
      <c r="H568" s="1454"/>
      <c r="I568" s="1330"/>
      <c r="J568" s="1454">
        <f>J453+J459+J463+J469+J474+J477+J483+J500+J513+J519+J527+J541+J547+J554+J562+J566</f>
        <v>0</v>
      </c>
      <c r="K568" s="1454"/>
      <c r="L568" s="1330"/>
      <c r="M568" s="1454">
        <f>M453+M459+M463+M469+M474+M477+M483+M500+M513+M519+M527+M541+M547+M554+M562+M566</f>
        <v>752783</v>
      </c>
      <c r="N568" s="1454"/>
      <c r="O568" s="1330"/>
      <c r="P568" s="1454">
        <f>P453+P459+P463+P469+P474+P477+P483+P500+P513+P519+P527+P541+P547+P554+P562+P566</f>
        <v>3688969</v>
      </c>
      <c r="Q568" s="1454"/>
      <c r="R568" s="1330"/>
      <c r="S568" s="1454">
        <f>S453+S459+S463+S469+S474+S477+S483+S500+S513+S519+S527+S541+S547+S554+S562+S566</f>
        <v>726784</v>
      </c>
      <c r="T568" s="1454"/>
      <c r="U568" s="1330"/>
      <c r="V568" s="1418">
        <f>V453+V459+V463+V469+V474+V477+V483+V500+V513+V519+V527+V541+V547+V554+V562+V566</f>
        <v>0</v>
      </c>
      <c r="W568" s="1203"/>
      <c r="X568" s="1203"/>
    </row>
    <row r="569" spans="1:24" ht="13.8">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ht="13.8">
      <c r="A570" s="1330"/>
      <c r="B570" s="1455" t="s">
        <v>4509</v>
      </c>
      <c r="C570" s="1429"/>
      <c r="D570" s="1456">
        <f>IF('Part VI-Revenues &amp; Expenses'!$O$67=0,0,G568/'Part VI-Revenues &amp; Expenses'!$O$67)</f>
        <v>129213.4</v>
      </c>
      <c r="E570" s="1456"/>
      <c r="F570" s="1457" t="s">
        <v>2761</v>
      </c>
      <c r="G570" s="1456">
        <f>IF('Part I-Project Information'!$P$75=0,0,G568/'Part I-Project Information'!$P$75)</f>
        <v>139.79595369468788</v>
      </c>
      <c r="H570" s="1456"/>
      <c r="I570" s="1458"/>
      <c r="J570" s="1330"/>
      <c r="K570" s="1330"/>
      <c r="L570" s="1330"/>
      <c r="M570" s="1330"/>
      <c r="N570" s="1330"/>
      <c r="O570" s="1330"/>
      <c r="P570" s="1330"/>
      <c r="Q570" s="1330"/>
      <c r="R570" s="1330"/>
      <c r="S570" s="1330"/>
      <c r="T570" s="1330"/>
      <c r="U570" s="1330"/>
      <c r="V570" s="1418"/>
      <c r="W570" s="1330"/>
      <c r="X570" s="1330"/>
    </row>
    <row r="571" spans="1:24" ht="13.8">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ht="13.8">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739</v>
      </c>
      <c r="B573" s="1460" t="s">
        <v>1425</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ht="13.8">
      <c r="A574" s="1330"/>
      <c r="B574" s="1331" t="s">
        <v>2043</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ht="13.8">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ht="13.8">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ht="13.8">
      <c r="A577" s="1330"/>
      <c r="B577" s="1330" t="s">
        <v>2151</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ht="13.8">
      <c r="A578" s="1330"/>
      <c r="B578" s="1330" t="s">
        <v>1862</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ht="13.8">
      <c r="A579" s="1330"/>
      <c r="B579" s="1330" t="s">
        <v>1863</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ht="13.8">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1600</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ht="13.8">
      <c r="A582" s="1330"/>
      <c r="B582" s="1311" t="s">
        <v>1864</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ht="13.8">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ht="13.8">
      <c r="A584" s="1330"/>
      <c r="B584" s="1311" t="s">
        <v>2339</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ht="13.8">
      <c r="A585" s="1330"/>
      <c r="B585" s="1330" t="s">
        <v>1789</v>
      </c>
      <c r="C585" s="1330"/>
      <c r="D585" s="1330"/>
      <c r="E585" s="1330"/>
      <c r="F585" s="1330"/>
      <c r="G585" s="1330"/>
      <c r="H585" s="1330"/>
      <c r="I585" s="1330"/>
      <c r="J585" s="1462">
        <f>J568</f>
        <v>0</v>
      </c>
      <c r="K585" s="1462"/>
      <c r="L585" s="1330"/>
      <c r="M585" s="1462">
        <f>M568</f>
        <v>752783</v>
      </c>
      <c r="N585" s="1462"/>
      <c r="O585" s="1330"/>
      <c r="P585" s="1462">
        <f>P568</f>
        <v>3688969</v>
      </c>
      <c r="Q585" s="1462"/>
      <c r="R585" s="1330"/>
      <c r="S585" s="1330"/>
      <c r="T585" s="1330"/>
      <c r="U585" s="1330"/>
      <c r="V585" s="1418"/>
      <c r="W585" s="1203"/>
      <c r="X585" s="1203"/>
    </row>
    <row r="586" spans="1:24" ht="13.8">
      <c r="A586" s="1330"/>
      <c r="B586" s="1330" t="s">
        <v>2219</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ht="13.8">
      <c r="A587" s="1330"/>
      <c r="B587" s="1330" t="s">
        <v>2220</v>
      </c>
      <c r="C587" s="1330"/>
      <c r="D587" s="1330"/>
      <c r="E587" s="1330"/>
      <c r="F587" s="1330"/>
      <c r="G587" s="1330"/>
      <c r="H587" s="1330"/>
      <c r="I587" s="1330"/>
      <c r="J587" s="1462">
        <f>J585-J586</f>
        <v>0</v>
      </c>
      <c r="K587" s="1462"/>
      <c r="L587" s="1330"/>
      <c r="M587" s="1462">
        <f>M585</f>
        <v>752783</v>
      </c>
      <c r="N587" s="1462"/>
      <c r="O587" s="1330"/>
      <c r="P587" s="1462">
        <f>P585-P586</f>
        <v>3688969</v>
      </c>
      <c r="Q587" s="1462"/>
      <c r="R587" s="1330"/>
      <c r="S587" s="1330"/>
      <c r="T587" s="1330"/>
      <c r="U587" s="1330"/>
      <c r="V587" s="1418"/>
      <c r="W587" s="1203"/>
      <c r="X587" s="1203"/>
    </row>
    <row r="588" spans="1:24" ht="13.8">
      <c r="A588" s="1330"/>
      <c r="B588" s="1330" t="s">
        <v>1484</v>
      </c>
      <c r="C588" s="1330"/>
      <c r="D588" s="1330"/>
      <c r="E588" s="1330"/>
      <c r="F588" s="1330"/>
      <c r="G588" s="1334" t="s">
        <v>1713</v>
      </c>
      <c r="H588" s="1330" t="str">
        <f>'Part IV-A-Uses of Funds'!H152</f>
        <v>State Boost</v>
      </c>
      <c r="I588" s="1330">
        <f>'Part IV-A-Uses of Funds'!I152</f>
        <v>0</v>
      </c>
      <c r="J588" s="1463">
        <f>'Part IV-A-Uses of Funds'!J152</f>
        <v>0</v>
      </c>
      <c r="K588" s="1463">
        <f>'Part IV-A-Uses of Funds'!K152</f>
        <v>0</v>
      </c>
      <c r="L588" s="1330"/>
      <c r="M588" s="1463"/>
      <c r="N588" s="1463"/>
      <c r="O588" s="1330"/>
      <c r="P588" s="1463">
        <f>'Part IV-A-Uses of Funds'!P152</f>
        <v>1.3</v>
      </c>
      <c r="Q588" s="1463">
        <f>'Part IV-A-Uses of Funds'!Q152</f>
        <v>0</v>
      </c>
      <c r="R588" s="1330"/>
      <c r="S588" s="1330"/>
      <c r="T588" s="1330"/>
      <c r="U588" s="1330"/>
      <c r="V588" s="1418"/>
      <c r="W588" s="1203"/>
      <c r="X588" s="1203"/>
    </row>
    <row r="589" spans="1:24" ht="13.8">
      <c r="A589" s="1330"/>
      <c r="B589" s="1330" t="s">
        <v>2053</v>
      </c>
      <c r="C589" s="1330"/>
      <c r="D589" s="1330"/>
      <c r="E589" s="1330"/>
      <c r="F589" s="1330"/>
      <c r="G589" s="1330"/>
      <c r="H589" s="1330"/>
      <c r="I589" s="1330"/>
      <c r="J589" s="1462">
        <f>J587*J588</f>
        <v>0</v>
      </c>
      <c r="K589" s="1462"/>
      <c r="L589" s="1330"/>
      <c r="M589" s="1462">
        <f>+M587</f>
        <v>752783</v>
      </c>
      <c r="N589" s="1462"/>
      <c r="O589" s="1330"/>
      <c r="P589" s="1462">
        <f>P587*P588</f>
        <v>4795659.7</v>
      </c>
      <c r="Q589" s="1462"/>
      <c r="R589" s="1330"/>
      <c r="S589" s="1330"/>
      <c r="T589" s="1330"/>
      <c r="U589" s="1330"/>
      <c r="V589" s="1418"/>
      <c r="W589" s="1203"/>
      <c r="X589" s="1203"/>
    </row>
    <row r="590" spans="1:24" ht="13.8">
      <c r="A590" s="1330"/>
      <c r="B590" s="1330" t="s">
        <v>2540</v>
      </c>
      <c r="C590" s="1330"/>
      <c r="D590" s="1330"/>
      <c r="E590" s="1330"/>
      <c r="F590" s="1330"/>
      <c r="G590" s="1330"/>
      <c r="H590" s="1330"/>
      <c r="I590" s="1330"/>
      <c r="J590" s="1464">
        <f>MIN('Part VI-Revenues &amp; Expenses'!$O$63/'Part VI-Revenues &amp; Expenses'!$O$65,'Part VI-Revenues &amp; Expenses'!$O$152/'Part VI-Revenues &amp; Expenses'!$O$154)</f>
        <v>1</v>
      </c>
      <c r="K590" s="1464"/>
      <c r="L590" s="1330"/>
      <c r="M590" s="1464">
        <f>MIN('Part VI-Revenues &amp; Expenses'!$O$63/'Part VI-Revenues &amp; Expenses'!$O$65,'Part VI-Revenues &amp; Expenses'!$O$152/'Part VI-Revenues &amp; Expenses'!$O$154)</f>
        <v>1</v>
      </c>
      <c r="N590" s="1464"/>
      <c r="O590" s="1330"/>
      <c r="P590" s="1464">
        <f>MIN('Part VI-Revenues &amp; Expenses'!$O$63/'Part VI-Revenues &amp; Expenses'!$O$65,'Part VI-Revenues &amp; Expenses'!$O$152/'Part VI-Revenues &amp; Expenses'!$O$154)</f>
        <v>1</v>
      </c>
      <c r="Q590" s="1464"/>
      <c r="R590" s="1330"/>
      <c r="S590" s="1330"/>
      <c r="T590" s="1330"/>
      <c r="U590" s="1330"/>
      <c r="V590" s="1418"/>
      <c r="W590" s="1203"/>
      <c r="X590" s="1203"/>
    </row>
    <row r="591" spans="1:24" ht="13.8">
      <c r="A591" s="1330"/>
      <c r="B591" s="1330" t="s">
        <v>2044</v>
      </c>
      <c r="C591" s="1330"/>
      <c r="D591" s="1330"/>
      <c r="E591" s="1330"/>
      <c r="F591" s="1330"/>
      <c r="G591" s="1330"/>
      <c r="H591" s="1330"/>
      <c r="I591" s="1330"/>
      <c r="J591" s="1462">
        <f>J589*J590</f>
        <v>0</v>
      </c>
      <c r="K591" s="1462"/>
      <c r="L591" s="1330"/>
      <c r="M591" s="1462">
        <f>M589*M590</f>
        <v>752783</v>
      </c>
      <c r="N591" s="1462"/>
      <c r="O591" s="1330"/>
      <c r="P591" s="1462">
        <f>P589*P590</f>
        <v>4795659.7</v>
      </c>
      <c r="Q591" s="1462"/>
      <c r="R591" s="1330"/>
      <c r="S591" s="1330"/>
      <c r="T591" s="1330"/>
      <c r="U591" s="1330"/>
      <c r="V591" s="1418"/>
      <c r="W591" s="1203"/>
      <c r="X591" s="1203"/>
    </row>
    <row r="592" spans="1:24" ht="13.8">
      <c r="A592" s="1330"/>
      <c r="B592" s="1330" t="s">
        <v>2045</v>
      </c>
      <c r="C592" s="1330"/>
      <c r="D592" s="1330"/>
      <c r="E592" s="1330"/>
      <c r="F592" s="1330"/>
      <c r="G592" s="1330"/>
      <c r="H592" s="1330"/>
      <c r="I592" s="1330"/>
      <c r="J592" s="1463">
        <f>'Part IV-A-Uses of Funds'!J156</f>
        <v>1</v>
      </c>
      <c r="K592" s="1463">
        <f>'Part IV-A-Uses of Funds'!K156</f>
        <v>0</v>
      </c>
      <c r="L592" s="1330"/>
      <c r="M592" s="1463">
        <f>'Part IV-A-Uses of Funds'!M156</f>
        <v>1</v>
      </c>
      <c r="N592" s="1463">
        <f>'Part IV-A-Uses of Funds'!N156</f>
        <v>0</v>
      </c>
      <c r="O592" s="1330"/>
      <c r="P592" s="1463">
        <f>'Part IV-A-Uses of Funds'!P156</f>
        <v>1</v>
      </c>
      <c r="Q592" s="1463">
        <f>'Part IV-A-Uses of Funds'!Q156</f>
        <v>0</v>
      </c>
      <c r="R592" s="1330"/>
      <c r="S592" s="1330"/>
      <c r="T592" s="1330"/>
      <c r="U592" s="1330"/>
      <c r="V592" s="1418"/>
      <c r="W592" s="1203"/>
      <c r="X592" s="1203"/>
    </row>
    <row r="593" spans="1:24" ht="13.8">
      <c r="A593" s="1330"/>
      <c r="B593" s="1330" t="s">
        <v>2541</v>
      </c>
      <c r="C593" s="1330"/>
      <c r="D593" s="1330"/>
      <c r="E593" s="1330"/>
      <c r="F593" s="1330"/>
      <c r="G593" s="1330"/>
      <c r="H593" s="1330"/>
      <c r="I593" s="1330"/>
      <c r="J593" s="1462">
        <f>J591*J592</f>
        <v>0</v>
      </c>
      <c r="K593" s="1462"/>
      <c r="L593" s="1330"/>
      <c r="M593" s="1462">
        <f>M591*M592</f>
        <v>752783</v>
      </c>
      <c r="N593" s="1462"/>
      <c r="O593" s="1330"/>
      <c r="P593" s="1462">
        <f>P591*P592</f>
        <v>4795659.7</v>
      </c>
      <c r="Q593" s="1462"/>
      <c r="R593" s="1330"/>
      <c r="S593" s="1330"/>
      <c r="T593" s="1330"/>
      <c r="U593" s="1330"/>
      <c r="V593" s="1418"/>
      <c r="W593" s="1203"/>
      <c r="X593" s="1203"/>
    </row>
    <row r="594" spans="1:24" ht="13.8">
      <c r="A594" s="1330"/>
      <c r="B594" s="1311" t="s">
        <v>1423</v>
      </c>
      <c r="C594" s="1330"/>
      <c r="D594" s="1330"/>
      <c r="E594" s="1330"/>
      <c r="F594" s="1330"/>
      <c r="G594" s="1330"/>
      <c r="H594" s="1330"/>
      <c r="I594" s="1330"/>
      <c r="J594" s="1397">
        <f>J593+M593+P593</f>
        <v>5548442.7000000002</v>
      </c>
      <c r="K594" s="1397"/>
      <c r="L594" s="1397"/>
      <c r="M594" s="1397"/>
      <c r="N594" s="1397"/>
      <c r="O594" s="1397"/>
      <c r="P594" s="1397"/>
      <c r="Q594" s="1397"/>
      <c r="R594" s="1330"/>
      <c r="S594" s="1330"/>
      <c r="T594" s="1330"/>
      <c r="U594" s="1330"/>
      <c r="V594" s="1418"/>
      <c r="W594" s="1521"/>
      <c r="X594" s="1521"/>
    </row>
    <row r="595" spans="1:24" ht="13.8">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3.8">
      <c r="A596" s="1414" t="s">
        <v>741</v>
      </c>
      <c r="B596" s="1414" t="s">
        <v>1426</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3.8">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4510</v>
      </c>
      <c r="C598" s="1330"/>
      <c r="D598" s="1330"/>
      <c r="E598" s="1330"/>
      <c r="F598" s="1330"/>
      <c r="G598" s="1424" t="str">
        <f>IF(J599&gt;J598,"TDC exceeds QAP PUCL!","")</f>
        <v/>
      </c>
      <c r="H598" s="1424"/>
      <c r="I598" s="1424"/>
      <c r="J598" s="1467">
        <f>'Part VIII-Threshold Criteria'!$P$63</f>
        <v>7171052</v>
      </c>
      <c r="K598" s="1467"/>
      <c r="L598" s="1467"/>
      <c r="M598" s="1468" t="s">
        <v>2744</v>
      </c>
      <c r="N598" s="1468"/>
      <c r="O598" s="1468"/>
      <c r="P598" s="1468"/>
      <c r="Q598" s="1468"/>
      <c r="R598" s="1468"/>
      <c r="S598" s="1468" t="s">
        <v>3672</v>
      </c>
      <c r="T598" s="1468"/>
      <c r="U598" s="1330"/>
      <c r="V598" s="1418"/>
      <c r="W598" s="1203"/>
      <c r="X598" s="1203"/>
    </row>
    <row r="599" spans="1:24" ht="13.8">
      <c r="A599" s="1330"/>
      <c r="B599" s="1330" t="s">
        <v>4511</v>
      </c>
      <c r="C599" s="1330"/>
      <c r="D599" s="1330"/>
      <c r="E599" s="1330"/>
      <c r="F599" s="1330"/>
      <c r="G599" s="1330"/>
      <c r="H599" s="1330"/>
      <c r="I599" s="1330"/>
      <c r="J599" s="1462">
        <f>'Part IV-A-Uses of Funds'!J163</f>
        <v>5168536</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ht="13.8">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0</v>
      </c>
      <c r="K600" s="1462"/>
      <c r="L600" s="1462"/>
      <c r="M600" s="1468"/>
      <c r="N600" s="1468"/>
      <c r="O600" s="1468"/>
      <c r="P600" s="1468"/>
      <c r="Q600" s="1468"/>
      <c r="R600" s="1468"/>
      <c r="S600" s="1468"/>
      <c r="T600" s="1468"/>
      <c r="U600" s="1330"/>
      <c r="V600" s="1418"/>
      <c r="W600" s="1203"/>
      <c r="X600" s="1203"/>
    </row>
    <row r="601" spans="1:24" ht="13.8">
      <c r="A601" s="1330"/>
      <c r="B601" s="1330" t="s">
        <v>2231</v>
      </c>
      <c r="C601" s="1330"/>
      <c r="D601" s="1330"/>
      <c r="E601" s="1330"/>
      <c r="F601" s="1330"/>
      <c r="G601" s="1330"/>
      <c r="H601" s="1330"/>
      <c r="I601" s="1330"/>
      <c r="J601" s="1462">
        <f>+J599-J600</f>
        <v>5168536</v>
      </c>
      <c r="K601" s="1462"/>
      <c r="L601" s="1462"/>
      <c r="M601" s="1393" t="s">
        <v>2745</v>
      </c>
      <c r="N601" s="1393"/>
      <c r="O601" s="1469">
        <f>'Part III-Sources of Funds'!$I$42</f>
        <v>0</v>
      </c>
      <c r="P601" s="1469"/>
      <c r="Q601" s="1469"/>
      <c r="R601" s="1469"/>
      <c r="S601" s="1470" t="s">
        <v>1661</v>
      </c>
      <c r="T601" s="1820" t="str">
        <f>'Part IV-A-Uses of Funds'!T165</f>
        <v>No</v>
      </c>
      <c r="U601" s="1330"/>
      <c r="V601" s="1418"/>
      <c r="W601" s="1203"/>
      <c r="X601" s="1203"/>
    </row>
    <row r="602" spans="1:24" ht="13.8">
      <c r="A602" s="1330"/>
      <c r="B602" s="1330" t="s">
        <v>1285</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ht="13.8">
      <c r="A603" s="1330"/>
      <c r="B603" s="1330" t="s">
        <v>1286</v>
      </c>
      <c r="C603" s="1330"/>
      <c r="D603" s="1330"/>
      <c r="E603" s="1330"/>
      <c r="F603" s="1330"/>
      <c r="G603" s="1330"/>
      <c r="H603" s="1330"/>
      <c r="I603" s="1330"/>
      <c r="J603" s="1462">
        <f>J601/10</f>
        <v>516853.6</v>
      </c>
      <c r="K603" s="1462"/>
      <c r="L603" s="1462"/>
      <c r="M603" s="1336"/>
      <c r="N603" s="1330" t="s">
        <v>1287</v>
      </c>
      <c r="O603" s="1330"/>
      <c r="P603" s="1330"/>
      <c r="Q603" s="1330" t="s">
        <v>1798</v>
      </c>
      <c r="R603" s="1330"/>
      <c r="S603" s="1330"/>
      <c r="T603" s="1330"/>
      <c r="U603" s="1330"/>
      <c r="V603" s="1418"/>
      <c r="W603" s="1203"/>
      <c r="X603" s="1203"/>
    </row>
    <row r="604" spans="1:24" ht="13.8">
      <c r="A604" s="1330"/>
      <c r="B604" s="1330" t="s">
        <v>4512</v>
      </c>
      <c r="C604" s="1330"/>
      <c r="D604" s="1330"/>
      <c r="E604" s="1330"/>
      <c r="F604" s="1330"/>
      <c r="G604" s="1330"/>
      <c r="H604" s="1330"/>
      <c r="I604" s="1330"/>
      <c r="J604" s="1471">
        <f>N604+Q604</f>
        <v>1.4</v>
      </c>
      <c r="K604" s="1471"/>
      <c r="L604" s="1471"/>
      <c r="M604" s="1334" t="s">
        <v>1288</v>
      </c>
      <c r="N604" s="1821">
        <f>'Part IV-A-Uses of Funds'!N168</f>
        <v>0.86</v>
      </c>
      <c r="O604" s="1821">
        <f>'Part IV-A-Uses of Funds'!O168</f>
        <v>0</v>
      </c>
      <c r="P604" s="1334" t="s">
        <v>611</v>
      </c>
      <c r="Q604" s="1821">
        <f>'Part IV-A-Uses of Funds'!Q168</f>
        <v>0.54</v>
      </c>
      <c r="R604" s="1821">
        <f>'Part IV-A-Uses of Funds'!R168</f>
        <v>0</v>
      </c>
      <c r="S604" s="1330"/>
      <c r="T604" s="1330"/>
      <c r="U604" s="1330"/>
      <c r="V604" s="1418"/>
      <c r="W604" s="1203"/>
      <c r="X604" s="1203"/>
    </row>
    <row r="605" spans="1:24" ht="13.8">
      <c r="A605" s="1330"/>
      <c r="B605" s="1311" t="s">
        <v>1424</v>
      </c>
      <c r="C605" s="1330"/>
      <c r="D605" s="1330"/>
      <c r="E605" s="1330"/>
      <c r="F605" s="1330"/>
      <c r="G605" s="1330"/>
      <c r="H605" s="1330"/>
      <c r="I605" s="1330"/>
      <c r="J605" s="1397">
        <f>IF(J604=0,"",J603/J604)</f>
        <v>369181.14285714284</v>
      </c>
      <c r="K605" s="1397"/>
      <c r="L605" s="1397"/>
      <c r="M605" s="1336"/>
      <c r="N605" s="1330"/>
      <c r="O605" s="1330"/>
      <c r="P605" s="1330"/>
      <c r="Q605" s="1330"/>
      <c r="R605" s="1330"/>
      <c r="S605" s="1330"/>
      <c r="T605" s="1330"/>
      <c r="U605" s="1330"/>
      <c r="V605" s="1418"/>
      <c r="W605" s="1203"/>
      <c r="X605" s="1203"/>
    </row>
    <row r="606" spans="1:24" ht="13.8">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ht="13.8">
      <c r="A607" s="1330"/>
      <c r="B607" s="1311" t="s">
        <v>4513</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369181.14285714284</v>
      </c>
      <c r="K607" s="1397"/>
      <c r="L607" s="1397"/>
      <c r="M607" s="1336"/>
      <c r="N607" s="1334"/>
      <c r="O607" s="1334"/>
      <c r="P607" s="1330"/>
      <c r="Q607" s="1330"/>
      <c r="R607" s="1330"/>
      <c r="S607" s="1330"/>
      <c r="T607" s="1330"/>
      <c r="U607" s="1330"/>
      <c r="V607" s="1418"/>
      <c r="W607" s="1203"/>
      <c r="X607" s="1203"/>
    </row>
    <row r="608" spans="1:24" ht="13.8">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ht="13.8">
      <c r="A609" s="1330"/>
      <c r="B609" s="1311" t="s">
        <v>4514</v>
      </c>
      <c r="C609" s="1330"/>
      <c r="D609" s="1330"/>
      <c r="E609" s="1330"/>
      <c r="F609" s="1330"/>
      <c r="G609" s="1330"/>
      <c r="H609" s="1330"/>
      <c r="I609" s="1330"/>
      <c r="J609" s="1397">
        <f>'Part IV-A-Uses of Funds'!J173</f>
        <v>369181</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ht="13.8">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3.8">
      <c r="A611" s="1414" t="s">
        <v>1791</v>
      </c>
      <c r="B611" s="1414" t="s">
        <v>4515</v>
      </c>
      <c r="C611" s="1330"/>
      <c r="D611" s="1336"/>
      <c r="E611" s="1336"/>
      <c r="F611" s="1337"/>
      <c r="G611" s="1330"/>
      <c r="H611" s="1330"/>
      <c r="I611" s="1330"/>
      <c r="J611" s="1397">
        <f>IF(J609="",0,+MIN(J607,J609))</f>
        <v>369181</v>
      </c>
      <c r="K611" s="1397"/>
      <c r="L611" s="1397"/>
      <c r="M611" s="1330"/>
      <c r="N611" s="1348"/>
      <c r="O611" s="1348"/>
      <c r="P611" s="1348"/>
      <c r="Q611" s="1348"/>
      <c r="R611" s="1348"/>
      <c r="S611" s="1348"/>
      <c r="T611" s="1348"/>
      <c r="U611" s="1330"/>
      <c r="V611" s="1418"/>
      <c r="W611" s="1203"/>
      <c r="X611" s="1203"/>
    </row>
    <row r="612" spans="1:24" ht="13.8">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ht="13.8">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ht="13.8">
      <c r="A614" s="1311" t="s">
        <v>1793</v>
      </c>
      <c r="B614" s="1362" t="s">
        <v>571</v>
      </c>
      <c r="C614" s="1336"/>
      <c r="D614" s="1336"/>
      <c r="E614" s="1336"/>
      <c r="F614" s="1336"/>
      <c r="G614" s="1336"/>
      <c r="H614" s="1336"/>
      <c r="I614" s="1336"/>
      <c r="J614" s="1336"/>
      <c r="K614" s="1336"/>
      <c r="L614" s="1336"/>
      <c r="M614" s="1336"/>
      <c r="N614" s="1311" t="s">
        <v>529</v>
      </c>
      <c r="O614" s="1311" t="s">
        <v>79</v>
      </c>
      <c r="P614" s="1336"/>
      <c r="Q614" s="1336"/>
      <c r="R614" s="1336"/>
      <c r="S614" s="1336"/>
      <c r="T614" s="1336"/>
      <c r="U614" s="1336"/>
      <c r="V614" s="1336"/>
      <c r="W614" s="1336"/>
      <c r="X614" s="1336"/>
    </row>
    <row r="615" spans="1:24" ht="15.75" customHeight="1">
      <c r="A615" s="1391" t="str">
        <f>'Part IV-A-Uses of Funds'!A179</f>
        <v>* To all applicants: in addition to your other comments, please provide methodology for determining applicable construction hard costs.
.Uses of Funds Construction Loan Interest amount estimated is based upon  the interest rates quoted by Regions Bank LOI Commitment Letters for Equity and the Construction Loan.  Since the prime lending rate has risen over the past year several times and the construction loan interest rate will be based upon a blend of the LIBOR rate plus additional points and Regions used 7% as the construction loan interest rate for a safe harbor calculation in the Equity LOI the construction loan interest was calculated at a rate of 5.50% for a full 12 months on the full $4,100,000 construction loan request.  It is estimated that the construction loan will be satisfied once the rehabilitation is complete, the Certificates of Occupancy are received, and the units are occuppied by qualifying tenants.  If there are any interest cost savings, those savings can and will be used to further improve the property prior to completion of the cost certification and issuance of the Forms 8609.                    Hard costs were determined based on actual current costs of ongoing similar rehabilitation work being performed by Olympia Construction, Inc., the General Contractor of Woodstone Apartments II. Olympis is currently involved in several apartment rehab projects.</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2692</v>
      </c>
      <c r="X615" s="1473"/>
    </row>
    <row r="623" spans="1:24" ht="15.6">
      <c r="A623" s="1474" t="str">
        <f>CONCATENATE("PART FOUR (b) -  OTHER COSTS","  -  ",'Part I-Project Information'!$O$6," - ",'Part I-Project Information'!$F$34,"  -  ",'Part I-Project Information'!$F$38,"  -  ",'Part I-Project Information'!$J$39,",  ","County")</f>
        <v>PART FOUR (b) -  OTHER COSTS  -  2019-049 - Woodstone Apartments II  -  Leesburg  -  Lee,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3711</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4516</v>
      </c>
      <c r="B627" s="1475"/>
      <c r="C627" s="1475"/>
      <c r="D627" s="1475"/>
      <c r="E627" s="1822"/>
      <c r="F627" s="1476" t="s">
        <v>3702</v>
      </c>
      <c r="G627" s="1477"/>
      <c r="H627" s="1476" t="s">
        <v>3703</v>
      </c>
    </row>
    <row r="628" spans="1:8">
      <c r="A628" s="1477"/>
      <c r="B628" s="1477"/>
      <c r="C628" s="1477"/>
      <c r="D628" s="1477"/>
      <c r="E628" s="1822"/>
      <c r="F628" s="1822"/>
      <c r="G628" s="1822"/>
      <c r="H628" s="1822"/>
    </row>
    <row r="629" spans="1:8">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Engineering-Const Cost Analysis, PNA Report, radon testing, etc.</v>
      </c>
      <c r="B631" s="1481"/>
      <c r="C631" s="1481"/>
      <c r="D631" s="1481"/>
      <c r="E631" s="1824"/>
      <c r="F631" s="1825" t="str">
        <f>'Part IV-B-Other Items'!F9</f>
        <v>Physical Needs Assessment Report and inspections, construction cost analysis for construction &amp; equity lender, engineering related to rehab such as possible radon abatement, other engineering inspections and cost of mitigation of possible radon abatement.</v>
      </c>
      <c r="G631" s="1480"/>
      <c r="H631" s="1825" t="str">
        <f>'Part IV-B-Other Items'!H9</f>
        <v xml:space="preserve">The items included in this line item are related to the actual design of and for the rehab of the physical units and therefore includable in the basis of the rehab units for the tax credits. </v>
      </c>
    </row>
    <row r="632" spans="1:8">
      <c r="A632" s="1481"/>
      <c r="B632" s="1481"/>
      <c r="C632" s="1481"/>
      <c r="D632" s="1481"/>
      <c r="E632" s="1824"/>
      <c r="F632" s="1825"/>
      <c r="G632" s="1480"/>
      <c r="H632" s="1825"/>
    </row>
    <row r="633" spans="1:8">
      <c r="A633" s="1824"/>
      <c r="B633" s="1824"/>
      <c r="C633" s="1824"/>
      <c r="D633" s="1824"/>
      <c r="E633" s="1824"/>
      <c r="F633" s="1825"/>
      <c r="G633" s="1480"/>
      <c r="H633" s="1825"/>
    </row>
    <row r="634" spans="1:8">
      <c r="A634" s="1482" t="s">
        <v>3705</v>
      </c>
      <c r="B634" s="1483">
        <f>'Part IV-A-Uses of Funds'!$G$14</f>
        <v>15000</v>
      </c>
      <c r="C634" s="1482" t="s">
        <v>1789</v>
      </c>
      <c r="D634" s="1483">
        <f>'Part IV-A-Uses of Funds'!$J$14+'Part IV-A-Uses of Funds'!$M$14+'Part IV-A-Uses of Funds'!$P$14</f>
        <v>15000</v>
      </c>
      <c r="E634" s="1824"/>
      <c r="F634" s="1825"/>
      <c r="G634" s="1480"/>
      <c r="H634" s="1825"/>
    </row>
    <row r="635" spans="1:8">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3705</v>
      </c>
      <c r="B639" s="1483">
        <f>'Part IV-A-Uses of Funds'!$G$15</f>
        <v>0</v>
      </c>
      <c r="C639" s="1482" t="s">
        <v>1789</v>
      </c>
      <c r="D639" s="1483">
        <f>'Part IV-A-Uses of Funds'!$J$15+'Part IV-A-Uses of Funds'!$M$15+'Part IV-A-Uses of Funds'!$P$15</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3705</v>
      </c>
      <c r="B644" s="1483">
        <f>'Part IV-A-Uses of Funds'!$G$16</f>
        <v>0</v>
      </c>
      <c r="C644" s="1482" t="s">
        <v>1789</v>
      </c>
      <c r="D644" s="1483">
        <f>'Part IV-A-Uses of Funds'!$J$16+'Part IV-A-Uses of Funds'!$M$16+'Part IV-A-Uses of Funds'!$P$16</f>
        <v>0</v>
      </c>
      <c r="E644" s="1824"/>
      <c r="F644" s="1825"/>
      <c r="G644" s="1480"/>
      <c r="H644" s="1825"/>
    </row>
    <row r="645" spans="1:8">
      <c r="A645" s="1480"/>
      <c r="B645" s="1484"/>
      <c r="C645" s="1480"/>
      <c r="D645" s="1480"/>
      <c r="E645" s="1824"/>
      <c r="F645" s="1825"/>
      <c r="G645" s="1485"/>
      <c r="H645" s="1825"/>
    </row>
    <row r="646" spans="1:8">
      <c r="A646" s="1479" t="s">
        <v>3704</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3705</v>
      </c>
      <c r="B650" s="1483">
        <f>'Part IV-A-Uses of Funds'!$G$41</f>
        <v>0</v>
      </c>
      <c r="C650" s="1482" t="s">
        <v>1789</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c r="A652" s="1479" t="s">
        <v>721</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3705</v>
      </c>
      <c r="B656" s="1483">
        <f>'Part IV-A-Uses of Funds'!$G$62</f>
        <v>0</v>
      </c>
      <c r="C656" s="1482" t="s">
        <v>1789</v>
      </c>
      <c r="D656" s="1483">
        <f>'Part IV-A-Uses of Funds'!$J$62+'Part IV-A-Uses of Funds'!$M$62+'Part IV-A-Uses of Funds'!$P$62</f>
        <v>0</v>
      </c>
      <c r="E656" s="1480"/>
      <c r="F656" s="1825"/>
      <c r="G656" s="1480"/>
      <c r="H656" s="1825"/>
    </row>
    <row r="657" spans="1:8">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3705</v>
      </c>
      <c r="B661" s="1483">
        <f>'Part IV-A-Uses of Funds'!$G$63</f>
        <v>0</v>
      </c>
      <c r="C661" s="1482" t="s">
        <v>1789</v>
      </c>
      <c r="D661" s="1483">
        <f>'Part IV-A-Uses of Funds'!$J$63+'Part IV-A-Uses of Funds'!$M$63+'Part IV-A-Uses of Funds'!$P$63</f>
        <v>0</v>
      </c>
      <c r="E661" s="1480"/>
      <c r="F661" s="1825"/>
      <c r="G661" s="1480"/>
      <c r="H661" s="1825"/>
    </row>
    <row r="662" spans="1:8">
      <c r="A662" s="1824"/>
      <c r="B662" s="1824"/>
      <c r="C662" s="1824"/>
      <c r="D662" s="1480"/>
      <c r="E662" s="1480"/>
      <c r="F662" s="1825"/>
      <c r="G662" s="1485"/>
      <c r="H662" s="1825"/>
    </row>
    <row r="663" spans="1:8">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3705</v>
      </c>
      <c r="B667" s="1483">
        <f>'Part IV-A-Uses of Funds'!$G$76</f>
        <v>0</v>
      </c>
      <c r="C667" s="1482" t="s">
        <v>1789</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c r="A669" s="1479" t="s">
        <v>723</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c r="A671" s="1481"/>
      <c r="B671" s="1481"/>
      <c r="C671" s="1481"/>
      <c r="D671" s="1481"/>
      <c r="E671" s="1480"/>
      <c r="F671" s="1825"/>
      <c r="G671" s="1480"/>
      <c r="H671" s="1824"/>
    </row>
    <row r="672" spans="1:8">
      <c r="A672" s="1480"/>
      <c r="B672" s="1480"/>
      <c r="C672" s="1480"/>
      <c r="D672" s="1480"/>
      <c r="E672" s="1480"/>
      <c r="F672" s="1825"/>
      <c r="G672" s="1480"/>
      <c r="H672" s="1824"/>
    </row>
    <row r="673" spans="1:8">
      <c r="A673" s="1482" t="s">
        <v>3705</v>
      </c>
      <c r="B673" s="1483">
        <f>'Part IV-A-Uses of Funds'!$G$90</f>
        <v>0</v>
      </c>
      <c r="C673" s="1487"/>
      <c r="D673" s="1487"/>
      <c r="E673" s="1480"/>
      <c r="F673" s="1825"/>
      <c r="G673" s="1480"/>
      <c r="H673" s="1824"/>
    </row>
    <row r="674" spans="1:8">
      <c r="A674" s="1480"/>
      <c r="B674" s="1480"/>
      <c r="C674" s="1480"/>
      <c r="D674" s="1480"/>
      <c r="E674" s="1480"/>
      <c r="F674" s="1825"/>
      <c r="G674" s="1485"/>
      <c r="H674" s="1824"/>
    </row>
    <row r="675" spans="1:8">
      <c r="A675" s="1479" t="s">
        <v>4517</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c r="A677" s="1481"/>
      <c r="B677" s="1481"/>
      <c r="C677" s="1481"/>
      <c r="D677" s="1481"/>
      <c r="E677" s="1480"/>
      <c r="F677" s="1825"/>
      <c r="G677" s="1480"/>
      <c r="H677" s="1824"/>
    </row>
    <row r="678" spans="1:8">
      <c r="A678" s="1480"/>
      <c r="B678" s="1480"/>
      <c r="C678" s="1480"/>
      <c r="D678" s="1480"/>
      <c r="E678" s="1480"/>
      <c r="F678" s="1825"/>
      <c r="G678" s="1480"/>
      <c r="H678" s="1824"/>
    </row>
    <row r="679" spans="1:8">
      <c r="A679" s="1482" t="s">
        <v>3705</v>
      </c>
      <c r="B679" s="1483">
        <f>'Part IV-A-Uses of Funds'!$G$103</f>
        <v>0</v>
      </c>
      <c r="C679" s="1487"/>
      <c r="D679" s="1487"/>
      <c r="E679" s="1480"/>
      <c r="F679" s="1825"/>
      <c r="G679" s="1480"/>
      <c r="H679" s="1824"/>
    </row>
    <row r="680" spans="1:8">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3705</v>
      </c>
      <c r="B684" s="1483">
        <f>'Part IV-A-Uses of Funds'!$G$104</f>
        <v>0</v>
      </c>
      <c r="C684" s="1487"/>
      <c r="D684" s="1487"/>
      <c r="E684" s="1480"/>
      <c r="F684" s="1825"/>
      <c r="G684" s="1480"/>
      <c r="H684" s="1824"/>
    </row>
    <row r="685" spans="1:8">
      <c r="A685" s="1478"/>
      <c r="B685" s="1478"/>
      <c r="C685" s="1478"/>
      <c r="D685" s="1478"/>
      <c r="E685" s="1478"/>
      <c r="F685" s="1825"/>
      <c r="G685" s="1485"/>
      <c r="H685" s="1824"/>
    </row>
    <row r="686" spans="1:8">
      <c r="A686" s="1479" t="s">
        <v>4518</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c r="A688" s="1481"/>
      <c r="B688" s="1481"/>
      <c r="C688" s="1481"/>
      <c r="D688" s="1481"/>
      <c r="E688" s="1480"/>
      <c r="F688" s="1825"/>
      <c r="G688" s="1480"/>
      <c r="H688" s="1824"/>
    </row>
    <row r="689" spans="1:8">
      <c r="A689" s="1480"/>
      <c r="B689" s="1480"/>
      <c r="C689" s="1480"/>
      <c r="D689" s="1480"/>
      <c r="E689" s="1480"/>
      <c r="F689" s="1825"/>
      <c r="G689" s="1480"/>
      <c r="H689" s="1824"/>
    </row>
    <row r="690" spans="1:8">
      <c r="A690" s="1482" t="s">
        <v>3705</v>
      </c>
      <c r="B690" s="1483">
        <f>'Part IV-A-Uses of Funds'!$G$110</f>
        <v>0</v>
      </c>
      <c r="C690" s="1487"/>
      <c r="D690" s="1487"/>
      <c r="E690" s="1480"/>
      <c r="F690" s="1825"/>
      <c r="G690" s="1480"/>
      <c r="H690" s="1824"/>
    </row>
    <row r="691" spans="1:8">
      <c r="A691" s="1480"/>
      <c r="B691" s="1484"/>
      <c r="C691" s="1480"/>
      <c r="D691" s="1480"/>
      <c r="E691" s="1480"/>
      <c r="F691" s="1825"/>
      <c r="G691" s="1485"/>
      <c r="H691" s="1824"/>
    </row>
    <row r="692" spans="1:8">
      <c r="A692" s="1479" t="s">
        <v>1308</v>
      </c>
      <c r="B692" s="1480"/>
      <c r="C692" s="1480"/>
      <c r="D692" s="1480"/>
      <c r="E692" s="1480"/>
      <c r="F692" s="1480"/>
      <c r="G692" s="1480"/>
      <c r="H692" s="1824"/>
    </row>
    <row r="693" spans="1:8" ht="13.5" customHeight="1">
      <c r="A693" s="1481" t="str">
        <f>'Part IV-A-Uses of Funds'!$C$125</f>
        <v>T &amp; I Escrow--$37,680; Asset Mgmt Fees --$45,000</v>
      </c>
      <c r="B693" s="1481"/>
      <c r="C693" s="1481"/>
      <c r="D693" s="1481"/>
      <c r="E693" s="1824"/>
      <c r="F693" s="1825" t="str">
        <f>'Part IV-B-Other Items'!F71</f>
        <v xml:space="preserve">Equity will be used to fund Tax &amp; Insurance escrows for the initial year of operations and the Equity Investors/Syndicatos make an investment into the property to guarantee payment of the Annual Asset Management Fees. </v>
      </c>
      <c r="G693" s="1480"/>
      <c r="H693" s="1825" t="str">
        <f>'Part IV-B-Other Items'!H71</f>
        <v>The T&amp;I Escrow and the Syndicator Reserves are not included in the tax credit basis.</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3705</v>
      </c>
      <c r="B696" s="1483">
        <f>'Part IV-A-Uses of Funds'!$G$125</f>
        <v>82680</v>
      </c>
      <c r="C696" s="1482" t="s">
        <v>1789</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c r="A698" s="1479" t="s">
        <v>4519</v>
      </c>
      <c r="B698" s="1484"/>
      <c r="C698" s="1480"/>
      <c r="D698" s="1480"/>
      <c r="E698" s="1480"/>
      <c r="F698" s="1480"/>
      <c r="G698" s="1485"/>
      <c r="H698" s="1824"/>
    </row>
    <row r="699" spans="1:8" ht="13.5" customHeight="1">
      <c r="A699" s="1481" t="str">
        <f>'Part IV-A-Uses of Funds'!$C$129</f>
        <v>Relocation cost explanation included on Tab IV-B-Other Items</v>
      </c>
      <c r="B699" s="1481"/>
      <c r="C699" s="1481"/>
      <c r="D699" s="1481"/>
      <c r="E699" s="1824"/>
      <c r="F699" s="1825" t="str">
        <f>'Part IV-B-Other Items'!F77</f>
        <v xml:space="preserve">Relocation costs related to moving tenants temporarily during the rehab of each unit and cost of relocation consultant specialist to review all paperwork, coordinate meetings, and document appropriate tenant files, etc. for the temporary relocation of units. The cost of the move back into the units as needed is also included here. </v>
      </c>
      <c r="G699" s="1480"/>
      <c r="H699" s="1825" t="str">
        <f>'Part IV-B-Other Items'!H77</f>
        <v>This cost of temporary relocation and consultant fees has been excluded from the tax credit basis.</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3705</v>
      </c>
      <c r="B702" s="1483">
        <f>'Part IV-A-Uses of Funds'!$G$129</f>
        <v>0</v>
      </c>
      <c r="C702" s="1482" t="s">
        <v>1789</v>
      </c>
      <c r="D702" s="1483">
        <f>'Part IV-A-Uses of Funds'!$J$129+'Part IV-A-Uses of Funds'!$M$129+'Part IV-A-Uses of Funds'!$P$129</f>
        <v>0</v>
      </c>
      <c r="E702" s="1480"/>
      <c r="F702" s="1825"/>
      <c r="G702" s="1480"/>
      <c r="H702" s="1825"/>
    </row>
    <row r="703" spans="1:8">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2019-049 Woodstone Apartments II, ,  County</v>
      </c>
      <c r="B710" s="1312"/>
      <c r="C710" s="1312"/>
      <c r="D710" s="1312"/>
      <c r="E710" s="1312"/>
      <c r="F710" s="1312"/>
      <c r="G710" s="1312"/>
      <c r="H710" s="1312"/>
      <c r="I710" s="1312"/>
      <c r="J710" s="1312"/>
      <c r="K710" s="1312"/>
      <c r="L710" s="1312"/>
      <c r="M710" s="1312"/>
    </row>
    <row r="712" spans="1:13">
      <c r="F712" s="1312" t="s">
        <v>514</v>
      </c>
      <c r="I712" s="1488" t="str">
        <f>VLOOKUP('Part I-Project Information'!$J$39,'DCA Underwriting Assumptions'!$G$158:$H$317,2)</f>
        <v>South</v>
      </c>
    </row>
    <row r="714" spans="1:13">
      <c r="A714" s="1489" t="s">
        <v>3802</v>
      </c>
    </row>
    <row r="716" spans="1:13">
      <c r="A716" s="1324" t="s">
        <v>615</v>
      </c>
      <c r="B716" s="1324" t="s">
        <v>2226</v>
      </c>
      <c r="F716" s="638" t="s">
        <v>2518</v>
      </c>
      <c r="I716" s="1318" t="str">
        <f>'Part V-Utility Allowances'!I7</f>
        <v>DCA</v>
      </c>
      <c r="J716" s="1318"/>
      <c r="K716" s="1318"/>
      <c r="L716" s="1318"/>
      <c r="M716" s="1318"/>
    </row>
    <row r="717" spans="1:13">
      <c r="A717" s="1324"/>
      <c r="F717" s="638" t="s">
        <v>635</v>
      </c>
      <c r="I717" s="1826">
        <f>'Part V-Utility Allowances'!I8</f>
        <v>43466</v>
      </c>
      <c r="J717" s="1826">
        <f>'Part V-Utility Allowances'!J8</f>
        <v>0</v>
      </c>
      <c r="K717" s="1320" t="s">
        <v>539</v>
      </c>
      <c r="L717" s="1794" t="str">
        <f>'Part V-Utility Allowances'!L8</f>
        <v>2-Story Walkup</v>
      </c>
      <c r="M717" s="1794">
        <f>'Part V-Utility Allowances'!M8</f>
        <v>0</v>
      </c>
    </row>
    <row r="718" spans="1:13">
      <c r="A718" s="1324"/>
    </row>
    <row r="719" spans="1:13">
      <c r="A719" s="1324"/>
      <c r="B719" s="1324"/>
      <c r="C719" s="1324"/>
      <c r="D719" s="1324"/>
      <c r="E719" s="1324"/>
      <c r="F719" s="1490" t="s">
        <v>608</v>
      </c>
      <c r="G719" s="1490"/>
      <c r="H719" s="1324"/>
      <c r="I719" s="1490" t="s">
        <v>200</v>
      </c>
      <c r="J719" s="1490"/>
      <c r="K719" s="1490"/>
      <c r="L719" s="1490"/>
      <c r="M719" s="1490"/>
    </row>
    <row r="720" spans="1:13">
      <c r="A720" s="1324"/>
      <c r="B720" s="1324" t="s">
        <v>797</v>
      </c>
      <c r="C720" s="1324"/>
      <c r="D720" s="1324" t="s">
        <v>1598</v>
      </c>
      <c r="E720" s="1324"/>
      <c r="F720" s="1322" t="s">
        <v>641</v>
      </c>
      <c r="G720" s="1322" t="s">
        <v>1849</v>
      </c>
      <c r="H720" s="1324"/>
      <c r="I720" s="1322" t="s">
        <v>567</v>
      </c>
      <c r="J720" s="1322">
        <v>1</v>
      </c>
      <c r="K720" s="1322">
        <v>2</v>
      </c>
      <c r="L720" s="1322">
        <v>3</v>
      </c>
      <c r="M720" s="1322">
        <v>4</v>
      </c>
    </row>
    <row r="721" spans="1:13">
      <c r="B721" s="638" t="s">
        <v>1851</v>
      </c>
      <c r="D721" s="1794" t="str">
        <f>'Part V-Utility Allowances'!D12</f>
        <v>Electric Heat Pump</v>
      </c>
      <c r="E721" s="1794">
        <f>'Part V-Utility Allowances'!E12</f>
        <v>0</v>
      </c>
      <c r="F721" s="1827" t="str">
        <f>'Part V-Utility Allowances'!F12</f>
        <v>X</v>
      </c>
      <c r="G721" s="1827">
        <f>'Part V-Utility Allowances'!G12</f>
        <v>0</v>
      </c>
      <c r="I721" s="1320">
        <f>'Part V-Utility Allowances'!I12</f>
        <v>0</v>
      </c>
      <c r="J721" s="1320">
        <f>'Part V-Utility Allowances'!J12</f>
        <v>4</v>
      </c>
      <c r="K721" s="1320">
        <f>'Part V-Utility Allowances'!K12</f>
        <v>5</v>
      </c>
      <c r="L721" s="1320">
        <f>'Part V-Utility Allowances'!L12</f>
        <v>6</v>
      </c>
      <c r="M721" s="1320">
        <f>'Part V-Utility Allowances'!M12</f>
        <v>0</v>
      </c>
    </row>
    <row r="722" spans="1:13">
      <c r="B722" s="638" t="s">
        <v>1596</v>
      </c>
      <c r="D722" s="1794" t="str">
        <f>'Part V-Utility Allowances'!D13</f>
        <v>Electric</v>
      </c>
      <c r="E722" s="1794">
        <f>'Part V-Utility Allowances'!E13</f>
        <v>0</v>
      </c>
      <c r="F722" s="1827" t="str">
        <f>'Part V-Utility Allowances'!F13</f>
        <v>X</v>
      </c>
      <c r="G722" s="1827">
        <f>'Part V-Utility Allowances'!G13</f>
        <v>0</v>
      </c>
      <c r="I722" s="1320">
        <f>'Part V-Utility Allowances'!I13</f>
        <v>0</v>
      </c>
      <c r="J722" s="1320">
        <f>'Part V-Utility Allowances'!J13</f>
        <v>7</v>
      </c>
      <c r="K722" s="1320">
        <f>'Part V-Utility Allowances'!K13</f>
        <v>9</v>
      </c>
      <c r="L722" s="1320">
        <f>'Part V-Utility Allowances'!L13</f>
        <v>11</v>
      </c>
      <c r="M722" s="1320">
        <f>'Part V-Utility Allowances'!M13</f>
        <v>0</v>
      </c>
    </row>
    <row r="723" spans="1:13">
      <c r="B723" s="638" t="s">
        <v>1597</v>
      </c>
      <c r="D723" s="1794" t="str">
        <f>'Part V-Utility Allowances'!D14</f>
        <v>Electric</v>
      </c>
      <c r="E723" s="1794">
        <f>'Part V-Utility Allowances'!E14</f>
        <v>0</v>
      </c>
      <c r="F723" s="1827" t="str">
        <f>'Part V-Utility Allowances'!F14</f>
        <v>X</v>
      </c>
      <c r="G723" s="1827">
        <f>'Part V-Utility Allowances'!G14</f>
        <v>0</v>
      </c>
      <c r="I723" s="1320">
        <f>'Part V-Utility Allowances'!I14</f>
        <v>0</v>
      </c>
      <c r="J723" s="1320">
        <f>'Part V-Utility Allowances'!J14</f>
        <v>13</v>
      </c>
      <c r="K723" s="1320">
        <f>'Part V-Utility Allowances'!K14</f>
        <v>18</v>
      </c>
      <c r="L723" s="1320">
        <f>'Part V-Utility Allowances'!L14</f>
        <v>23</v>
      </c>
      <c r="M723" s="1320">
        <f>'Part V-Utility Allowances'!M14</f>
        <v>0</v>
      </c>
    </row>
    <row r="724" spans="1:13">
      <c r="B724" s="638" t="s">
        <v>467</v>
      </c>
      <c r="D724" s="638" t="s">
        <v>1595</v>
      </c>
      <c r="F724" s="1827" t="str">
        <f>'Part V-Utility Allowances'!F15</f>
        <v>X</v>
      </c>
      <c r="G724" s="1827">
        <f>'Part V-Utility Allowances'!G15</f>
        <v>0</v>
      </c>
      <c r="I724" s="1320">
        <f>'Part V-Utility Allowances'!I15</f>
        <v>0</v>
      </c>
      <c r="J724" s="1320">
        <f>'Part V-Utility Allowances'!J15</f>
        <v>10</v>
      </c>
      <c r="K724" s="1320">
        <f>'Part V-Utility Allowances'!K15</f>
        <v>13</v>
      </c>
      <c r="L724" s="1320">
        <f>'Part V-Utility Allowances'!L15</f>
        <v>16</v>
      </c>
      <c r="M724" s="1320">
        <f>'Part V-Utility Allowances'!M15</f>
        <v>0</v>
      </c>
    </row>
    <row r="725" spans="1:13">
      <c r="B725" s="638" t="s">
        <v>3799</v>
      </c>
      <c r="D725" s="638" t="s">
        <v>1595</v>
      </c>
      <c r="F725" s="1827">
        <f>'Part V-Utility Allowances'!F16</f>
        <v>0</v>
      </c>
      <c r="G725" s="1827">
        <f>'Part V-Utility Allowances'!G16</f>
        <v>0</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3800</v>
      </c>
      <c r="D726" s="638" t="s">
        <v>1595</v>
      </c>
      <c r="F726" s="1827">
        <f>'Part V-Utility Allowances'!F17</f>
        <v>0</v>
      </c>
      <c r="G726" s="1827">
        <f>'Part V-Utility Allowances'!G17</f>
        <v>0</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3801</v>
      </c>
      <c r="D727" s="638" t="s">
        <v>1595</v>
      </c>
      <c r="F727" s="1827" t="str">
        <f>'Part V-Utility Allowances'!F18</f>
        <v>X</v>
      </c>
      <c r="G727" s="1827">
        <f>'Part V-Utility Allowances'!G18</f>
        <v>0</v>
      </c>
      <c r="I727" s="1320">
        <f>'Part V-Utility Allowances'!I18</f>
        <v>0</v>
      </c>
      <c r="J727" s="1320">
        <f>'Part V-Utility Allowances'!J18</f>
        <v>21</v>
      </c>
      <c r="K727" s="1320">
        <f>'Part V-Utility Allowances'!K18</f>
        <v>27</v>
      </c>
      <c r="L727" s="1320">
        <f>'Part V-Utility Allowances'!L18</f>
        <v>33</v>
      </c>
      <c r="M727" s="1320">
        <f>'Part V-Utility Allowances'!M18</f>
        <v>0</v>
      </c>
    </row>
    <row r="728" spans="1:13">
      <c r="B728" s="638" t="s">
        <v>1369</v>
      </c>
      <c r="D728" s="638" t="s">
        <v>4520</v>
      </c>
      <c r="E728" s="1320" t="str">
        <f>'Part V-Utility Allowances'!E19</f>
        <v>Yes</v>
      </c>
      <c r="F728" s="1827">
        <f>'Part V-Utility Allowances'!F19</f>
        <v>0</v>
      </c>
      <c r="G728" s="1827" t="str">
        <f>'Part V-Utility Allowances'!G19</f>
        <v>X</v>
      </c>
      <c r="I728" s="1320">
        <f>'Part V-Utility Allowances'!I19</f>
        <v>0</v>
      </c>
      <c r="J728" s="1320">
        <f>'Part V-Utility Allowances'!J19</f>
        <v>0</v>
      </c>
      <c r="K728" s="1320">
        <f>'Part V-Utility Allowances'!K19</f>
        <v>0</v>
      </c>
      <c r="L728" s="1320">
        <f>'Part V-Utility Allowances'!L19</f>
        <v>0</v>
      </c>
      <c r="M728" s="1320">
        <f>'Part V-Utility Allowances'!M19</f>
        <v>0</v>
      </c>
    </row>
    <row r="729" spans="1:13">
      <c r="B729" s="638" t="s">
        <v>1850</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1019</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55</v>
      </c>
      <c r="K730" s="1322">
        <f>IF(SUM(K721:K729)=0,0,IF(OR($D721="&lt;&lt;Select Fuel &gt;&gt;",$D722="&lt;&lt;Select Fuel &gt;&gt;",$D723="&lt;&lt;Select Fuel &gt;&gt;"),"Select Fuel",IF($E728="&lt;Select&gt;","Submeter?",SUM(K721:K729))))</f>
        <v>72</v>
      </c>
      <c r="L730" s="1322">
        <f>IF(SUM(L721:L729)=0,0,IF(OR($D721="&lt;&lt;Select Fuel &gt;&gt;",$D722="&lt;&lt;Select Fuel &gt;&gt;",$D723="&lt;&lt;Select Fuel &gt;&gt;"),"Select Fuel",IF($E728="&lt;Select&gt;","Submeter?",SUM(L721:L729))))</f>
        <v>89</v>
      </c>
      <c r="M730" s="1322">
        <f>IF(SUM(M721:M729)=0,0,IF(OR($D721="&lt;&lt;Select Fuel &gt;&gt;",$D722="&lt;&lt;Select Fuel &gt;&gt;",$D723="&lt;&lt;Select Fuel &gt;&gt;"),"Select Fuel",IF($E728="&lt;Select&gt;","Submeter?",SUM(M721:M729))))</f>
        <v>0</v>
      </c>
    </row>
    <row r="732" spans="1:13">
      <c r="A732" s="1324" t="s">
        <v>739</v>
      </c>
      <c r="B732" s="1324" t="s">
        <v>2227</v>
      </c>
      <c r="F732" s="638" t="s">
        <v>2518</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635</v>
      </c>
      <c r="I733" s="1826">
        <f>'Part V-Utility Allowances'!I25</f>
        <v>0</v>
      </c>
      <c r="J733" s="1826">
        <f>'Part V-Utility Allowances'!J25</f>
        <v>0</v>
      </c>
      <c r="K733" s="1320" t="s">
        <v>539</v>
      </c>
      <c r="L733" s="1794">
        <f>'Part V-Utility Allowances'!L25</f>
        <v>0</v>
      </c>
      <c r="M733" s="1794">
        <f>'Part V-Utility Allowances'!M25</f>
        <v>0</v>
      </c>
    </row>
    <row r="734" spans="1:13">
      <c r="A734" s="1324"/>
    </row>
    <row r="735" spans="1:13">
      <c r="A735" s="1324"/>
      <c r="B735" s="1324"/>
      <c r="C735" s="1324"/>
      <c r="D735" s="1324"/>
      <c r="E735" s="1324"/>
      <c r="F735" s="1490" t="s">
        <v>608</v>
      </c>
      <c r="G735" s="1490"/>
      <c r="H735" s="1324"/>
      <c r="I735" s="1490" t="s">
        <v>200</v>
      </c>
      <c r="J735" s="1490"/>
      <c r="K735" s="1490"/>
      <c r="L735" s="1490"/>
      <c r="M735" s="1490"/>
    </row>
    <row r="736" spans="1:13">
      <c r="A736" s="1324"/>
      <c r="B736" s="1324" t="s">
        <v>797</v>
      </c>
      <c r="C736" s="1324"/>
      <c r="D736" s="1324" t="s">
        <v>1598</v>
      </c>
      <c r="E736" s="1324"/>
      <c r="F736" s="1322" t="s">
        <v>641</v>
      </c>
      <c r="G736" s="1322" t="s">
        <v>1849</v>
      </c>
      <c r="H736" s="1324"/>
      <c r="I736" s="1322" t="s">
        <v>567</v>
      </c>
      <c r="J736" s="1322">
        <v>1</v>
      </c>
      <c r="K736" s="1322">
        <v>2</v>
      </c>
      <c r="L736" s="1322">
        <v>3</v>
      </c>
      <c r="M736" s="1322">
        <v>4</v>
      </c>
    </row>
    <row r="737" spans="1:13">
      <c r="B737" s="638" t="s">
        <v>1851</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1596</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1597</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1595</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3799</v>
      </c>
      <c r="D741" s="638" t="s">
        <v>1595</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3800</v>
      </c>
      <c r="D742" s="638" t="s">
        <v>1595</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3801</v>
      </c>
      <c r="D743" s="638" t="s">
        <v>1595</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1369</v>
      </c>
      <c r="D744" s="638" t="s">
        <v>4520</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1850</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1019</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4521</v>
      </c>
      <c r="F748" s="1320"/>
      <c r="G748" s="1320"/>
      <c r="I748" s="1322"/>
      <c r="J748" s="1322"/>
      <c r="K748" s="1322"/>
      <c r="L748" s="1322"/>
      <c r="M748" s="1322"/>
    </row>
    <row r="749" spans="1:13">
      <c r="A749" s="1324"/>
      <c r="B749" s="1324" t="s">
        <v>571</v>
      </c>
    </row>
    <row r="750" spans="1:13" ht="250.8">
      <c r="B750" s="1203" t="str">
        <f>'Part V-Utility Allowances'!B43</f>
        <v>Calculations do not include Water and Sewer cost. The owner will pay Water and Sewer for the project. Submeters will be installed to comply with the Georgia State Law-- 2010 The Georgia Water Stewardship Act.</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1844</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3.95" customHeight="1">
      <c r="A758" s="1312" t="str">
        <f>CONCATENATE("PART SIX - PROJECTED REVENUES &amp; EXPENSES","  -  ",'Part I-Project Information'!$O$6," ",'Part I-Project Information'!$F$34,", ",'Part I-Project Information'!F802,", ",'Part I-Project Information'!J803," County")</f>
        <v>PART SIX - PROJECTED REVENUES &amp; EXPENSES  -  2019-049 Woodstone Apartments II,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2019-049 Woodstone Apartments II,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615</v>
      </c>
      <c r="B760" s="1312" t="s">
        <v>2365</v>
      </c>
      <c r="D760" s="1335" t="s">
        <v>3567</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484</v>
      </c>
      <c r="FC760" s="1315" t="s">
        <v>2439</v>
      </c>
      <c r="FD760" s="1315" t="s">
        <v>2440</v>
      </c>
      <c r="FE760" s="1315" t="s">
        <v>2441</v>
      </c>
      <c r="FF760" s="1315" t="s">
        <v>2442</v>
      </c>
      <c r="FG760" s="1315" t="s">
        <v>484</v>
      </c>
      <c r="FH760" s="1315" t="s">
        <v>2439</v>
      </c>
      <c r="FI760" s="1315" t="s">
        <v>2440</v>
      </c>
      <c r="FJ760" s="1315" t="s">
        <v>2441</v>
      </c>
      <c r="FK760" s="1315" t="s">
        <v>2442</v>
      </c>
      <c r="FL760" s="1316"/>
      <c r="FM760" s="1316"/>
      <c r="FN760" s="1316"/>
      <c r="FO760" s="1316"/>
      <c r="FP760" s="1316"/>
      <c r="FQ760" s="1316"/>
      <c r="FR760" s="1316"/>
      <c r="FS760" s="1316"/>
      <c r="FT760" s="1316"/>
      <c r="FU760" s="1316"/>
      <c r="FV760" s="1315" t="s">
        <v>484</v>
      </c>
      <c r="FW760" s="1315" t="s">
        <v>2439</v>
      </c>
      <c r="FX760" s="1315" t="s">
        <v>2440</v>
      </c>
      <c r="FY760" s="1315" t="s">
        <v>2441</v>
      </c>
      <c r="FZ760" s="1315" t="s">
        <v>2442</v>
      </c>
      <c r="GA760" s="1315" t="s">
        <v>484</v>
      </c>
      <c r="GB760" s="1315" t="s">
        <v>2439</v>
      </c>
      <c r="GC760" s="1315" t="s">
        <v>2440</v>
      </c>
      <c r="GD760" s="1315" t="s">
        <v>2441</v>
      </c>
      <c r="GE760" s="1315" t="s">
        <v>2442</v>
      </c>
      <c r="GF760" s="1315" t="s">
        <v>484</v>
      </c>
      <c r="GG760" s="1315" t="s">
        <v>2439</v>
      </c>
      <c r="GH760" s="1315" t="s">
        <v>2440</v>
      </c>
      <c r="GI760" s="1315" t="s">
        <v>2441</v>
      </c>
      <c r="GJ760" s="1315" t="s">
        <v>2442</v>
      </c>
      <c r="GK760" s="1315" t="s">
        <v>484</v>
      </c>
      <c r="GL760" s="1315" t="s">
        <v>2439</v>
      </c>
      <c r="GM760" s="1315" t="s">
        <v>2440</v>
      </c>
      <c r="GN760" s="1315" t="s">
        <v>2441</v>
      </c>
      <c r="GO760" s="1315" t="s">
        <v>2442</v>
      </c>
      <c r="GP760" s="1315" t="s">
        <v>484</v>
      </c>
      <c r="GQ760" s="1315" t="s">
        <v>2439</v>
      </c>
      <c r="GR760" s="1315" t="s">
        <v>2440</v>
      </c>
      <c r="GS760" s="1315" t="s">
        <v>2441</v>
      </c>
      <c r="GT760" s="1315" t="s">
        <v>2442</v>
      </c>
      <c r="GU760" s="1315" t="s">
        <v>484</v>
      </c>
      <c r="GV760" s="1315" t="s">
        <v>2439</v>
      </c>
      <c r="GW760" s="1315" t="s">
        <v>2440</v>
      </c>
      <c r="GX760" s="1315" t="s">
        <v>2441</v>
      </c>
      <c r="GY760" s="1315" t="s">
        <v>2442</v>
      </c>
      <c r="GZ760" s="1315" t="s">
        <v>484</v>
      </c>
      <c r="HA760" s="1315" t="s">
        <v>2439</v>
      </c>
      <c r="HB760" s="1315" t="s">
        <v>2440</v>
      </c>
      <c r="HC760" s="1315" t="s">
        <v>2441</v>
      </c>
      <c r="HD760" s="1315" t="s">
        <v>2442</v>
      </c>
      <c r="HE760" s="1315" t="s">
        <v>484</v>
      </c>
      <c r="HF760" s="1315" t="s">
        <v>2439</v>
      </c>
      <c r="HG760" s="1315" t="s">
        <v>2440</v>
      </c>
      <c r="HH760" s="1315" t="s">
        <v>2441</v>
      </c>
      <c r="HI760" s="1315" t="s">
        <v>2442</v>
      </c>
      <c r="HJ760" s="1315" t="s">
        <v>484</v>
      </c>
      <c r="HK760" s="1315" t="s">
        <v>2439</v>
      </c>
      <c r="HL760" s="1315" t="s">
        <v>2440</v>
      </c>
      <c r="HM760" s="1315" t="s">
        <v>2441</v>
      </c>
      <c r="HN760" s="1315" t="s">
        <v>2442</v>
      </c>
      <c r="HO760" s="1315" t="s">
        <v>484</v>
      </c>
      <c r="HP760" s="1315" t="s">
        <v>2439</v>
      </c>
      <c r="HQ760" s="1315" t="s">
        <v>2440</v>
      </c>
      <c r="HR760" s="1315" t="s">
        <v>2441</v>
      </c>
      <c r="HS760" s="1315" t="s">
        <v>2442</v>
      </c>
      <c r="HT760" s="1315" t="s">
        <v>484</v>
      </c>
      <c r="HU760" s="1315" t="s">
        <v>2439</v>
      </c>
      <c r="HV760" s="1315" t="s">
        <v>2440</v>
      </c>
      <c r="HW760" s="1315" t="s">
        <v>2441</v>
      </c>
      <c r="HX760" s="1315" t="s">
        <v>2442</v>
      </c>
      <c r="HY760" s="1315" t="s">
        <v>484</v>
      </c>
      <c r="HZ760" s="1315" t="s">
        <v>2439</v>
      </c>
      <c r="IA760" s="1315" t="s">
        <v>2440</v>
      </c>
      <c r="IB760" s="1315" t="s">
        <v>2441</v>
      </c>
      <c r="IC760" s="1315" t="s">
        <v>2442</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3421</v>
      </c>
      <c r="JD760" s="1318" t="s">
        <v>3422</v>
      </c>
      <c r="JE760" s="1318" t="s">
        <v>3423</v>
      </c>
      <c r="JF760" s="1318" t="s">
        <v>3424</v>
      </c>
      <c r="JG760" s="1318" t="s">
        <v>3425</v>
      </c>
    </row>
    <row r="761" spans="1:277" s="1314" customFormat="1" ht="3" customHeight="1">
      <c r="B761" s="1312"/>
      <c r="D761" s="1312"/>
      <c r="P761" s="1491" t="s">
        <v>4522</v>
      </c>
      <c r="Q761" s="1492"/>
      <c r="R761" s="1319"/>
      <c r="S761" s="1319"/>
      <c r="T761" s="1319"/>
      <c r="U761" s="1319"/>
      <c r="W761" s="1493" t="s">
        <v>918</v>
      </c>
      <c r="X761" s="1493" t="s">
        <v>755</v>
      </c>
      <c r="Y761" s="1493" t="s">
        <v>756</v>
      </c>
      <c r="Z761" s="1493" t="s">
        <v>757</v>
      </c>
      <c r="AA761" s="1493" t="s">
        <v>758</v>
      </c>
      <c r="AB761" s="1493" t="s">
        <v>919</v>
      </c>
      <c r="AC761" s="1493" t="s">
        <v>2309</v>
      </c>
      <c r="AD761" s="1493" t="s">
        <v>2310</v>
      </c>
      <c r="AE761" s="1493" t="s">
        <v>2311</v>
      </c>
      <c r="AF761" s="1493" t="s">
        <v>2312</v>
      </c>
      <c r="AG761" s="1493" t="s">
        <v>920</v>
      </c>
      <c r="AH761" s="1493" t="s">
        <v>2313</v>
      </c>
      <c r="AI761" s="1493" t="s">
        <v>2314</v>
      </c>
      <c r="AJ761" s="1493" t="s">
        <v>2315</v>
      </c>
      <c r="AK761" s="1493" t="s">
        <v>2316</v>
      </c>
      <c r="AL761" s="1493" t="s">
        <v>129</v>
      </c>
      <c r="AM761" s="1493" t="s">
        <v>2317</v>
      </c>
      <c r="AN761" s="1493" t="s">
        <v>2318</v>
      </c>
      <c r="AO761" s="1493" t="s">
        <v>2319</v>
      </c>
      <c r="AP761" s="1493" t="s">
        <v>1147</v>
      </c>
      <c r="AQ761" s="1493" t="s">
        <v>555</v>
      </c>
      <c r="AR761" s="1493" t="s">
        <v>556</v>
      </c>
      <c r="AS761" s="1493" t="s">
        <v>576</v>
      </c>
      <c r="AT761" s="1493" t="s">
        <v>577</v>
      </c>
      <c r="AU761" s="1493" t="s">
        <v>578</v>
      </c>
      <c r="AV761" s="1493" t="s">
        <v>579</v>
      </c>
      <c r="AW761" s="1493" t="s">
        <v>580</v>
      </c>
      <c r="AX761" s="1493" t="s">
        <v>581</v>
      </c>
      <c r="AY761" s="1493" t="s">
        <v>582</v>
      </c>
      <c r="AZ761" s="1493" t="s">
        <v>583</v>
      </c>
      <c r="BA761" s="1493" t="s">
        <v>584</v>
      </c>
      <c r="BB761" s="1493" t="s">
        <v>585</v>
      </c>
      <c r="BC761" s="1493" t="s">
        <v>930</v>
      </c>
      <c r="BD761" s="1493" t="s">
        <v>931</v>
      </c>
      <c r="BE761" s="1493" t="s">
        <v>932</v>
      </c>
      <c r="BF761" s="1493" t="s">
        <v>495</v>
      </c>
      <c r="BG761" s="1493" t="s">
        <v>496</v>
      </c>
      <c r="BH761" s="1493" t="s">
        <v>497</v>
      </c>
      <c r="BI761" s="1493" t="s">
        <v>498</v>
      </c>
      <c r="BJ761" s="1493" t="s">
        <v>499</v>
      </c>
      <c r="BK761" s="1493" t="s">
        <v>879</v>
      </c>
      <c r="BL761" s="1493" t="s">
        <v>880</v>
      </c>
      <c r="BM761" s="1493" t="s">
        <v>881</v>
      </c>
      <c r="BN761" s="1493" t="s">
        <v>882</v>
      </c>
      <c r="BO761" s="1493" t="s">
        <v>883</v>
      </c>
      <c r="BP761" s="1493" t="s">
        <v>884</v>
      </c>
      <c r="BQ761" s="1493" t="s">
        <v>885</v>
      </c>
      <c r="BR761" s="1493" t="s">
        <v>886</v>
      </c>
      <c r="BS761" s="1493" t="s">
        <v>887</v>
      </c>
      <c r="BT761" s="1493" t="s">
        <v>888</v>
      </c>
      <c r="BU761" s="1493" t="s">
        <v>2429</v>
      </c>
      <c r="BV761" s="1493" t="s">
        <v>2430</v>
      </c>
      <c r="BW761" s="1493" t="s">
        <v>2431</v>
      </c>
      <c r="BX761" s="1493" t="s">
        <v>2432</v>
      </c>
      <c r="BY761" s="1493" t="s">
        <v>2433</v>
      </c>
      <c r="BZ761" s="1493" t="s">
        <v>117</v>
      </c>
      <c r="CA761" s="1493" t="s">
        <v>1150</v>
      </c>
      <c r="CB761" s="1493" t="s">
        <v>1151</v>
      </c>
      <c r="CC761" s="1493" t="s">
        <v>1212</v>
      </c>
      <c r="CD761" s="1493" t="s">
        <v>1213</v>
      </c>
      <c r="CE761" s="1318" t="s">
        <v>132</v>
      </c>
      <c r="CF761" s="1318" t="s">
        <v>1214</v>
      </c>
      <c r="CG761" s="1318" t="s">
        <v>1215</v>
      </c>
      <c r="CH761" s="1318" t="s">
        <v>1216</v>
      </c>
      <c r="CI761" s="1318" t="s">
        <v>1217</v>
      </c>
      <c r="CJ761" s="1318" t="s">
        <v>131</v>
      </c>
      <c r="CK761" s="1318" t="s">
        <v>910</v>
      </c>
      <c r="CL761" s="1318" t="s">
        <v>911</v>
      </c>
      <c r="CM761" s="1318" t="s">
        <v>912</v>
      </c>
      <c r="CN761" s="1318" t="s">
        <v>913</v>
      </c>
      <c r="CO761" s="1318" t="s">
        <v>130</v>
      </c>
      <c r="CP761" s="1318" t="s">
        <v>914</v>
      </c>
      <c r="CQ761" s="1318" t="s">
        <v>915</v>
      </c>
      <c r="CR761" s="1318" t="s">
        <v>916</v>
      </c>
      <c r="CS761" s="1318" t="s">
        <v>917</v>
      </c>
      <c r="CT761" s="1318" t="s">
        <v>808</v>
      </c>
      <c r="CU761" s="1318" t="s">
        <v>809</v>
      </c>
      <c r="CV761" s="1318" t="s">
        <v>810</v>
      </c>
      <c r="CW761" s="1318" t="s">
        <v>811</v>
      </c>
      <c r="CX761" s="1318" t="s">
        <v>812</v>
      </c>
      <c r="CY761" s="1318" t="s">
        <v>956</v>
      </c>
      <c r="CZ761" s="1318" t="s">
        <v>957</v>
      </c>
      <c r="DA761" s="1318" t="s">
        <v>958</v>
      </c>
      <c r="DB761" s="1318" t="s">
        <v>959</v>
      </c>
      <c r="DC761" s="1318" t="s">
        <v>2428</v>
      </c>
      <c r="DD761" s="1318" t="s">
        <v>1432</v>
      </c>
      <c r="DE761" s="1318" t="s">
        <v>1433</v>
      </c>
      <c r="DF761" s="1318" t="s">
        <v>1434</v>
      </c>
      <c r="DG761" s="1318" t="s">
        <v>1435</v>
      </c>
      <c r="DH761" s="1318" t="s">
        <v>1436</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1810</v>
      </c>
      <c r="DW761" s="1318" t="s">
        <v>1811</v>
      </c>
      <c r="DX761" s="1318" t="s">
        <v>1812</v>
      </c>
      <c r="DY761" s="1318" t="s">
        <v>591</v>
      </c>
      <c r="DZ761" s="1318" t="s">
        <v>592</v>
      </c>
      <c r="EA761" s="1318" t="s">
        <v>593</v>
      </c>
      <c r="EB761" s="1318" t="s">
        <v>594</v>
      </c>
      <c r="EC761" s="1318" t="s">
        <v>22</v>
      </c>
      <c r="ED761" s="1318" t="s">
        <v>23</v>
      </c>
      <c r="EE761" s="1318" t="s">
        <v>24</v>
      </c>
      <c r="EF761" s="1318" t="s">
        <v>25</v>
      </c>
      <c r="EG761" s="1318" t="s">
        <v>26</v>
      </c>
      <c r="EH761" s="1318" t="s">
        <v>494</v>
      </c>
      <c r="EI761" s="1318" t="s">
        <v>432</v>
      </c>
      <c r="EJ761" s="1318" t="s">
        <v>433</v>
      </c>
      <c r="EK761" s="1318" t="s">
        <v>434</v>
      </c>
      <c r="EL761" s="1318" t="s">
        <v>435</v>
      </c>
      <c r="EM761" s="1318" t="s">
        <v>2207</v>
      </c>
      <c r="EN761" s="1318" t="s">
        <v>2208</v>
      </c>
      <c r="EO761" s="1318" t="s">
        <v>2209</v>
      </c>
      <c r="EP761" s="1318" t="s">
        <v>1478</v>
      </c>
      <c r="EQ761" s="1318" t="s">
        <v>1479</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1624</v>
      </c>
      <c r="IE761" s="1318" t="s">
        <v>2522</v>
      </c>
      <c r="IF761" s="1318" t="s">
        <v>2523</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2" customHeight="1">
      <c r="A762" s="1494" t="str">
        <f>IF(A805&gt;0,"Finish Row!","")</f>
        <v/>
      </c>
      <c r="B762" s="1312" t="s">
        <v>1845</v>
      </c>
      <c r="E762" s="1312"/>
      <c r="G762" s="1313" t="str">
        <f>'Part VI-Revenues &amp; Expenses'!G5</f>
        <v>&lt;Select&gt;</v>
      </c>
      <c r="H762" s="1312"/>
      <c r="I762" s="1495" t="s">
        <v>797</v>
      </c>
      <c r="J762" s="1495" t="s">
        <v>3562</v>
      </c>
      <c r="K762" s="1319"/>
      <c r="L762" s="1319"/>
      <c r="M762" s="1488" t="s">
        <v>575</v>
      </c>
      <c r="O762" s="1496" t="s">
        <v>1034</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3416</v>
      </c>
      <c r="JI762" s="1319" t="s">
        <v>3417</v>
      </c>
      <c r="JJ762" s="1319" t="s">
        <v>3418</v>
      </c>
      <c r="JK762" s="1319" t="s">
        <v>3419</v>
      </c>
      <c r="JL762" s="1319" t="s">
        <v>3420</v>
      </c>
      <c r="JM762" s="1318" t="s">
        <v>3430</v>
      </c>
      <c r="JN762" s="1318" t="s">
        <v>3432</v>
      </c>
      <c r="JO762" s="1318" t="s">
        <v>3433</v>
      </c>
      <c r="JP762" s="1318" t="s">
        <v>3434</v>
      </c>
      <c r="JQ762" s="1318" t="s">
        <v>3435</v>
      </c>
    </row>
    <row r="763" spans="1:277" s="1314" customFormat="1" ht="13.2" customHeight="1">
      <c r="A763" s="1494"/>
      <c r="B763" s="1497" t="s">
        <v>1804</v>
      </c>
      <c r="E763" s="1312"/>
      <c r="F763" s="1320" t="str">
        <f>'Part VI-Revenues &amp; Expenses'!F6</f>
        <v>&lt;Select&gt;</v>
      </c>
      <c r="G763" s="1495" t="s">
        <v>3662</v>
      </c>
      <c r="H763" s="1491" t="s">
        <v>3886</v>
      </c>
      <c r="I763" s="1495" t="s">
        <v>798</v>
      </c>
      <c r="J763" s="1495" t="s">
        <v>3665</v>
      </c>
      <c r="K763" s="1319"/>
      <c r="L763" s="1319"/>
      <c r="M763" s="1498" t="str">
        <f>'Part I-Project Information'!$O$40</f>
        <v>Albany</v>
      </c>
      <c r="N763" s="1498"/>
      <c r="O763" s="1499">
        <f>VLOOKUP('Part I-Project Information'!$O$40,'DCA Underwriting Assumptions'!$C$158:$D$268,2)</f>
        <v>53400</v>
      </c>
      <c r="P763" s="1491"/>
      <c r="Q763" s="1492"/>
      <c r="S763" s="1312" t="s">
        <v>2697</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3663</v>
      </c>
      <c r="H764" s="1491"/>
      <c r="I764" s="1468" t="s">
        <v>3847</v>
      </c>
      <c r="J764" s="1495" t="s">
        <v>3666</v>
      </c>
      <c r="K764" s="1319"/>
      <c r="L764" s="1319"/>
      <c r="P764" s="1491"/>
      <c r="Q764" s="1492"/>
      <c r="R764" s="1319"/>
      <c r="S764" s="1500"/>
      <c r="T764" s="1501" t="s">
        <v>2694</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1477</v>
      </c>
      <c r="C765" s="1495" t="s">
        <v>172</v>
      </c>
      <c r="D765" s="1495" t="s">
        <v>544</v>
      </c>
      <c r="E765" s="1495" t="s">
        <v>1475</v>
      </c>
      <c r="F765" s="1495" t="s">
        <v>1475</v>
      </c>
      <c r="G765" s="1495" t="s">
        <v>1477</v>
      </c>
      <c r="H765" s="1495" t="s">
        <v>3663</v>
      </c>
      <c r="I765" s="1468"/>
      <c r="J765" s="1495" t="s">
        <v>4523</v>
      </c>
      <c r="K765" s="1503" t="s">
        <v>145</v>
      </c>
      <c r="L765" s="1503"/>
      <c r="M765" s="1495" t="s">
        <v>2366</v>
      </c>
      <c r="N765" s="1495" t="s">
        <v>531</v>
      </c>
      <c r="O765" s="1495" t="s">
        <v>383</v>
      </c>
      <c r="P765" s="1491"/>
      <c r="Q765" s="1503" t="s">
        <v>3571</v>
      </c>
      <c r="R765" s="1503"/>
      <c r="S765" s="1495" t="s">
        <v>2693</v>
      </c>
      <c r="T765" s="1495" t="s">
        <v>2695</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1461</v>
      </c>
      <c r="EX765" s="1320" t="s">
        <v>2439</v>
      </c>
      <c r="EY765" s="1320" t="s">
        <v>2440</v>
      </c>
      <c r="EZ765" s="1320" t="s">
        <v>2441</v>
      </c>
      <c r="FA765" s="1320" t="s">
        <v>2442</v>
      </c>
      <c r="FB765" s="1318" t="s">
        <v>2496</v>
      </c>
      <c r="FC765" s="1318" t="s">
        <v>2496</v>
      </c>
      <c r="FD765" s="1318" t="s">
        <v>2496</v>
      </c>
      <c r="FE765" s="1318" t="s">
        <v>2496</v>
      </c>
      <c r="FF765" s="1318" t="s">
        <v>2496</v>
      </c>
      <c r="FG765" s="1318" t="s">
        <v>3364</v>
      </c>
      <c r="FH765" s="1318" t="s">
        <v>3364</v>
      </c>
      <c r="FI765" s="1318" t="s">
        <v>3364</v>
      </c>
      <c r="FJ765" s="1318" t="s">
        <v>3364</v>
      </c>
      <c r="FK765" s="1318" t="s">
        <v>3364</v>
      </c>
      <c r="FL765" s="1320" t="s">
        <v>567</v>
      </c>
      <c r="FM765" s="1320" t="s">
        <v>2439</v>
      </c>
      <c r="FN765" s="1320" t="s">
        <v>2440</v>
      </c>
      <c r="FO765" s="1320" t="s">
        <v>2441</v>
      </c>
      <c r="FP765" s="1320" t="s">
        <v>2442</v>
      </c>
      <c r="FQ765" s="1320" t="s">
        <v>567</v>
      </c>
      <c r="FR765" s="1320" t="s">
        <v>2439</v>
      </c>
      <c r="FS765" s="1320" t="s">
        <v>2440</v>
      </c>
      <c r="FT765" s="1320" t="s">
        <v>2441</v>
      </c>
      <c r="FU765" s="1320" t="s">
        <v>2442</v>
      </c>
      <c r="FV765" s="1318" t="s">
        <v>2498</v>
      </c>
      <c r="FW765" s="1318" t="s">
        <v>2498</v>
      </c>
      <c r="FX765" s="1318" t="s">
        <v>2498</v>
      </c>
      <c r="FY765" s="1318" t="s">
        <v>2498</v>
      </c>
      <c r="FZ765" s="1318" t="s">
        <v>2498</v>
      </c>
      <c r="GA765" s="1318" t="s">
        <v>3360</v>
      </c>
      <c r="GB765" s="1318" t="s">
        <v>3360</v>
      </c>
      <c r="GC765" s="1318" t="s">
        <v>3360</v>
      </c>
      <c r="GD765" s="1318" t="s">
        <v>3360</v>
      </c>
      <c r="GE765" s="1318" t="s">
        <v>3360</v>
      </c>
      <c r="GF765" s="1318" t="s">
        <v>358</v>
      </c>
      <c r="GG765" s="1318" t="s">
        <v>358</v>
      </c>
      <c r="GH765" s="1318" t="s">
        <v>358</v>
      </c>
      <c r="GI765" s="1318" t="s">
        <v>358</v>
      </c>
      <c r="GJ765" s="1318" t="s">
        <v>358</v>
      </c>
      <c r="GK765" s="1318" t="s">
        <v>3359</v>
      </c>
      <c r="GL765" s="1318" t="s">
        <v>3359</v>
      </c>
      <c r="GM765" s="1318" t="s">
        <v>3359</v>
      </c>
      <c r="GN765" s="1318" t="s">
        <v>3359</v>
      </c>
      <c r="GO765" s="1318" t="s">
        <v>3359</v>
      </c>
      <c r="GP765" s="1318" t="s">
        <v>359</v>
      </c>
      <c r="GQ765" s="1318" t="s">
        <v>359</v>
      </c>
      <c r="GR765" s="1318" t="s">
        <v>359</v>
      </c>
      <c r="GS765" s="1318" t="s">
        <v>359</v>
      </c>
      <c r="GT765" s="1318" t="s">
        <v>359</v>
      </c>
      <c r="GU765" s="1318" t="s">
        <v>3358</v>
      </c>
      <c r="GV765" s="1318" t="s">
        <v>3358</v>
      </c>
      <c r="GW765" s="1318" t="s">
        <v>3358</v>
      </c>
      <c r="GX765" s="1318" t="s">
        <v>3358</v>
      </c>
      <c r="GY765" s="1318" t="s">
        <v>3358</v>
      </c>
      <c r="GZ765" s="1318" t="s">
        <v>360</v>
      </c>
      <c r="HA765" s="1318" t="s">
        <v>360</v>
      </c>
      <c r="HB765" s="1318" t="s">
        <v>360</v>
      </c>
      <c r="HC765" s="1318" t="s">
        <v>360</v>
      </c>
      <c r="HD765" s="1318" t="s">
        <v>360</v>
      </c>
      <c r="HE765" s="1318" t="s">
        <v>3361</v>
      </c>
      <c r="HF765" s="1318" t="s">
        <v>3361</v>
      </c>
      <c r="HG765" s="1318" t="s">
        <v>3361</v>
      </c>
      <c r="HH765" s="1318" t="s">
        <v>3361</v>
      </c>
      <c r="HI765" s="1318" t="s">
        <v>3361</v>
      </c>
      <c r="HJ765" s="1318" t="s">
        <v>361</v>
      </c>
      <c r="HK765" s="1318" t="s">
        <v>361</v>
      </c>
      <c r="HL765" s="1318" t="s">
        <v>361</v>
      </c>
      <c r="HM765" s="1318" t="s">
        <v>361</v>
      </c>
      <c r="HN765" s="1318" t="s">
        <v>361</v>
      </c>
      <c r="HO765" s="1318" t="s">
        <v>3362</v>
      </c>
      <c r="HP765" s="1318" t="s">
        <v>3362</v>
      </c>
      <c r="HQ765" s="1318" t="s">
        <v>3362</v>
      </c>
      <c r="HR765" s="1318" t="s">
        <v>3362</v>
      </c>
      <c r="HS765" s="1318" t="s">
        <v>3362</v>
      </c>
      <c r="HT765" s="1318" t="s">
        <v>1460</v>
      </c>
      <c r="HU765" s="1318" t="s">
        <v>1460</v>
      </c>
      <c r="HV765" s="1318" t="s">
        <v>1460</v>
      </c>
      <c r="HW765" s="1318" t="s">
        <v>1460</v>
      </c>
      <c r="HX765" s="1318" t="s">
        <v>1460</v>
      </c>
      <c r="HY765" s="1318" t="s">
        <v>3363</v>
      </c>
      <c r="HZ765" s="1318" t="s">
        <v>3363</v>
      </c>
      <c r="IA765" s="1318" t="s">
        <v>3363</v>
      </c>
      <c r="IB765" s="1318" t="s">
        <v>3363</v>
      </c>
      <c r="IC765" s="1318" t="s">
        <v>3363</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1295</v>
      </c>
      <c r="C766" s="1495" t="s">
        <v>171</v>
      </c>
      <c r="D766" s="1495" t="s">
        <v>173</v>
      </c>
      <c r="E766" s="1495" t="s">
        <v>1476</v>
      </c>
      <c r="F766" s="1495" t="s">
        <v>1278</v>
      </c>
      <c r="G766" s="1495" t="s">
        <v>3664</v>
      </c>
      <c r="H766" s="1495" t="s">
        <v>1477</v>
      </c>
      <c r="I766" s="1468"/>
      <c r="J766" s="1504" t="s">
        <v>350</v>
      </c>
      <c r="K766" s="1495" t="s">
        <v>1529</v>
      </c>
      <c r="L766" s="1495" t="s">
        <v>538</v>
      </c>
      <c r="M766" s="1495" t="s">
        <v>1475</v>
      </c>
      <c r="N766" s="1495" t="s">
        <v>3313</v>
      </c>
      <c r="O766" s="1495" t="s">
        <v>384</v>
      </c>
      <c r="P766" s="1491"/>
      <c r="Q766" s="1495" t="s">
        <v>3572</v>
      </c>
      <c r="R766" s="1495" t="s">
        <v>1039</v>
      </c>
      <c r="S766" s="1495" t="s">
        <v>1477</v>
      </c>
      <c r="T766" s="1495" t="s">
        <v>2696</v>
      </c>
      <c r="U766" s="1490" t="s">
        <v>1844</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2495</v>
      </c>
      <c r="EY766" s="1320" t="s">
        <v>2495</v>
      </c>
      <c r="EZ766" s="1320" t="s">
        <v>2495</v>
      </c>
      <c r="FA766" s="1320" t="s">
        <v>2495</v>
      </c>
      <c r="FB766" s="1318"/>
      <c r="FC766" s="1318"/>
      <c r="FD766" s="1318"/>
      <c r="FE766" s="1318"/>
      <c r="FF766" s="1318"/>
      <c r="FG766" s="1318"/>
      <c r="FH766" s="1318"/>
      <c r="FI766" s="1318"/>
      <c r="FJ766" s="1318"/>
      <c r="FK766" s="1318"/>
      <c r="FL766" s="1320" t="s">
        <v>2497</v>
      </c>
      <c r="FM766" s="1320" t="s">
        <v>2497</v>
      </c>
      <c r="FN766" s="1320" t="s">
        <v>2497</v>
      </c>
      <c r="FO766" s="1320" t="s">
        <v>2497</v>
      </c>
      <c r="FP766" s="1320" t="s">
        <v>2497</v>
      </c>
      <c r="FQ766" s="1320" t="s">
        <v>3365</v>
      </c>
      <c r="FR766" s="1320" t="s">
        <v>3365</v>
      </c>
      <c r="FS766" s="1320" t="s">
        <v>3365</v>
      </c>
      <c r="FT766" s="1320" t="s">
        <v>3365</v>
      </c>
      <c r="FU766" s="1320" t="s">
        <v>3365</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2</v>
      </c>
      <c r="D767" s="1830">
        <f>'Part VI-Revenues &amp; Expenses'!D10</f>
        <v>1</v>
      </c>
      <c r="E767" s="1831">
        <f>'Part VI-Revenues &amp; Expenses'!E10</f>
        <v>1</v>
      </c>
      <c r="F767" s="1831">
        <f>'Part VI-Revenues &amp; Expenses'!F10</f>
        <v>915</v>
      </c>
      <c r="G767" s="1831">
        <f>'Part VI-Revenues &amp; Expenses'!G10</f>
        <v>0</v>
      </c>
      <c r="H767" s="1831">
        <f>'Part VI-Revenues &amp; Expenses'!H10</f>
        <v>0</v>
      </c>
      <c r="I767" s="1831">
        <f>'Part VI-Revenues &amp; Expenses'!I10</f>
        <v>72</v>
      </c>
      <c r="J767" s="1832">
        <f>'Part VI-Revenues &amp; Expenses'!J10</f>
        <v>0</v>
      </c>
      <c r="K767" s="1505">
        <f t="shared" ref="K767:K804" si="1">MAX(0,H767-I767)</f>
        <v>0</v>
      </c>
      <c r="L767" s="1505">
        <f t="shared" ref="L767:L804" si="2">MAX(0,E767*K767)</f>
        <v>0</v>
      </c>
      <c r="M767" s="1816" t="str">
        <f>'Part VI-Revenues &amp; Expenses'!M10</f>
        <v>Common Space</v>
      </c>
      <c r="N767" s="1816" t="str">
        <f>'Part VI-Revenues &amp; Expenses'!N10</f>
        <v>2-Story Walkup</v>
      </c>
      <c r="O767" s="1816" t="str">
        <f>'Part VI-Revenues &amp; Expenses'!O10</f>
        <v>Acquisition/Rehab</v>
      </c>
      <c r="P767" s="1316" t="str">
        <f>'Part VI-Revenues &amp; Expenses'!P10</f>
        <v>No</v>
      </c>
      <c r="Q767" s="1506">
        <f>'Part VI-Revenues &amp; Expenses'!Q10</f>
        <v>0</v>
      </c>
      <c r="R767" s="1507">
        <f>'Part VI-Revenues &amp; Expenses'!R10</f>
        <v>0</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f t="shared" ref="BW767:BW804" si="55">IF(AND(C767=2,M767="Common Space"),E767,"")</f>
        <v>1</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f t="shared" ref="DA767:DA804" si="85">IF(AND(C767=2,M767="Common Space"),E767*F767,"")</f>
        <v>915</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f t="shared" ref="EE767:EE804" si="115">IF(AND($C767=2, $O767="Acquisition/Rehab",$B767="N/A-CS",$M767="Common Space"),$E767,"")</f>
        <v>1</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f t="shared" ref="EY767:EY804" si="135">IF(AND($C767=2, NOT(OR($N767="SF Detached",$N767="Mfd Home",$N767="Duplex",$N767="Townhome"))),$E767,"")</f>
        <v>1</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f t="shared" ref="HL767:HL804" si="200">IF(AND($C767=2, $N767="2-Story Walkup",NOT($P767="Yes")),$E767,"")</f>
        <v>1</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1</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0</v>
      </c>
      <c r="D769" s="1830">
        <f>'Part VI-Revenues &amp; Expenses'!D12</f>
        <v>0</v>
      </c>
      <c r="E769" s="1831">
        <f>'Part VI-Revenues &amp; Expenses'!E12</f>
        <v>0</v>
      </c>
      <c r="F769" s="1831">
        <f>'Part VI-Revenues &amp; Expenses'!F12</f>
        <v>0</v>
      </c>
      <c r="G769" s="1831">
        <f>'Part VI-Revenues &amp; Expenses'!G12</f>
        <v>0</v>
      </c>
      <c r="H769" s="1831">
        <f>'Part VI-Revenues &amp; Expenses'!H12</f>
        <v>0</v>
      </c>
      <c r="I769" s="1831">
        <f>'Part VI-Revenues &amp; Expenses'!I12</f>
        <v>0</v>
      </c>
      <c r="J769" s="1832">
        <f>'Part VI-Revenues &amp; Expenses'!J12</f>
        <v>0</v>
      </c>
      <c r="K769" s="1505">
        <f t="shared" si="1"/>
        <v>0</v>
      </c>
      <c r="L769" s="1505">
        <f t="shared" si="2"/>
        <v>0</v>
      </c>
      <c r="M769" s="1816">
        <f>'Part VI-Revenues &amp; Expenses'!M12</f>
        <v>0</v>
      </c>
      <c r="N769" s="1816">
        <f>'Part VI-Revenues &amp; Expenses'!N12</f>
        <v>0</v>
      </c>
      <c r="O769" s="1816">
        <f>'Part VI-Revenues &amp; Expenses'!O12</f>
        <v>0</v>
      </c>
      <c r="P769" s="1316">
        <f>'Part VI-Revenues &amp; Expenses'!P12</f>
        <v>0</v>
      </c>
      <c r="Q769" s="1506" t="str">
        <f>'Part VI-Revenues &amp; Expenses'!Q12</f>
        <v/>
      </c>
      <c r="R769" s="1507" t="str">
        <f>'Part VI-Revenues &amp; Expenses'!R12</f>
        <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0</v>
      </c>
      <c r="D770" s="1830">
        <f>'Part VI-Revenues &amp; Expenses'!D13</f>
        <v>0</v>
      </c>
      <c r="E770" s="1831">
        <f>'Part VI-Revenues &amp; Expenses'!E13</f>
        <v>0</v>
      </c>
      <c r="F770" s="1831">
        <f>'Part VI-Revenues &amp; Expenses'!F13</f>
        <v>0</v>
      </c>
      <c r="G770" s="1831">
        <f>'Part VI-Revenues &amp; Expenses'!G13</f>
        <v>0</v>
      </c>
      <c r="H770" s="1831">
        <f>'Part VI-Revenues &amp; Expenses'!H13</f>
        <v>0</v>
      </c>
      <c r="I770" s="1831">
        <f>'Part VI-Revenues &amp; Expenses'!I13</f>
        <v>0</v>
      </c>
      <c r="J770" s="1832">
        <f>'Part VI-Revenues &amp; Expenses'!J13</f>
        <v>0</v>
      </c>
      <c r="K770" s="1505">
        <f t="shared" si="1"/>
        <v>0</v>
      </c>
      <c r="L770" s="1505">
        <f t="shared" si="2"/>
        <v>0</v>
      </c>
      <c r="M770" s="1816">
        <f>'Part VI-Revenues &amp; Expenses'!M13</f>
        <v>0</v>
      </c>
      <c r="N770" s="1816">
        <f>'Part VI-Revenues &amp; Expenses'!N13</f>
        <v>0</v>
      </c>
      <c r="O770" s="1816">
        <f>'Part VI-Revenues &amp; Expenses'!O13</f>
        <v>0</v>
      </c>
      <c r="P770" s="1316">
        <f>'Part VI-Revenues &amp; Expenses'!P13</f>
        <v>0</v>
      </c>
      <c r="Q770" s="1506" t="str">
        <f>'Part VI-Revenues &amp; Expenses'!Q13</f>
        <v/>
      </c>
      <c r="R770" s="1507" t="str">
        <f>'Part VI-Revenues &amp; Expenses'!R13</f>
        <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t="str">
        <f t="shared" si="135"/>
        <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0</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50</v>
      </c>
      <c r="C774" s="1829">
        <f>'Part VI-Revenues &amp; Expenses'!C17</f>
        <v>1</v>
      </c>
      <c r="D774" s="1830">
        <f>'Part VI-Revenues &amp; Expenses'!D17</f>
        <v>1</v>
      </c>
      <c r="E774" s="1831">
        <f>'Part VI-Revenues &amp; Expenses'!E17</f>
        <v>6</v>
      </c>
      <c r="F774" s="1831">
        <f>'Part VI-Revenues &amp; Expenses'!F17</f>
        <v>756</v>
      </c>
      <c r="G774" s="1831">
        <f>'Part VI-Revenues &amp; Expenses'!G17</f>
        <v>513</v>
      </c>
      <c r="H774" s="1831">
        <f>'Part VI-Revenues &amp; Expenses'!H17</f>
        <v>455</v>
      </c>
      <c r="I774" s="1831">
        <f>'Part VI-Revenues &amp; Expenses'!I17</f>
        <v>55</v>
      </c>
      <c r="J774" s="1832">
        <f>'Part VI-Revenues &amp; Expenses'!J17</f>
        <v>0</v>
      </c>
      <c r="K774" s="1505">
        <f t="shared" si="1"/>
        <v>400</v>
      </c>
      <c r="L774" s="1505">
        <f t="shared" si="2"/>
        <v>2400</v>
      </c>
      <c r="M774" s="1816" t="str">
        <f>'Part VI-Revenues &amp; Expenses'!M17</f>
        <v>Residential</v>
      </c>
      <c r="N774" s="1816" t="str">
        <f>'Part VI-Revenues &amp; Expenses'!N17</f>
        <v>2-Story Walkup</v>
      </c>
      <c r="O774" s="1816" t="str">
        <f>'Part VI-Revenues &amp; Expenses'!O17</f>
        <v>Acquisition/Rehab</v>
      </c>
      <c r="P774" s="1316" t="str">
        <f>'Part VI-Revenues &amp; Expenses'!P17</f>
        <v>No</v>
      </c>
      <c r="Q774" s="1506">
        <f>'Part VI-Revenues &amp; Expenses'!Q17</f>
        <v>18200</v>
      </c>
      <c r="R774" s="1507">
        <f>'Part VI-Revenues &amp; Expenses'!R17</f>
        <v>0.45443196004993758</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f t="shared" si="104"/>
        <v>6</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f t="shared" si="134"/>
        <v>6</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t="str">
        <f t="shared" si="169"/>
        <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f t="shared" si="199"/>
        <v>6</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t="str">
        <f t="shared" si="209"/>
        <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6</v>
      </c>
      <c r="JE774" s="1320">
        <f t="shared" si="245"/>
        <v>0</v>
      </c>
      <c r="JF774" s="1320">
        <f t="shared" si="246"/>
        <v>0</v>
      </c>
      <c r="JG774" s="1320">
        <f t="shared" si="247"/>
        <v>0</v>
      </c>
      <c r="JH774" s="1320">
        <f t="shared" si="248"/>
        <v>0</v>
      </c>
      <c r="JI774" s="1320">
        <f t="shared" si="249"/>
        <v>0</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60</v>
      </c>
      <c r="C775" s="1829">
        <f>'Part VI-Revenues &amp; Expenses'!C18</f>
        <v>1</v>
      </c>
      <c r="D775" s="1830">
        <f>'Part VI-Revenues &amp; Expenses'!D18</f>
        <v>1</v>
      </c>
      <c r="E775" s="1831">
        <f>'Part VI-Revenues &amp; Expenses'!E18</f>
        <v>6</v>
      </c>
      <c r="F775" s="1831">
        <f>'Part VI-Revenues &amp; Expenses'!F18</f>
        <v>756</v>
      </c>
      <c r="G775" s="1831">
        <f>'Part VI-Revenues &amp; Expenses'!G18</f>
        <v>626</v>
      </c>
      <c r="H775" s="1831">
        <f>'Part VI-Revenues &amp; Expenses'!H18</f>
        <v>505</v>
      </c>
      <c r="I775" s="1831">
        <f>'Part VI-Revenues &amp; Expenses'!I18</f>
        <v>55</v>
      </c>
      <c r="J775" s="1832">
        <f>'Part VI-Revenues &amp; Expenses'!J18</f>
        <v>0</v>
      </c>
      <c r="K775" s="1505">
        <f t="shared" si="1"/>
        <v>450</v>
      </c>
      <c r="L775" s="1505">
        <f t="shared" si="2"/>
        <v>2700</v>
      </c>
      <c r="M775" s="1816" t="str">
        <f>'Part VI-Revenues &amp; Expenses'!M18</f>
        <v>Residential</v>
      </c>
      <c r="N775" s="1816" t="str">
        <f>'Part VI-Revenues &amp; Expenses'!N18</f>
        <v>2-Story Walkup</v>
      </c>
      <c r="O775" s="1816" t="str">
        <f>'Part VI-Revenues &amp; Expenses'!O18</f>
        <v>Acquisition/Rehab</v>
      </c>
      <c r="P775" s="1316" t="str">
        <f>'Part VI-Revenues &amp; Expenses'!P18</f>
        <v>No</v>
      </c>
      <c r="Q775" s="1506">
        <f>'Part VI-Revenues &amp; Expenses'!Q18</f>
        <v>20200</v>
      </c>
      <c r="R775" s="1507">
        <f>'Part VI-Revenues &amp; Expenses'!R18</f>
        <v>0.50436953807740326</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f t="shared" si="104"/>
        <v>6</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f t="shared" si="134"/>
        <v>6</v>
      </c>
      <c r="EY775" s="1321" t="str">
        <f t="shared" si="135"/>
        <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f t="shared" si="199"/>
        <v>6</v>
      </c>
      <c r="HL775" s="1321" t="str">
        <f t="shared" si="200"/>
        <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t="str">
        <f t="shared" si="210"/>
        <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6</v>
      </c>
      <c r="JE775" s="1320">
        <f t="shared" si="245"/>
        <v>0</v>
      </c>
      <c r="JF775" s="1320">
        <f t="shared" si="246"/>
        <v>0</v>
      </c>
      <c r="JG775" s="1320">
        <f t="shared" si="247"/>
        <v>0</v>
      </c>
      <c r="JH775" s="1320">
        <f t="shared" si="248"/>
        <v>0</v>
      </c>
      <c r="JI775" s="1320">
        <f t="shared" si="249"/>
        <v>0</v>
      </c>
      <c r="JJ775" s="1320">
        <f t="shared" si="250"/>
        <v>0</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50</v>
      </c>
      <c r="C776" s="1829">
        <f>'Part VI-Revenues &amp; Expenses'!C19</f>
        <v>2</v>
      </c>
      <c r="D776" s="1830">
        <f>'Part VI-Revenues &amp; Expenses'!D19</f>
        <v>1</v>
      </c>
      <c r="E776" s="1831">
        <f>'Part VI-Revenues &amp; Expenses'!E19</f>
        <v>12</v>
      </c>
      <c r="F776" s="1831">
        <f>'Part VI-Revenues &amp; Expenses'!F19</f>
        <v>915</v>
      </c>
      <c r="G776" s="1831">
        <f>'Part VI-Revenues &amp; Expenses'!G19</f>
        <v>609</v>
      </c>
      <c r="H776" s="1831">
        <f>'Part VI-Revenues &amp; Expenses'!H19</f>
        <v>537</v>
      </c>
      <c r="I776" s="1831">
        <f>'Part VI-Revenues &amp; Expenses'!I19</f>
        <v>72</v>
      </c>
      <c r="J776" s="1832">
        <f>'Part VI-Revenues &amp; Expenses'!J19</f>
        <v>0</v>
      </c>
      <c r="K776" s="1505">
        <f t="shared" si="1"/>
        <v>465</v>
      </c>
      <c r="L776" s="1505">
        <f t="shared" si="2"/>
        <v>5580</v>
      </c>
      <c r="M776" s="1816" t="str">
        <f>'Part VI-Revenues &amp; Expenses'!M19</f>
        <v>Residential</v>
      </c>
      <c r="N776" s="1816" t="str">
        <f>'Part VI-Revenues &amp; Expenses'!N19</f>
        <v>2-Story Walkup</v>
      </c>
      <c r="O776" s="1816" t="str">
        <f>'Part VI-Revenues &amp; Expenses'!O19</f>
        <v>Acquisition/Rehab</v>
      </c>
      <c r="P776" s="1316" t="str">
        <f>'Part VI-Revenues &amp; Expenses'!P19</f>
        <v>No</v>
      </c>
      <c r="Q776" s="1506">
        <f>'Part VI-Revenues &amp; Expenses'!Q19</f>
        <v>21480</v>
      </c>
      <c r="R776" s="1507">
        <f>'Part VI-Revenues &amp; Expenses'!R19</f>
        <v>0.44694132334581771</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f t="shared" si="105"/>
        <v>12</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f t="shared" si="135"/>
        <v>12</v>
      </c>
      <c r="EZ776" s="1321" t="str">
        <f t="shared" si="136"/>
        <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f t="shared" si="200"/>
        <v>12</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t="str">
        <f t="shared" si="210"/>
        <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12</v>
      </c>
      <c r="JF776" s="1320">
        <f t="shared" si="246"/>
        <v>0</v>
      </c>
      <c r="JG776" s="1320">
        <f t="shared" si="247"/>
        <v>0</v>
      </c>
      <c r="JH776" s="1320">
        <f t="shared" si="248"/>
        <v>0</v>
      </c>
      <c r="JI776" s="1320">
        <f t="shared" si="249"/>
        <v>0</v>
      </c>
      <c r="JJ776" s="1320">
        <f t="shared" si="250"/>
        <v>0</v>
      </c>
      <c r="JK776" s="1320">
        <f t="shared" si="251"/>
        <v>0</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60</v>
      </c>
      <c r="C777" s="1829">
        <f>'Part VI-Revenues &amp; Expenses'!C20</f>
        <v>2</v>
      </c>
      <c r="D777" s="1830">
        <f>'Part VI-Revenues &amp; Expenses'!D20</f>
        <v>1</v>
      </c>
      <c r="E777" s="1831">
        <f>'Part VI-Revenues &amp; Expenses'!E20</f>
        <v>11</v>
      </c>
      <c r="F777" s="1831">
        <f>'Part VI-Revenues &amp; Expenses'!F20</f>
        <v>915</v>
      </c>
      <c r="G777" s="1831">
        <f>'Part VI-Revenues &amp; Expenses'!G20</f>
        <v>745</v>
      </c>
      <c r="H777" s="1831">
        <f>'Part VI-Revenues &amp; Expenses'!H20</f>
        <v>562</v>
      </c>
      <c r="I777" s="1831">
        <f>'Part VI-Revenues &amp; Expenses'!I20</f>
        <v>72</v>
      </c>
      <c r="J777" s="1832">
        <f>'Part VI-Revenues &amp; Expenses'!J20</f>
        <v>0</v>
      </c>
      <c r="K777" s="1505">
        <f t="shared" si="1"/>
        <v>490</v>
      </c>
      <c r="L777" s="1505">
        <f t="shared" si="2"/>
        <v>5390</v>
      </c>
      <c r="M777" s="1816" t="str">
        <f>'Part VI-Revenues &amp; Expenses'!M20</f>
        <v>Residential</v>
      </c>
      <c r="N777" s="1816" t="str">
        <f>'Part VI-Revenues &amp; Expenses'!N20</f>
        <v>2-Story Walkup</v>
      </c>
      <c r="O777" s="1816" t="str">
        <f>'Part VI-Revenues &amp; Expenses'!O20</f>
        <v>Acquisition/Rehab</v>
      </c>
      <c r="P777" s="1316" t="str">
        <f>'Part VI-Revenues &amp; Expenses'!P20</f>
        <v>No</v>
      </c>
      <c r="Q777" s="1506">
        <f>'Part VI-Revenues &amp; Expenses'!Q20</f>
        <v>22480</v>
      </c>
      <c r="R777" s="1507">
        <f>'Part VI-Revenues &amp; Expenses'!R20</f>
        <v>0.46774864752392842</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f t="shared" si="105"/>
        <v>11</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t="str">
        <f t="shared" si="134"/>
        <v/>
      </c>
      <c r="EY777" s="1321">
        <f t="shared" si="135"/>
        <v>11</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f t="shared" si="200"/>
        <v>11</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t="str">
        <f t="shared" si="209"/>
        <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11</v>
      </c>
      <c r="JF777" s="1320">
        <f t="shared" si="246"/>
        <v>0</v>
      </c>
      <c r="JG777" s="1320">
        <f t="shared" si="247"/>
        <v>0</v>
      </c>
      <c r="JH777" s="1320">
        <f t="shared" si="248"/>
        <v>0</v>
      </c>
      <c r="JI777" s="1320">
        <f t="shared" si="249"/>
        <v>0</v>
      </c>
      <c r="JJ777" s="1320">
        <f t="shared" si="250"/>
        <v>0</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50</v>
      </c>
      <c r="C778" s="1829">
        <f>'Part VI-Revenues &amp; Expenses'!C21</f>
        <v>3</v>
      </c>
      <c r="D778" s="1830">
        <f>'Part VI-Revenues &amp; Expenses'!D21</f>
        <v>2</v>
      </c>
      <c r="E778" s="1831">
        <f>'Part VI-Revenues &amp; Expenses'!E21</f>
        <v>2</v>
      </c>
      <c r="F778" s="1831">
        <f>'Part VI-Revenues &amp; Expenses'!F21</f>
        <v>1136</v>
      </c>
      <c r="G778" s="1831">
        <f>'Part VI-Revenues &amp; Expenses'!G21</f>
        <v>698</v>
      </c>
      <c r="H778" s="1831">
        <f>'Part VI-Revenues &amp; Expenses'!H21</f>
        <v>609</v>
      </c>
      <c r="I778" s="1831">
        <f>'Part VI-Revenues &amp; Expenses'!I21</f>
        <v>89</v>
      </c>
      <c r="J778" s="1832">
        <f>'Part VI-Revenues &amp; Expenses'!J21</f>
        <v>0</v>
      </c>
      <c r="K778" s="1505">
        <f t="shared" si="1"/>
        <v>520</v>
      </c>
      <c r="L778" s="1505">
        <f t="shared" si="2"/>
        <v>1040</v>
      </c>
      <c r="M778" s="1816" t="str">
        <f>'Part VI-Revenues &amp; Expenses'!M21</f>
        <v>Residential</v>
      </c>
      <c r="N778" s="1816" t="str">
        <f>'Part VI-Revenues &amp; Expenses'!N21</f>
        <v>2-Story Walkup</v>
      </c>
      <c r="O778" s="1816" t="str">
        <f>'Part VI-Revenues &amp; Expenses'!O21</f>
        <v>Acquisition/Rehab</v>
      </c>
      <c r="P778" s="1316" t="str">
        <f>'Part VI-Revenues &amp; Expenses'!P21</f>
        <v>No</v>
      </c>
      <c r="Q778" s="1506">
        <f>'Part VI-Revenues &amp; Expenses'!Q21</f>
        <v>24360</v>
      </c>
      <c r="R778" s="1507">
        <f>'Part VI-Revenues &amp; Expenses'!R21</f>
        <v>0.43863439930855663</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f t="shared" si="106"/>
        <v>2</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t="str">
        <f t="shared" si="135"/>
        <v/>
      </c>
      <c r="EZ778" s="1321">
        <f t="shared" si="136"/>
        <v>2</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t="str">
        <f t="shared" si="200"/>
        <v/>
      </c>
      <c r="HM778" s="1321">
        <f t="shared" si="201"/>
        <v>2</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t="str">
        <f t="shared" si="210"/>
        <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2</v>
      </c>
      <c r="JG778" s="1320">
        <f t="shared" si="247"/>
        <v>0</v>
      </c>
      <c r="JH778" s="1320">
        <f t="shared" si="248"/>
        <v>0</v>
      </c>
      <c r="JI778" s="1320">
        <f t="shared" si="249"/>
        <v>0</v>
      </c>
      <c r="JJ778" s="1320">
        <f t="shared" si="250"/>
        <v>0</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60</v>
      </c>
      <c r="C779" s="1829">
        <f>'Part VI-Revenues &amp; Expenses'!C22</f>
        <v>3</v>
      </c>
      <c r="D779" s="1830">
        <f>'Part VI-Revenues &amp; Expenses'!D22</f>
        <v>2</v>
      </c>
      <c r="E779" s="1831">
        <f>'Part VI-Revenues &amp; Expenses'!E22</f>
        <v>2</v>
      </c>
      <c r="F779" s="1831">
        <f>'Part VI-Revenues &amp; Expenses'!F22</f>
        <v>1136</v>
      </c>
      <c r="G779" s="1831">
        <f>'Part VI-Revenues &amp; Expenses'!G22</f>
        <v>856</v>
      </c>
      <c r="H779" s="1831">
        <f>'Part VI-Revenues &amp; Expenses'!H22</f>
        <v>639</v>
      </c>
      <c r="I779" s="1831">
        <f>'Part VI-Revenues &amp; Expenses'!I22</f>
        <v>89</v>
      </c>
      <c r="J779" s="1832">
        <f>'Part VI-Revenues &amp; Expenses'!J22</f>
        <v>0</v>
      </c>
      <c r="K779" s="1505">
        <f t="shared" si="1"/>
        <v>550</v>
      </c>
      <c r="L779" s="1505">
        <f t="shared" si="2"/>
        <v>1100</v>
      </c>
      <c r="M779" s="1816" t="str">
        <f>'Part VI-Revenues &amp; Expenses'!M22</f>
        <v>Residential</v>
      </c>
      <c r="N779" s="1816" t="str">
        <f>'Part VI-Revenues &amp; Expenses'!N22</f>
        <v>2-Story Walkup</v>
      </c>
      <c r="O779" s="1816" t="str">
        <f>'Part VI-Revenues &amp; Expenses'!O22</f>
        <v>Acquisition/Rehab</v>
      </c>
      <c r="P779" s="1316" t="str">
        <f>'Part VI-Revenues &amp; Expenses'!P22</f>
        <v>No</v>
      </c>
      <c r="Q779" s="1506">
        <f>'Part VI-Revenues &amp; Expenses'!Q22</f>
        <v>25560</v>
      </c>
      <c r="R779" s="1507">
        <f>'Part VI-Revenues &amp; Expenses'!R22</f>
        <v>0.46024200518582542</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f t="shared" si="106"/>
        <v>2</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t="str">
        <f t="shared" si="134"/>
        <v/>
      </c>
      <c r="EY779" s="1321" t="str">
        <f t="shared" si="135"/>
        <v/>
      </c>
      <c r="EZ779" s="1321">
        <f t="shared" si="136"/>
        <v>2</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t="str">
        <f t="shared" si="171"/>
        <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f t="shared" si="201"/>
        <v>2</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2</v>
      </c>
      <c r="JG779" s="1320">
        <f t="shared" si="247"/>
        <v>0</v>
      </c>
      <c r="JH779" s="1320">
        <f t="shared" si="248"/>
        <v>0</v>
      </c>
      <c r="JI779" s="1320">
        <f t="shared" si="249"/>
        <v>0</v>
      </c>
      <c r="JJ779" s="1320">
        <f t="shared" si="250"/>
        <v>0</v>
      </c>
      <c r="JK779" s="1320">
        <f t="shared" si="251"/>
        <v>0</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80</v>
      </c>
      <c r="C780" s="1829">
        <f>'Part VI-Revenues &amp; Expenses'!C23</f>
        <v>0</v>
      </c>
      <c r="D780" s="1830">
        <f>'Part VI-Revenues &amp; Expenses'!D23</f>
        <v>0</v>
      </c>
      <c r="E780" s="1831">
        <f>'Part VI-Revenues &amp; Expenses'!E23</f>
        <v>0</v>
      </c>
      <c r="F780" s="1831">
        <f>'Part VI-Revenues &amp; Expenses'!F23</f>
        <v>0</v>
      </c>
      <c r="G780" s="1831">
        <f>'Part VI-Revenues &amp; Expenses'!G23</f>
        <v>0</v>
      </c>
      <c r="H780" s="1831">
        <f>'Part VI-Revenues &amp; Expenses'!H23</f>
        <v>0</v>
      </c>
      <c r="I780" s="1831">
        <f>'Part VI-Revenues &amp; Expenses'!I23</f>
        <v>0</v>
      </c>
      <c r="J780" s="1832">
        <f>'Part VI-Revenues &amp; Expenses'!J23</f>
        <v>0</v>
      </c>
      <c r="K780" s="1505">
        <f t="shared" si="1"/>
        <v>0</v>
      </c>
      <c r="L780" s="1505">
        <f t="shared" si="2"/>
        <v>0</v>
      </c>
      <c r="M780" s="1816">
        <f>'Part VI-Revenues &amp; Expenses'!M23</f>
        <v>0</v>
      </c>
      <c r="N780" s="1816">
        <f>'Part VI-Revenues &amp; Expenses'!N23</f>
        <v>0</v>
      </c>
      <c r="O780" s="1816">
        <f>'Part VI-Revenues &amp; Expenses'!O23</f>
        <v>0</v>
      </c>
      <c r="P780" s="1316">
        <f>'Part VI-Revenues &amp; Expenses'!P23</f>
        <v>0</v>
      </c>
      <c r="Q780" s="1506" t="str">
        <f>'Part VI-Revenues &amp; Expenses'!Q23</f>
        <v/>
      </c>
      <c r="R780" s="1507" t="str">
        <f>'Part VI-Revenues &amp; Expenses'!R23</f>
        <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t="str">
        <f t="shared" si="134"/>
        <v/>
      </c>
      <c r="EY780" s="1321" t="str">
        <f t="shared" si="135"/>
        <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0</v>
      </c>
      <c r="JJ780" s="1320">
        <f t="shared" si="250"/>
        <v>0</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80</v>
      </c>
      <c r="C781" s="1829">
        <f>'Part VI-Revenues &amp; Expenses'!C24</f>
        <v>0</v>
      </c>
      <c r="D781" s="1830">
        <f>'Part VI-Revenues &amp; Expenses'!D24</f>
        <v>0</v>
      </c>
      <c r="E781" s="1831">
        <f>'Part VI-Revenues &amp; Expenses'!E24</f>
        <v>0</v>
      </c>
      <c r="F781" s="1831">
        <f>'Part VI-Revenues &amp; Expenses'!F24</f>
        <v>0</v>
      </c>
      <c r="G781" s="1831">
        <f>'Part VI-Revenues &amp; Expenses'!G24</f>
        <v>0</v>
      </c>
      <c r="H781" s="1831">
        <f>'Part VI-Revenues &amp; Expenses'!H24</f>
        <v>0</v>
      </c>
      <c r="I781" s="1831">
        <f>'Part VI-Revenues &amp; Expenses'!I24</f>
        <v>0</v>
      </c>
      <c r="J781" s="1832">
        <f>'Part VI-Revenues &amp; Expenses'!J24</f>
        <v>0</v>
      </c>
      <c r="K781" s="1505">
        <f t="shared" si="1"/>
        <v>0</v>
      </c>
      <c r="L781" s="1505">
        <f t="shared" si="2"/>
        <v>0</v>
      </c>
      <c r="M781" s="1816">
        <f>'Part VI-Revenues &amp; Expenses'!M24</f>
        <v>0</v>
      </c>
      <c r="N781" s="1816">
        <f>'Part VI-Revenues &amp; Expenses'!N24</f>
        <v>0</v>
      </c>
      <c r="O781" s="1816">
        <f>'Part VI-Revenues &amp; Expenses'!O24</f>
        <v>0</v>
      </c>
      <c r="P781" s="1316">
        <f>'Part VI-Revenues &amp; Expenses'!P24</f>
        <v>0</v>
      </c>
      <c r="Q781" s="1506" t="str">
        <f>'Part VI-Revenues &amp; Expenses'!Q24</f>
        <v/>
      </c>
      <c r="R781" s="1507" t="str">
        <f>'Part VI-Revenues &amp; Expenses'!R24</f>
        <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t="str">
        <f t="shared" si="135"/>
        <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0</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0</v>
      </c>
      <c r="C784" s="1829">
        <f>'Part VI-Revenues &amp; Expenses'!C27</f>
        <v>0</v>
      </c>
      <c r="D784" s="1830">
        <f>'Part VI-Revenues &amp; Expenses'!D27</f>
        <v>0</v>
      </c>
      <c r="E784" s="1831">
        <f>'Part VI-Revenues &amp; Expenses'!E27</f>
        <v>0</v>
      </c>
      <c r="F784" s="1831">
        <f>'Part VI-Revenues &amp; Expenses'!F27</f>
        <v>0</v>
      </c>
      <c r="G784" s="1831">
        <f>'Part VI-Revenues &amp; Expenses'!G27</f>
        <v>0</v>
      </c>
      <c r="H784" s="1831">
        <f>'Part VI-Revenues &amp; Expenses'!H27</f>
        <v>0</v>
      </c>
      <c r="I784" s="1831">
        <f>'Part VI-Revenues &amp; Expenses'!I27</f>
        <v>0</v>
      </c>
      <c r="J784" s="1832">
        <f>'Part VI-Revenues &amp; Expenses'!J27</f>
        <v>0</v>
      </c>
      <c r="K784" s="1505">
        <f t="shared" si="1"/>
        <v>0</v>
      </c>
      <c r="L784" s="1505">
        <f t="shared" si="2"/>
        <v>0</v>
      </c>
      <c r="M784" s="1816">
        <f>'Part VI-Revenues &amp; Expenses'!M27</f>
        <v>0</v>
      </c>
      <c r="N784" s="1816">
        <f>'Part VI-Revenues &amp; Expenses'!N27</f>
        <v>0</v>
      </c>
      <c r="O784" s="1816">
        <f>'Part VI-Revenues &amp; Expenses'!O27</f>
        <v>0</v>
      </c>
      <c r="P784" s="1316">
        <f>'Part VI-Revenues &amp; Expenses'!P27</f>
        <v>0</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0</v>
      </c>
      <c r="C785" s="1829">
        <f>'Part VI-Revenues &amp; Expenses'!C28</f>
        <v>0</v>
      </c>
      <c r="D785" s="1830">
        <f>'Part VI-Revenues &amp; Expenses'!D28</f>
        <v>0</v>
      </c>
      <c r="E785" s="1831">
        <f>'Part VI-Revenues &amp; Expenses'!E28</f>
        <v>0</v>
      </c>
      <c r="F785" s="1831">
        <f>'Part VI-Revenues &amp; Expenses'!F28</f>
        <v>0</v>
      </c>
      <c r="G785" s="1831">
        <f>'Part VI-Revenues &amp; Expenses'!G28</f>
        <v>0</v>
      </c>
      <c r="H785" s="1831">
        <f>'Part VI-Revenues &amp; Expenses'!H28</f>
        <v>0</v>
      </c>
      <c r="I785" s="1831">
        <f>'Part VI-Revenues &amp; Expenses'!I28</f>
        <v>0</v>
      </c>
      <c r="J785" s="1832">
        <f>'Part VI-Revenues &amp; Expenses'!J28</f>
        <v>0</v>
      </c>
      <c r="K785" s="1505">
        <f t="shared" si="1"/>
        <v>0</v>
      </c>
      <c r="L785" s="1505">
        <f t="shared" si="2"/>
        <v>0</v>
      </c>
      <c r="M785" s="1816">
        <f>'Part VI-Revenues &amp; Expenses'!M28</f>
        <v>0</v>
      </c>
      <c r="N785" s="1816">
        <f>'Part VI-Revenues &amp; Expenses'!N28</f>
        <v>0</v>
      </c>
      <c r="O785" s="1816">
        <f>'Part VI-Revenues &amp; Expenses'!O28</f>
        <v>0</v>
      </c>
      <c r="P785" s="1316">
        <f>'Part VI-Revenues &amp; Expenses'!P28</f>
        <v>0</v>
      </c>
      <c r="Q785" s="1506" t="str">
        <f>'Part VI-Revenues &amp; Expenses'!Q28</f>
        <v/>
      </c>
      <c r="R785" s="1507" t="str">
        <f>'Part VI-Revenues &amp; Expenses'!R28</f>
        <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1017</v>
      </c>
      <c r="E805" s="1509">
        <f>SUM(E767:E804)</f>
        <v>40</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35576</v>
      </c>
      <c r="G805" s="458"/>
      <c r="H805" s="458"/>
      <c r="I805" s="458"/>
      <c r="J805" s="458"/>
      <c r="K805" s="1511" t="s">
        <v>1301</v>
      </c>
      <c r="L805" s="1509">
        <f>SUM(L767:L804)</f>
        <v>18210</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0</v>
      </c>
      <c r="AN805" s="1323">
        <f t="shared" si="258"/>
        <v>0</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1</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0</v>
      </c>
      <c r="CQ805" s="1323">
        <f t="shared" si="259"/>
        <v>0</v>
      </c>
      <c r="CR805" s="1323">
        <f t="shared" si="259"/>
        <v>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915</v>
      </c>
      <c r="DB805" s="1323">
        <f t="shared" si="259"/>
        <v>0</v>
      </c>
      <c r="DC805" s="1323">
        <f t="shared" si="259"/>
        <v>0</v>
      </c>
      <c r="DD805" s="1323">
        <f t="shared" si="259"/>
        <v>0</v>
      </c>
      <c r="DE805" s="1323">
        <f t="shared" si="259"/>
        <v>0</v>
      </c>
      <c r="DF805" s="1323">
        <f t="shared" si="259"/>
        <v>0</v>
      </c>
      <c r="DG805" s="1323">
        <f t="shared" si="259"/>
        <v>0</v>
      </c>
      <c r="DH805" s="1323">
        <f t="shared" si="259"/>
        <v>0</v>
      </c>
      <c r="DI805" s="1323">
        <f t="shared" si="259"/>
        <v>0</v>
      </c>
      <c r="DJ805" s="1323">
        <f t="shared" si="259"/>
        <v>0</v>
      </c>
      <c r="DK805" s="1323">
        <f t="shared" si="259"/>
        <v>0</v>
      </c>
      <c r="DL805" s="1323">
        <f t="shared" si="259"/>
        <v>0</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12</v>
      </c>
      <c r="DU805" s="1323">
        <f t="shared" si="259"/>
        <v>23</v>
      </c>
      <c r="DV805" s="1323">
        <f t="shared" si="259"/>
        <v>4</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1</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12</v>
      </c>
      <c r="EY805" s="1323">
        <f t="shared" si="260"/>
        <v>24</v>
      </c>
      <c r="EZ805" s="1323">
        <f t="shared" si="260"/>
        <v>4</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0</v>
      </c>
      <c r="GH805" s="1323">
        <f t="shared" si="260"/>
        <v>0</v>
      </c>
      <c r="GI805" s="1323">
        <f t="shared" si="260"/>
        <v>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12</v>
      </c>
      <c r="HL805" s="1323">
        <f t="shared" si="261"/>
        <v>24</v>
      </c>
      <c r="HM805" s="1323">
        <f t="shared" si="261"/>
        <v>4</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0</v>
      </c>
      <c r="HV805" s="1323">
        <f t="shared" si="261"/>
        <v>0</v>
      </c>
      <c r="HW805" s="1323">
        <f t="shared" si="261"/>
        <v>0</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12</v>
      </c>
      <c r="JE805" s="1323">
        <f t="shared" si="261"/>
        <v>24</v>
      </c>
      <c r="JF805" s="1323">
        <f t="shared" si="261"/>
        <v>4</v>
      </c>
      <c r="JG805" s="1323">
        <f t="shared" si="261"/>
        <v>0</v>
      </c>
      <c r="JH805" s="1323">
        <f t="shared" si="261"/>
        <v>0</v>
      </c>
      <c r="JI805" s="1323">
        <f t="shared" si="261"/>
        <v>0</v>
      </c>
      <c r="JJ805" s="1323">
        <f t="shared" si="261"/>
        <v>0</v>
      </c>
      <c r="JK805" s="1323">
        <f t="shared" si="261"/>
        <v>0</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813</v>
      </c>
      <c r="L806" s="1509">
        <f>L805*12</f>
        <v>218520</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4524</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7" customHeight="1">
      <c r="A810" s="1324" t="s">
        <v>739</v>
      </c>
      <c r="B810" s="1324" t="s">
        <v>533</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7" customHeight="1">
      <c r="A812" s="1324"/>
      <c r="B812" s="1324" t="s">
        <v>1135</v>
      </c>
      <c r="J812" s="1515" t="s">
        <v>567</v>
      </c>
      <c r="K812" s="1515" t="s">
        <v>534</v>
      </c>
      <c r="L812" s="1515" t="s">
        <v>535</v>
      </c>
      <c r="M812" s="1515" t="s">
        <v>536</v>
      </c>
      <c r="N812" s="1515" t="s">
        <v>537</v>
      </c>
      <c r="O812" s="1515" t="s">
        <v>538</v>
      </c>
      <c r="R812" s="1490" t="s">
        <v>1844</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1136</v>
      </c>
      <c r="D813" s="1314"/>
      <c r="E813" s="1314"/>
      <c r="F813" s="1314"/>
      <c r="H813" s="457" t="s">
        <v>1148</v>
      </c>
      <c r="J813" s="1516">
        <f>W805</f>
        <v>0</v>
      </c>
      <c r="K813" s="1516">
        <f>X805</f>
        <v>0</v>
      </c>
      <c r="L813" s="1516">
        <f>Y805</f>
        <v>0</v>
      </c>
      <c r="M813" s="1516">
        <f>Z805</f>
        <v>0</v>
      </c>
      <c r="N813" s="1516">
        <f>AA805</f>
        <v>0</v>
      </c>
      <c r="O813" s="1516">
        <f t="shared" ref="O813:O819" si="262">SUM(J813:N813)</f>
        <v>0</v>
      </c>
      <c r="P813" s="1468" t="s">
        <v>3667</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538</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0</v>
      </c>
      <c r="L816" s="1516">
        <f>AN805</f>
        <v>0</v>
      </c>
      <c r="M816" s="1516">
        <f>AO805</f>
        <v>0</v>
      </c>
      <c r="N816" s="1516">
        <f>AP805</f>
        <v>0</v>
      </c>
      <c r="O816" s="1516">
        <f t="shared" si="262"/>
        <v>0</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1137</v>
      </c>
      <c r="D817" s="1314"/>
      <c r="E817" s="1314"/>
      <c r="F817" s="1314"/>
      <c r="H817" s="457"/>
      <c r="J817" s="1516">
        <f>SUM(J815:J816)</f>
        <v>0</v>
      </c>
      <c r="K817" s="1516">
        <f>SUM(K815:K816)</f>
        <v>0</v>
      </c>
      <c r="L817" s="1516">
        <f>SUM(L815:L816)</f>
        <v>0</v>
      </c>
      <c r="M817" s="1516">
        <f>SUM(M815:M816)</f>
        <v>0</v>
      </c>
      <c r="N817" s="1516">
        <f>SUM(N815:N816)</f>
        <v>0</v>
      </c>
      <c r="O817" s="1516">
        <f t="shared" si="262"/>
        <v>0</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2510</v>
      </c>
      <c r="D818" s="1314"/>
      <c r="E818" s="1314"/>
      <c r="F818" s="1314"/>
      <c r="H818" s="457"/>
      <c r="J818" s="1516">
        <f>BU805</f>
        <v>0</v>
      </c>
      <c r="K818" s="1516">
        <f>BV805</f>
        <v>0</v>
      </c>
      <c r="L818" s="1516">
        <f>BW805</f>
        <v>1</v>
      </c>
      <c r="M818" s="1516">
        <f>BX805</f>
        <v>0</v>
      </c>
      <c r="N818" s="1516">
        <f>BY805</f>
        <v>0</v>
      </c>
      <c r="O818" s="1516">
        <f t="shared" si="262"/>
        <v>1</v>
      </c>
      <c r="P818" s="1335" t="s">
        <v>3668</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538</v>
      </c>
      <c r="D819" s="1314"/>
      <c r="E819" s="1314"/>
      <c r="F819" s="1314"/>
      <c r="H819" s="457"/>
      <c r="J819" s="1516">
        <f>SUM(J817:J818)</f>
        <v>0</v>
      </c>
      <c r="K819" s="1516">
        <f>SUM(K817:K818)</f>
        <v>0</v>
      </c>
      <c r="L819" s="1516">
        <f>SUM(L817:L818)</f>
        <v>1</v>
      </c>
      <c r="M819" s="1516">
        <f>SUM(M817:M818)</f>
        <v>0</v>
      </c>
      <c r="N819" s="1516">
        <f>SUM(N817:N818)</f>
        <v>0</v>
      </c>
      <c r="O819" s="1516">
        <f t="shared" si="262"/>
        <v>1</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933</v>
      </c>
      <c r="D821" s="1314"/>
      <c r="E821" s="1317"/>
      <c r="F821" s="1314"/>
      <c r="H821" s="457" t="s">
        <v>1148</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2511</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538</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889</v>
      </c>
      <c r="D825" s="1319"/>
      <c r="E825" s="1319"/>
      <c r="F825" s="1314"/>
      <c r="H825" s="457" t="s">
        <v>1148</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2511</v>
      </c>
      <c r="D827" s="1314"/>
      <c r="E827" s="1317"/>
      <c r="F827" s="1314"/>
      <c r="H827" s="457" t="s">
        <v>538</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2294</v>
      </c>
      <c r="F829" s="1314"/>
      <c r="H829" s="457" t="s">
        <v>1431</v>
      </c>
      <c r="J829" s="1516">
        <f>DD805</f>
        <v>0</v>
      </c>
      <c r="K829" s="1516">
        <f>DE805</f>
        <v>0</v>
      </c>
      <c r="L829" s="1516">
        <f>DF805</f>
        <v>0</v>
      </c>
      <c r="M829" s="1516">
        <f>DG805</f>
        <v>0</v>
      </c>
      <c r="N829" s="1516">
        <f>DH805</f>
        <v>0</v>
      </c>
      <c r="O829" s="1516">
        <f t="shared" ref="O829:O839" si="263">SUM(J829:N829)</f>
        <v>0</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0</v>
      </c>
      <c r="L830" s="1516">
        <f>DK805</f>
        <v>0</v>
      </c>
      <c r="M830" s="1516">
        <f>DL805</f>
        <v>0</v>
      </c>
      <c r="N830" s="1516">
        <f>DM805</f>
        <v>0</v>
      </c>
      <c r="O830" s="1516">
        <f t="shared" si="263"/>
        <v>0</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0</v>
      </c>
      <c r="L831" s="1516">
        <f>SUM(L829:L830)+DP805</f>
        <v>0</v>
      </c>
      <c r="M831" s="1516">
        <f>SUM(M829:M830)+DQ805</f>
        <v>0</v>
      </c>
      <c r="N831" s="1516">
        <f>SUM(N829:N830)+DR805</f>
        <v>0</v>
      </c>
      <c r="O831" s="1516">
        <f t="shared" si="263"/>
        <v>0</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2136</v>
      </c>
      <c r="F832" s="1314"/>
      <c r="H832" s="457" t="s">
        <v>1431</v>
      </c>
      <c r="J832" s="1516">
        <f>DS805</f>
        <v>0</v>
      </c>
      <c r="K832" s="1516">
        <f>DT805</f>
        <v>12</v>
      </c>
      <c r="L832" s="1516">
        <f>DU805</f>
        <v>23</v>
      </c>
      <c r="M832" s="1516">
        <f>DV805</f>
        <v>4</v>
      </c>
      <c r="N832" s="1516">
        <f>DW805</f>
        <v>0</v>
      </c>
      <c r="O832" s="1516">
        <f t="shared" si="263"/>
        <v>39</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12</v>
      </c>
      <c r="L834" s="1516">
        <f>SUM(L832:L833)+EE805</f>
        <v>24</v>
      </c>
      <c r="M834" s="1516">
        <f>SUM(M832:M833)+EF805</f>
        <v>4</v>
      </c>
      <c r="N834" s="1516">
        <f>SUM(N832:N833)+EG805</f>
        <v>0</v>
      </c>
      <c r="O834" s="1516">
        <f t="shared" si="263"/>
        <v>40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1418</v>
      </c>
      <c r="F835" s="1203"/>
      <c r="H835" s="457" t="s">
        <v>1431</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4525</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3355</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4526</v>
      </c>
      <c r="D843" s="1521"/>
      <c r="E843" s="1317" t="s">
        <v>39</v>
      </c>
      <c r="F843" s="1314"/>
      <c r="G843" s="1335"/>
      <c r="J843" s="1516">
        <f t="shared" ref="J843:O843" si="264">SUM(J844:J851)</f>
        <v>0</v>
      </c>
      <c r="K843" s="1516">
        <f t="shared" si="264"/>
        <v>12</v>
      </c>
      <c r="L843" s="1516">
        <f t="shared" si="264"/>
        <v>24</v>
      </c>
      <c r="M843" s="1516">
        <f t="shared" si="264"/>
        <v>4</v>
      </c>
      <c r="N843" s="1516">
        <f t="shared" si="264"/>
        <v>0</v>
      </c>
      <c r="O843" s="1516">
        <f t="shared" si="264"/>
        <v>40</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2603</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3355</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2604</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3355</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2606</v>
      </c>
      <c r="J848" s="1516">
        <f>HJ805</f>
        <v>0</v>
      </c>
      <c r="K848" s="1516">
        <f>HK805</f>
        <v>12</v>
      </c>
      <c r="L848" s="1516">
        <f>HL805</f>
        <v>24</v>
      </c>
      <c r="M848" s="1516">
        <f>HM805</f>
        <v>4</v>
      </c>
      <c r="N848" s="1516">
        <f>HN805</f>
        <v>0</v>
      </c>
      <c r="O848" s="1516">
        <f t="shared" si="265"/>
        <v>40</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3355</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2605</v>
      </c>
      <c r="J850" s="1516">
        <f>HT805</f>
        <v>0</v>
      </c>
      <c r="K850" s="1516">
        <f>HU805</f>
        <v>0</v>
      </c>
      <c r="L850" s="1516">
        <f>HV805</f>
        <v>0</v>
      </c>
      <c r="M850" s="1516">
        <f>HW805</f>
        <v>0</v>
      </c>
      <c r="N850" s="1516">
        <f>HX805</f>
        <v>0</v>
      </c>
      <c r="O850" s="1516">
        <f t="shared" si="265"/>
        <v>0</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3355</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3355</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0</v>
      </c>
      <c r="L854" s="1516">
        <f>GH805</f>
        <v>0</v>
      </c>
      <c r="M854" s="1516">
        <f>GI805</f>
        <v>0</v>
      </c>
      <c r="N854" s="1516">
        <f>GJ805</f>
        <v>0</v>
      </c>
      <c r="O854" s="1516">
        <f t="shared" si="265"/>
        <v>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3355</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564</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3355</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565</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3355</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4527</v>
      </c>
      <c r="D861" s="1521"/>
      <c r="E861" s="1317" t="s">
        <v>3350</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3355</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3351</v>
      </c>
      <c r="F863" s="1335"/>
      <c r="H863" s="1335"/>
      <c r="J863" s="1516">
        <f>J844+J854</f>
        <v>0</v>
      </c>
      <c r="K863" s="1516">
        <f t="shared" ref="K863:N864" si="268">K844+K854</f>
        <v>0</v>
      </c>
      <c r="L863" s="1516">
        <f t="shared" si="268"/>
        <v>0</v>
      </c>
      <c r="M863" s="1516">
        <f t="shared" si="268"/>
        <v>0</v>
      </c>
      <c r="N863" s="1516">
        <f t="shared" si="268"/>
        <v>0</v>
      </c>
      <c r="O863" s="1516">
        <f t="shared" si="267"/>
        <v>0</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3355</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3352</v>
      </c>
      <c r="F865" s="1335"/>
      <c r="H865" s="1524"/>
      <c r="J865" s="1516">
        <f>J848</f>
        <v>0</v>
      </c>
      <c r="K865" s="1516">
        <f t="shared" ref="K865:N866" si="269">K848</f>
        <v>12</v>
      </c>
      <c r="L865" s="1516">
        <f t="shared" si="269"/>
        <v>24</v>
      </c>
      <c r="M865" s="1516">
        <f t="shared" si="269"/>
        <v>4</v>
      </c>
      <c r="N865" s="1516">
        <f t="shared" si="269"/>
        <v>0</v>
      </c>
      <c r="O865" s="1516">
        <f t="shared" si="267"/>
        <v>40</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3355</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3353</v>
      </c>
      <c r="F867" s="1335"/>
      <c r="H867" s="1524"/>
      <c r="J867" s="1516">
        <f>J846+J850</f>
        <v>0</v>
      </c>
      <c r="K867" s="1516">
        <f t="shared" ref="K867:N868" si="270">K846+K850</f>
        <v>0</v>
      </c>
      <c r="L867" s="1516">
        <f t="shared" si="270"/>
        <v>0</v>
      </c>
      <c r="M867" s="1516">
        <f t="shared" si="270"/>
        <v>0</v>
      </c>
      <c r="N867" s="1516">
        <f t="shared" si="270"/>
        <v>0</v>
      </c>
      <c r="O867" s="1516">
        <f t="shared" si="267"/>
        <v>0</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3355</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2164</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2135</v>
      </c>
      <c r="D870" s="1314"/>
      <c r="E870" s="1314"/>
      <c r="F870" s="1314"/>
      <c r="H870" s="1524" t="s">
        <v>1148</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538</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0</v>
      </c>
      <c r="L873" s="1530">
        <f>CQ805</f>
        <v>0</v>
      </c>
      <c r="M873" s="1530">
        <f>CR805</f>
        <v>0</v>
      </c>
      <c r="N873" s="1530">
        <f>CS805</f>
        <v>0</v>
      </c>
      <c r="O873" s="1530">
        <f t="shared" si="271"/>
        <v>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1137</v>
      </c>
      <c r="D874" s="1314"/>
      <c r="E874" s="1314"/>
      <c r="F874" s="1314"/>
      <c r="G874" s="1314"/>
      <c r="J874" s="1530">
        <f>SUM(J872:J873)</f>
        <v>0</v>
      </c>
      <c r="K874" s="1530">
        <f>SUM(K872:K873)</f>
        <v>0</v>
      </c>
      <c r="L874" s="1530">
        <f>SUM(L872:L873)</f>
        <v>0</v>
      </c>
      <c r="M874" s="1530">
        <f>SUM(M872:M873)</f>
        <v>0</v>
      </c>
      <c r="N874" s="1530">
        <f>SUM(N872:N873)</f>
        <v>0</v>
      </c>
      <c r="O874" s="1530">
        <f t="shared" si="271"/>
        <v>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2510</v>
      </c>
      <c r="D875" s="1314"/>
      <c r="E875" s="1314"/>
      <c r="F875" s="1314"/>
      <c r="G875" s="1314"/>
      <c r="J875" s="1530">
        <f>CY805</f>
        <v>0</v>
      </c>
      <c r="K875" s="1530">
        <f>CZ805</f>
        <v>0</v>
      </c>
      <c r="L875" s="1530">
        <f>DA805</f>
        <v>915</v>
      </c>
      <c r="M875" s="1530">
        <f>DB805</f>
        <v>0</v>
      </c>
      <c r="N875" s="1530">
        <f>DC805</f>
        <v>0</v>
      </c>
      <c r="O875" s="1530">
        <f t="shared" si="271"/>
        <v>915</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538</v>
      </c>
      <c r="D876" s="1314"/>
      <c r="E876" s="1314"/>
      <c r="F876" s="1314"/>
      <c r="G876" s="1314"/>
      <c r="J876" s="1530">
        <f>SUM(J874:J875)</f>
        <v>0</v>
      </c>
      <c r="K876" s="1530">
        <f>SUM(K874:K875)</f>
        <v>0</v>
      </c>
      <c r="L876" s="1530">
        <f>SUM(L874:L875)</f>
        <v>915</v>
      </c>
      <c r="M876" s="1530">
        <f>SUM(M874:M875)</f>
        <v>0</v>
      </c>
      <c r="N876" s="1530">
        <f>SUM(N874:N875)</f>
        <v>0</v>
      </c>
      <c r="O876" s="1530">
        <f t="shared" si="271"/>
        <v>915</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3.95" customHeight="1">
      <c r="A877" s="1324" t="s">
        <v>741</v>
      </c>
      <c r="B877" s="1324" t="s">
        <v>4528</v>
      </c>
      <c r="R877" s="1324" t="s">
        <v>1844</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1015</v>
      </c>
      <c r="C879" s="1204"/>
      <c r="D879" s="1317"/>
      <c r="E879" s="1204"/>
      <c r="F879" s="1204"/>
      <c r="G879" s="1204"/>
      <c r="H879" s="1834">
        <f>'Part VI-Revenues &amp; Expenses'!H173</f>
        <v>4370.3999999999996</v>
      </c>
      <c r="I879" s="1834">
        <f>'Part VI-Revenues &amp; Expenses'!I173</f>
        <v>0</v>
      </c>
      <c r="J879" s="1204"/>
      <c r="K879" s="1532" t="s">
        <v>4529</v>
      </c>
      <c r="L879" s="1204"/>
      <c r="M879" s="1204"/>
      <c r="N879" s="1204"/>
      <c r="O879" s="1533">
        <f>H879/L806</f>
        <v>1.9999999999999997E-2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1444</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2285</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1016</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740</v>
      </c>
      <c r="C884" s="1317" t="str">
        <f>'Part VI-Revenues &amp; Expenses'!C178</f>
        <v>Asset Management Fees</v>
      </c>
      <c r="D884" s="1317">
        <f>'Part VI-Revenues &amp; Expenses'!D178</f>
        <v>0</v>
      </c>
      <c r="E884" s="1317">
        <f>'Part VI-Revenues &amp; Expenses'!E178</f>
        <v>0</v>
      </c>
      <c r="F884" s="1317">
        <f>'Part VI-Revenues &amp; Expenses'!F178</f>
        <v>0</v>
      </c>
      <c r="G884" s="1835">
        <f>'Part VI-Revenues &amp; Expenses'!G178</f>
        <v>4500</v>
      </c>
      <c r="H884" s="1835">
        <f>'Part VI-Revenues &amp; Expenses'!H178</f>
        <v>4500</v>
      </c>
      <c r="I884" s="1835">
        <f>'Part VI-Revenues &amp; Expenses'!I178</f>
        <v>4500</v>
      </c>
      <c r="J884" s="1835">
        <f>'Part VI-Revenues &amp; Expenses'!J178</f>
        <v>4500</v>
      </c>
      <c r="K884" s="1835">
        <f>'Part VI-Revenues &amp; Expenses'!K178</f>
        <v>4500</v>
      </c>
      <c r="L884" s="1835">
        <f>'Part VI-Revenues &amp; Expenses'!L178</f>
        <v>4500</v>
      </c>
      <c r="M884" s="1835">
        <f>'Part VI-Revenues &amp; Expenses'!M178</f>
        <v>4500</v>
      </c>
      <c r="N884" s="1835">
        <f>'Part VI-Revenues &amp; Expenses'!N178</f>
        <v>4500</v>
      </c>
      <c r="O884" s="1835">
        <f>'Part VI-Revenues &amp; Expenses'!O178</f>
        <v>4500</v>
      </c>
      <c r="P884" s="1835">
        <f>'Part VI-Revenues &amp; Expenses'!P178</f>
        <v>4500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927</v>
      </c>
      <c r="D885" s="1317"/>
      <c r="E885" s="1317"/>
      <c r="F885" s="1317"/>
      <c r="G885" s="1540">
        <f t="shared" ref="G885:P885" si="272">SUM(G883:G884)</f>
        <v>4500</v>
      </c>
      <c r="H885" s="1540">
        <f t="shared" si="272"/>
        <v>4500</v>
      </c>
      <c r="I885" s="1540">
        <f t="shared" si="272"/>
        <v>4500</v>
      </c>
      <c r="J885" s="1540">
        <f t="shared" si="272"/>
        <v>4500</v>
      </c>
      <c r="K885" s="1540">
        <f t="shared" si="272"/>
        <v>4500</v>
      </c>
      <c r="L885" s="1540">
        <f t="shared" si="272"/>
        <v>4500</v>
      </c>
      <c r="M885" s="1540">
        <f t="shared" si="272"/>
        <v>4500</v>
      </c>
      <c r="N885" s="1540">
        <f t="shared" si="272"/>
        <v>4500</v>
      </c>
      <c r="O885" s="1540">
        <f t="shared" si="272"/>
        <v>4500</v>
      </c>
      <c r="P885" s="1540">
        <f t="shared" si="272"/>
        <v>4500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4530</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532</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740</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4531</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2285</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2621</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1016</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740</v>
      </c>
      <c r="C893" s="1317" t="str">
        <f>'Part VI-Revenues &amp; Expenses'!C187</f>
        <v>Asset Management Fees</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927</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4530</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532</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740</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4531</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2285</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2622</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1016</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740</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927</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4530</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532</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740</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4531</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2285</v>
      </c>
      <c r="C909" s="1204"/>
      <c r="D909" s="1204"/>
      <c r="E909" s="1204"/>
      <c r="F909" s="1204"/>
      <c r="G909" s="1538">
        <v>31</v>
      </c>
      <c r="H909" s="1538">
        <v>32</v>
      </c>
      <c r="I909" s="1538">
        <v>33</v>
      </c>
      <c r="J909" s="1538">
        <v>34</v>
      </c>
      <c r="K909" s="1538">
        <v>35</v>
      </c>
      <c r="L909" s="1204"/>
      <c r="M909" s="1204"/>
      <c r="N909" s="1204"/>
      <c r="O909" s="1204"/>
      <c r="P909" s="1204"/>
      <c r="R909" s="1508" t="s">
        <v>2622</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1016</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740</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927</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4530</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532</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740</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4531</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1791</v>
      </c>
      <c r="B918" s="1488" t="s">
        <v>1018</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1844</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2" customHeight="1">
      <c r="B920" s="1312" t="s">
        <v>1289</v>
      </c>
      <c r="F920" s="638"/>
      <c r="G920" s="638"/>
      <c r="I920" s="1312" t="s">
        <v>1376</v>
      </c>
      <c r="N920" s="1312" t="s">
        <v>1375</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2195</v>
      </c>
      <c r="F921" s="1530">
        <f>'Part VI-Revenues &amp; Expenses'!F215</f>
        <v>15600</v>
      </c>
      <c r="G921" s="1530">
        <f>'Part VI-Revenues &amp; Expenses'!G215</f>
        <v>0</v>
      </c>
      <c r="I921" s="1314" t="s">
        <v>1377</v>
      </c>
      <c r="K921" s="1530">
        <f>'Part VI-Revenues &amp; Expenses'!K215</f>
        <v>0</v>
      </c>
      <c r="L921" s="1530">
        <f>'Part VI-Revenues &amp; Expenses'!L215</f>
        <v>0</v>
      </c>
      <c r="N921" s="1314" t="s">
        <v>928</v>
      </c>
      <c r="P921" s="1545">
        <f>'Part VI-Revenues &amp; Expenses'!P215</f>
        <v>22000</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1366</v>
      </c>
      <c r="F922" s="1530">
        <f>'Part VI-Revenues &amp; Expenses'!F216</f>
        <v>13728</v>
      </c>
      <c r="G922" s="1530">
        <f>'Part VI-Revenues &amp; Expenses'!G216</f>
        <v>0</v>
      </c>
      <c r="I922" s="1314" t="s">
        <v>1378</v>
      </c>
      <c r="K922" s="1530">
        <f>'Part VI-Revenues &amp; Expenses'!K216</f>
        <v>0</v>
      </c>
      <c r="L922" s="1530">
        <f>'Part VI-Revenues &amp; Expenses'!L216</f>
        <v>0</v>
      </c>
      <c r="N922" s="1314" t="s">
        <v>147</v>
      </c>
      <c r="P922" s="1545">
        <f>'Part VI-Revenues &amp; Expenses'!P216</f>
        <v>15000</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1238</v>
      </c>
      <c r="F923" s="1530">
        <f>'Part VI-Revenues &amp; Expenses'!F217</f>
        <v>0</v>
      </c>
      <c r="G923" s="1530">
        <f>'Part VI-Revenues &amp; Expenses'!G217</f>
        <v>0</v>
      </c>
      <c r="J923" s="1544" t="s">
        <v>191</v>
      </c>
      <c r="K923" s="1530">
        <f>SUM(K921:L922)</f>
        <v>0</v>
      </c>
      <c r="L923" s="1530"/>
      <c r="N923" s="1837" t="str">
        <f>'Part VI-Revenues &amp; Expenses'!N217</f>
        <v>Payroll Taxes, WorkmnsComp, Bond Ins.</v>
      </c>
      <c r="O923" s="1837">
        <f>'Part VI-Revenues &amp; Expenses'!O217</f>
        <v>0</v>
      </c>
      <c r="P923" s="1545">
        <f>'Part VI-Revenues &amp; Expenses'!P217</f>
        <v>4220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Other (describe here)</v>
      </c>
      <c r="C924" s="457">
        <f>'Part VI-Revenues &amp; Expenses'!C218</f>
        <v>0</v>
      </c>
      <c r="D924" s="457">
        <f>'Part VI-Revenues &amp; Expenses'!D218</f>
        <v>0</v>
      </c>
      <c r="E924" s="457">
        <f>'Part VI-Revenues &amp; Expenses'!E218</f>
        <v>0</v>
      </c>
      <c r="F924" s="1530">
        <f>'Part VI-Revenues &amp; Expenses'!F218</f>
        <v>0</v>
      </c>
      <c r="G924" s="1530">
        <f>'Part VI-Revenues &amp; Expenses'!G218</f>
        <v>0</v>
      </c>
      <c r="N924" s="1544" t="s">
        <v>191</v>
      </c>
      <c r="P924" s="1545">
        <f>SUM(P921:P923)</f>
        <v>41220</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29328</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2" customHeight="1">
      <c r="B927" s="1312" t="s">
        <v>1290</v>
      </c>
      <c r="D927" s="1546"/>
      <c r="I927" s="1312" t="s">
        <v>1291</v>
      </c>
      <c r="N927" s="1312" t="s">
        <v>1379</v>
      </c>
      <c r="P927" s="1547">
        <f>IF(OR('Part VII-Pro Forma'!$B$21 = "Choose Mgt Fee",'Part VII-Pro Forma'!$B$21 = "Choose One!"), 0,- 'Part VII-Pro Forma'!$B$21)</f>
        <v>14510</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1371</v>
      </c>
      <c r="D928" s="1546"/>
      <c r="F928" s="1530">
        <f>'Part VI-Revenues &amp; Expenses'!F222</f>
        <v>3000</v>
      </c>
      <c r="G928" s="1530">
        <f>'Part VI-Revenues &amp; Expenses'!G222</f>
        <v>0</v>
      </c>
      <c r="I928" s="1314" t="s">
        <v>1601</v>
      </c>
      <c r="K928" s="1545">
        <f>'Part VI-Revenues &amp; Expenses'!K222</f>
        <v>1250</v>
      </c>
      <c r="L928" s="1545">
        <f>'Part VI-Revenues &amp; Expenses'!L222</f>
        <v>0</v>
      </c>
      <c r="N928" s="1548">
        <f>+P927/(O819*0.93)</f>
        <v>15602.150537634408</v>
      </c>
      <c r="O928" s="1549" t="s">
        <v>2754</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1372</v>
      </c>
      <c r="D929" s="1546"/>
      <c r="F929" s="1530">
        <f>'Part VI-Revenues &amp; Expenses'!F223</f>
        <v>1200</v>
      </c>
      <c r="G929" s="1530">
        <f>'Part VI-Revenues &amp; Expenses'!G223</f>
        <v>0</v>
      </c>
      <c r="I929" s="1314" t="s">
        <v>2048</v>
      </c>
      <c r="K929" s="1545">
        <f>'Part VI-Revenues &amp; Expenses'!K223</f>
        <v>5200</v>
      </c>
      <c r="L929" s="1545">
        <f>'Part VI-Revenues &amp; Expenses'!L223</f>
        <v>0</v>
      </c>
      <c r="N929" s="1548">
        <f>+P927/(O819*0.93)/12</f>
        <v>1300.179211469534</v>
      </c>
      <c r="O929" s="1549" t="s">
        <v>2755</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1373</v>
      </c>
      <c r="D930" s="1546"/>
      <c r="F930" s="1530">
        <f>'Part VI-Revenues &amp; Expenses'!F224</f>
        <v>500</v>
      </c>
      <c r="G930" s="1530">
        <f>'Part VI-Revenues &amp; Expenses'!G224</f>
        <v>0</v>
      </c>
      <c r="I930" s="1314" t="s">
        <v>1602</v>
      </c>
      <c r="K930" s="1545">
        <f>'Part VI-Revenues &amp; Expenses'!K224</f>
        <v>300</v>
      </c>
      <c r="L930" s="1545">
        <f>'Part VI-Revenues &amp; Expenses'!L224</f>
        <v>0</v>
      </c>
      <c r="N930" s="457" t="s">
        <v>3726</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2340</v>
      </c>
      <c r="D931" s="1546"/>
      <c r="F931" s="1530">
        <f>'Part VI-Revenues &amp; Expenses'!F225</f>
        <v>0</v>
      </c>
      <c r="G931" s="1530">
        <f>'Part VI-Revenues &amp; Expenses'!G225</f>
        <v>0</v>
      </c>
      <c r="I931" s="1837" t="str">
        <f>'Part VI-Revenues &amp; Expenses'!I225</f>
        <v>Internet, computer, software, education</v>
      </c>
      <c r="J931" s="1837">
        <f>'Part VI-Revenues &amp; Expenses'!J225</f>
        <v>0</v>
      </c>
      <c r="K931" s="1545">
        <f>'Part VI-Revenues &amp; Expenses'!K225</f>
        <v>2800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1599</v>
      </c>
      <c r="D932" s="1546"/>
      <c r="F932" s="1530">
        <f>'Part VI-Revenues &amp; Expenses'!F226</f>
        <v>800</v>
      </c>
      <c r="G932" s="1530">
        <f>'Part VI-Revenues &amp; Expenses'!G226</f>
        <v>0</v>
      </c>
      <c r="I932" s="1312"/>
      <c r="J932" s="1544" t="s">
        <v>191</v>
      </c>
      <c r="K932" s="1545">
        <f>SUM(K928:K931)</f>
        <v>9550</v>
      </c>
      <c r="L932" s="1545"/>
      <c r="M932" s="1551" t="str">
        <f>IF(P934="","",IF(P932&lt;P934, "WARNING! OE below required minimum.",""))</f>
        <v/>
      </c>
      <c r="N932" s="1312" t="s">
        <v>2185</v>
      </c>
      <c r="P932" s="1545">
        <f>F925+F934+F945+K923+K932+K942+P924+P927</f>
        <v>159133</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Other (describe here)</v>
      </c>
      <c r="C933" s="457">
        <f>'Part VI-Revenues &amp; Expenses'!C227</f>
        <v>0</v>
      </c>
      <c r="D933" s="457">
        <f>'Part VI-Revenues &amp; Expenses'!D227</f>
        <v>0</v>
      </c>
      <c r="E933" s="457">
        <f>'Part VI-Revenues &amp; Expenses'!E227</f>
        <v>0</v>
      </c>
      <c r="F933" s="1530">
        <f>'Part VI-Revenues &amp; Expenses'!F227</f>
        <v>0</v>
      </c>
      <c r="G933" s="1530">
        <f>'Part VI-Revenues &amp; Expenses'!G227</f>
        <v>0</v>
      </c>
      <c r="J933" s="1516"/>
      <c r="M933" s="1551"/>
      <c r="N933" s="1549" t="s">
        <v>2756</v>
      </c>
      <c r="O933" s="1548">
        <f>+P932/O819</f>
        <v>159133</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5500</v>
      </c>
      <c r="G934" s="1530"/>
      <c r="J934" s="1516"/>
      <c r="M934" s="1551"/>
      <c r="O934" s="1549" t="s">
        <v>3727</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1292</v>
      </c>
      <c r="D936" s="1546"/>
      <c r="I936" s="1312" t="s">
        <v>1374</v>
      </c>
      <c r="J936" s="1334" t="s">
        <v>2753</v>
      </c>
      <c r="N936" s="1312" t="s">
        <v>3479</v>
      </c>
      <c r="O936" s="1312"/>
      <c r="P936" s="1838">
        <f>'Part VI-Revenues &amp; Expenses'!P230</f>
        <v>14000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1603</v>
      </c>
      <c r="D937" s="1546"/>
      <c r="F937" s="1530">
        <f>'Part VI-Revenues &amp; Expenses'!F231</f>
        <v>3625</v>
      </c>
      <c r="G937" s="1530">
        <f>'Part VI-Revenues &amp; Expenses'!G231</f>
        <v>0</v>
      </c>
      <c r="I937" s="1314" t="s">
        <v>1367</v>
      </c>
      <c r="J937" s="1419">
        <f>K937/12/O819</f>
        <v>600</v>
      </c>
      <c r="K937" s="1545">
        <f>'Part VI-Revenues &amp; Expenses'!K231</f>
        <v>7200</v>
      </c>
      <c r="L937" s="1545">
        <f>'Part VI-Revenues &amp; Expenses'!L231</f>
        <v>0</v>
      </c>
      <c r="M937" s="1551" t="str">
        <f>IF(P936&lt;P945, "WARNING! RR proposed is below the DCA required minimum.","")</f>
        <v/>
      </c>
      <c r="N937" s="457" t="s">
        <v>3735</v>
      </c>
      <c r="P937" s="1552">
        <f>P936/O945</f>
        <v>350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1604</v>
      </c>
      <c r="D938" s="1546"/>
      <c r="F938" s="1530">
        <f>'Part VI-Revenues &amp; Expenses'!F232</f>
        <v>9000</v>
      </c>
      <c r="G938" s="1530">
        <f>'Part VI-Revenues &amp; Expenses'!G232</f>
        <v>0</v>
      </c>
      <c r="I938" s="1314" t="s">
        <v>1368</v>
      </c>
      <c r="J938" s="1419">
        <f>K938/12/O819</f>
        <v>0</v>
      </c>
      <c r="K938" s="1545">
        <f>'Part VI-Revenues &amp; Expenses'!K232</f>
        <v>0</v>
      </c>
      <c r="L938" s="1545">
        <f>'Part VI-Revenues &amp; Expenses'!L232</f>
        <v>0</v>
      </c>
      <c r="M938" s="1551"/>
      <c r="N938" s="1553" t="s">
        <v>3734</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1605</v>
      </c>
      <c r="D939" s="1546"/>
      <c r="F939" s="1530">
        <f>'Part VI-Revenues &amp; Expenses'!F233</f>
        <v>7000</v>
      </c>
      <c r="G939" s="1530">
        <f>'Part VI-Revenues &amp; Expenses'!G233</f>
        <v>0</v>
      </c>
      <c r="I939" s="1314" t="s">
        <v>2351</v>
      </c>
      <c r="J939" s="1419">
        <f>K939/12/O819</f>
        <v>1333.3333333333333</v>
      </c>
      <c r="K939" s="1545">
        <f>'Part VI-Revenues &amp; Expenses'!K233</f>
        <v>16000</v>
      </c>
      <c r="L939" s="1545">
        <f>'Part VI-Revenues &amp; Expenses'!L233</f>
        <v>0</v>
      </c>
      <c r="M939" s="1551"/>
      <c r="N939" s="1554" t="s">
        <v>2713</v>
      </c>
      <c r="O939" s="1555" t="s">
        <v>3846</v>
      </c>
      <c r="P939" s="1555" t="s">
        <v>3436</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1002</v>
      </c>
      <c r="D940" s="1546"/>
      <c r="F940" s="1530">
        <f>'Part VI-Revenues &amp; Expenses'!F234</f>
        <v>3800</v>
      </c>
      <c r="G940" s="1530">
        <f>'Part VI-Revenues &amp; Expenses'!G234</f>
        <v>0</v>
      </c>
      <c r="I940" s="1314" t="s">
        <v>1370</v>
      </c>
      <c r="K940" s="1545">
        <f>'Part VI-Revenues &amp; Expenses'!K234</f>
        <v>3000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1003</v>
      </c>
      <c r="D941" s="1546"/>
      <c r="F941" s="1530">
        <f>'Part VI-Revenues &amp; Expenses'!F235</f>
        <v>5200</v>
      </c>
      <c r="G941" s="1530">
        <f>'Part VI-Revenues &amp; Expenses'!G235</f>
        <v>0</v>
      </c>
      <c r="I941" s="1837" t="str">
        <f>'Part VI-Revenues &amp; Expenses'!I235</f>
        <v>Other (describe here)</v>
      </c>
      <c r="J941" s="1837">
        <f>'Part VI-Revenues &amp; Expenses'!J235</f>
        <v>0</v>
      </c>
      <c r="K941" s="1545">
        <f>'Part VI-Revenues &amp; Expenses'!K235</f>
        <v>0</v>
      </c>
      <c r="L941" s="1545">
        <f>'Part VI-Revenues &amp; Expenses'!L235</f>
        <v>0</v>
      </c>
      <c r="M941" s="1551"/>
      <c r="N941" s="1335" t="s">
        <v>3428</v>
      </c>
      <c r="O941" s="1557" t="str">
        <f>CONCATENATE(SUM(JC805:JG805)," units x $",'DCA Underwriting Assumptions'!$Q$64," =")</f>
        <v>40 units x $350 =</v>
      </c>
      <c r="P941" s="1557">
        <f>SUM(JC805:JG805)*'DCA Underwriting Assumptions'!$Q$64</f>
        <v>14000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1004</v>
      </c>
      <c r="D942" s="1546"/>
      <c r="F942" s="1530">
        <f>'Part VI-Revenues &amp; Expenses'!F236</f>
        <v>0</v>
      </c>
      <c r="G942" s="1530">
        <f>'Part VI-Revenues &amp; Expenses'!G236</f>
        <v>0</v>
      </c>
      <c r="J942" s="1544" t="s">
        <v>191</v>
      </c>
      <c r="K942" s="1545">
        <f>SUM(K937:K941)</f>
        <v>26200</v>
      </c>
      <c r="L942" s="1545"/>
      <c r="M942" s="1551"/>
      <c r="N942" s="1335" t="s">
        <v>3427</v>
      </c>
      <c r="O942" s="1557" t="str">
        <f>CONCATENATE(SUM(JH805:JL805)," units x $",'DCA Underwriting Assumptions'!$Q$65," =")</f>
        <v>0 units x $250 =</v>
      </c>
      <c r="P942" s="1557">
        <f>SUM(JH805:JL805)*'DCA Underwriting Assumptions'!$Q$65</f>
        <v>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867</v>
      </c>
      <c r="D943" s="1546"/>
      <c r="F943" s="1530">
        <f>'Part VI-Revenues &amp; Expenses'!F237</f>
        <v>1000</v>
      </c>
      <c r="G943" s="1530">
        <f>'Part VI-Revenues &amp; Expenses'!G237</f>
        <v>0</v>
      </c>
      <c r="J943" s="1516"/>
      <c r="M943" s="1551"/>
      <c r="N943" s="1424" t="s">
        <v>3431</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Fire Sprinkler Monitoring</v>
      </c>
      <c r="C944" s="457">
        <f>'Part VI-Revenues &amp; Expenses'!C238</f>
        <v>0</v>
      </c>
      <c r="D944" s="457">
        <f>'Part VI-Revenues &amp; Expenses'!D238</f>
        <v>0</v>
      </c>
      <c r="E944" s="457">
        <f>'Part VI-Revenues &amp; Expenses'!E238</f>
        <v>0</v>
      </c>
      <c r="F944" s="1530">
        <f>'Part VI-Revenues &amp; Expenses'!F238</f>
        <v>3200</v>
      </c>
      <c r="G944" s="1530">
        <f>'Part VI-Revenues &amp; Expenses'!G238</f>
        <v>0</v>
      </c>
      <c r="J944" s="1516"/>
      <c r="N944" s="1424" t="s">
        <v>3426</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32825</v>
      </c>
      <c r="G945" s="1530"/>
      <c r="J945" s="1516"/>
      <c r="N945" s="1511" t="s">
        <v>2716</v>
      </c>
      <c r="O945" s="1506">
        <f>SUM(JC805:JG805)+SUM(JH805:JL805)+SUM(JM805:JQ805)+O841</f>
        <v>40</v>
      </c>
      <c r="P945" s="1558">
        <f>SUM(P941:P944)</f>
        <v>14000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2186</v>
      </c>
      <c r="P947" s="1545">
        <f>P932+P936</f>
        <v>173133</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1793</v>
      </c>
      <c r="B949" s="1324" t="s">
        <v>571</v>
      </c>
      <c r="M949" s="1324" t="s">
        <v>4103</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Units currently at 50% AMI will be changed to target 60% AMI once the HOME restrictions have expired July 5, 2020.
       The equity commitment letters provide for an Asset Management Reporting Fee to be payable to the Federal Equity Limited Partner Investor in the amount of $3,000 annually and with the State Investment Limited Partner receiving and annual fee equal to 1/2 of the Federal Equity Asset Management Reporting Fee.  The Uses Tab Part IV under Start Up Reserves provides for a special reserve to be established and held by the property for the purpose of paying the annual Asset Management/Investor Service Reporting Fee.  The reserve is provided  to guarantee the payment to the Asset Manager in the event cashflow is insufficient to pay the estimated fee in any given year.  The Proforma VII Tab and the Part VI-Revenues &amp; Expenses Tab have each been modified to reflect the cash coming into the Operating Budget and coming out of the annual budget on the Operating Proforma at the annual fee rate.   The Annual Reporting Fee will only be required during the actual tax credit compliance years.</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4102</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2019-049 Woodstone Apartments II,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c r="A959" s="1324" t="s">
        <v>90</v>
      </c>
      <c r="D959" s="1324" t="s">
        <v>80</v>
      </c>
      <c r="E959" s="1496"/>
      <c r="F959" s="1332" t="s">
        <v>4532</v>
      </c>
    </row>
    <row r="961" spans="1:19" ht="12.75" customHeight="1">
      <c r="A961" s="638" t="s">
        <v>2187</v>
      </c>
      <c r="B961" s="1559">
        <v>0.02</v>
      </c>
      <c r="D961" s="1521" t="s">
        <v>4533</v>
      </c>
      <c r="E961" s="1521"/>
      <c r="F961" s="1521"/>
      <c r="G961" s="1839">
        <f>'Part VII-Pro Forma'!G5</f>
        <v>0</v>
      </c>
      <c r="H961" s="1526" t="s">
        <v>1906</v>
      </c>
      <c r="K961" s="1560" t="e">
        <f>IF(($B$14+$B$15+$B$16+$B$17)=0,"",B984/($B$14+$B$15+$B$16+$B$17))</f>
        <v>#VALUE!</v>
      </c>
    </row>
    <row r="962" spans="1:19">
      <c r="A962" s="638" t="s">
        <v>2188</v>
      </c>
      <c r="B962" s="1559">
        <v>0.03</v>
      </c>
      <c r="D962" s="1521"/>
      <c r="E962" s="1521"/>
      <c r="F962" s="1521"/>
      <c r="G962" s="1561">
        <f>IF(OR('Part III-Sources of Funds'!B967="Yes",'Part III-Sources of Funds'!E967&gt;0),'DCA Underwriting Assumptions'!$Q$96,0)</f>
        <v>0</v>
      </c>
    </row>
    <row r="963" spans="1:19">
      <c r="A963" s="638" t="s">
        <v>2190</v>
      </c>
      <c r="B963" s="1559">
        <v>0.03</v>
      </c>
      <c r="D963" s="1314" t="s">
        <v>270</v>
      </c>
      <c r="G963" s="1562"/>
      <c r="H963" s="1526" t="s">
        <v>2373</v>
      </c>
      <c r="K963" s="1560" t="e">
        <f>IF(($B$14+$B$15+$B$16+$B$17)=0,"",-B976/($B$14+$B$15+$B$16+$B$17))</f>
        <v>#VALUE!</v>
      </c>
    </row>
    <row r="964" spans="1:19">
      <c r="A964" s="638" t="s">
        <v>2189</v>
      </c>
      <c r="B964" s="1559">
        <f>'Part VII-Pro Forma'!B8</f>
        <v>7.0000000000000007E-2</v>
      </c>
      <c r="D964" s="1314" t="s">
        <v>2507</v>
      </c>
      <c r="G964" s="1840" t="str">
        <f>'Part VII-Pro Forma'!G8</f>
        <v>Yes</v>
      </c>
      <c r="H964" s="1563" t="s">
        <v>1443</v>
      </c>
      <c r="K964" s="1841">
        <f>'Part VII-Pro Forma'!K8</f>
        <v>14510</v>
      </c>
    </row>
    <row r="965" spans="1:19">
      <c r="A965" s="638" t="s">
        <v>1417</v>
      </c>
      <c r="B965" s="1559">
        <v>0.02</v>
      </c>
      <c r="D965" s="1314" t="s">
        <v>1717</v>
      </c>
      <c r="G965" s="1840" t="str">
        <f>'Part VII-Pro Forma'!G9</f>
        <v>No</v>
      </c>
      <c r="H965" s="1563" t="s">
        <v>2355</v>
      </c>
      <c r="K965" s="1842">
        <f>'Part VII-Pro Forma'!K9</f>
        <v>0</v>
      </c>
    </row>
    <row r="967" spans="1:19">
      <c r="A967" s="1324" t="s">
        <v>91</v>
      </c>
      <c r="D967" s="1488"/>
    </row>
    <row r="969" spans="1:19">
      <c r="A969" s="1324" t="s">
        <v>2479</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2403</v>
      </c>
      <c r="B970" s="1564">
        <f>'Part VI-Revenues &amp; Expenses'!$L$49</f>
        <v>218520</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4204" t="s">
        <v>4184</v>
      </c>
    </row>
    <row r="971" spans="1:19">
      <c r="A971" s="638" t="s">
        <v>1015</v>
      </c>
      <c r="B971" s="1564">
        <f>MIN(B970*B965,'Part VI-Revenues &amp; Expenses'!$H$173)</f>
        <v>4370.3999999999996</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4204"/>
    </row>
    <row r="972" spans="1:19">
      <c r="A972" s="638" t="s">
        <v>2404</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4204" t="s">
        <v>3880</v>
      </c>
      <c r="R972" s="4204" t="s">
        <v>4183</v>
      </c>
      <c r="S972" s="4204"/>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4204"/>
      <c r="R973" s="4204"/>
      <c r="S973" s="4204"/>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613</v>
      </c>
      <c r="B975" s="1564">
        <f>-('Part VI-Revenues &amp; Expenses'!$P$226-'Part VI-Revenues &amp; Expenses'!$P$221)</f>
        <v>-144623</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637</v>
      </c>
      <c r="S975" s="454">
        <f>B986+R975</f>
        <v>59767.399999999994</v>
      </c>
    </row>
    <row r="976" spans="1:19">
      <c r="A976" s="638" t="s">
        <v>1114</v>
      </c>
      <c r="B976" s="1564">
        <f>IF(AND('Part VII-Pro Forma'!$G$8="Yes",'Part VII-Pro Forma'!$G$9="Yes"),"Choose One!",IF('Part VII-Pro Forma'!$G$8="Yes",ROUND((-$K$8*(1+'Part VII-Pro Forma'!$B$6)^('Part VII-Pro Forma'!B977-1)),),IF('Part VII-Pro Forma'!$G$9="Yes",ROUND((-(SUM(B970:B973)*'Part VII-Pro Forma'!$K$9)),),"Choose mgt fee")))</f>
        <v>0</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637</v>
      </c>
      <c r="S976" s="454">
        <f>SUM(B986:C986)+R976</f>
        <v>55267.399999999994</v>
      </c>
    </row>
    <row r="977" spans="1:19">
      <c r="A977" s="638" t="s">
        <v>1201</v>
      </c>
      <c r="B977" s="1564">
        <f>-('Part VI-Revenues &amp; Expenses'!$P$230)</f>
        <v>-14000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637</v>
      </c>
      <c r="S977" s="454">
        <f>SUM(B986:D986)+R977</f>
        <v>50767.399999999994</v>
      </c>
    </row>
    <row r="978" spans="1:19">
      <c r="A978" s="638" t="s">
        <v>1202</v>
      </c>
      <c r="B978" s="1564">
        <f t="shared" ref="B978:K978" si="284">SUM(B970:B977)</f>
        <v>64267.399999999994</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637</v>
      </c>
      <c r="S978" s="454">
        <f>SUM(B986:E986)+R978</f>
        <v>46267.399999999994</v>
      </c>
    </row>
    <row r="979" spans="1:19">
      <c r="A979" s="638" t="s">
        <v>1590</v>
      </c>
      <c r="B979" s="1564">
        <f>'Part VII-Pro Forma'!B25</f>
        <v>0</v>
      </c>
      <c r="C979" s="1564">
        <f>'Part VII-Pro Forma'!C25</f>
        <v>0</v>
      </c>
      <c r="D979" s="1564">
        <f>'Part VII-Pro Forma'!D25</f>
        <v>0</v>
      </c>
      <c r="E979" s="1564">
        <f>'Part VII-Pro Forma'!E25</f>
        <v>0</v>
      </c>
      <c r="F979" s="1564">
        <f>'Part VII-Pro Forma'!F25</f>
        <v>0</v>
      </c>
      <c r="G979" s="1564">
        <f>'Part VII-Pro Forma'!G25</f>
        <v>0</v>
      </c>
      <c r="H979" s="1564">
        <f>'Part VII-Pro Forma'!H25</f>
        <v>0</v>
      </c>
      <c r="I979" s="1564">
        <f>'Part VII-Pro Forma'!I25</f>
        <v>0</v>
      </c>
      <c r="J979" s="1564">
        <f>'Part VII-Pro Forma'!J25</f>
        <v>0</v>
      </c>
      <c r="K979" s="1564">
        <f>'Part VII-Pro Forma'!K25</f>
        <v>0</v>
      </c>
      <c r="Q979" s="453">
        <v>5</v>
      </c>
      <c r="R979" s="454">
        <f>-SUM(B985:F985)</f>
        <v>637</v>
      </c>
      <c r="S979" s="454">
        <f>SUM(B986:F986)+R979</f>
        <v>41767.399999999994</v>
      </c>
    </row>
    <row r="980" spans="1:19">
      <c r="A980" s="638" t="s">
        <v>1591</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637</v>
      </c>
      <c r="S980" s="454">
        <f>SUM(B986:G986)+R980</f>
        <v>37267.399999999994</v>
      </c>
    </row>
    <row r="981" spans="1:19">
      <c r="A981" s="638" t="s">
        <v>1592</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637</v>
      </c>
      <c r="S981" s="454">
        <f>SUM(B986:H986)+R981</f>
        <v>32767.399999999994</v>
      </c>
    </row>
    <row r="982" spans="1:19">
      <c r="A982" s="638" t="s">
        <v>3849</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637</v>
      </c>
      <c r="S982" s="454">
        <f>SUM(B986:I986)+R982</f>
        <v>28267.399999999994</v>
      </c>
    </row>
    <row r="983" spans="1:19">
      <c r="A983" s="638" t="s">
        <v>762</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637</v>
      </c>
      <c r="S983" s="454">
        <f>SUM(B986:J986)+R983</f>
        <v>23767.399999999994</v>
      </c>
    </row>
    <row r="984" spans="1:19">
      <c r="A984" s="638" t="s">
        <v>1162</v>
      </c>
      <c r="B984" s="1564">
        <f>'Part VII-Pro Forma'!B30</f>
        <v>-4500</v>
      </c>
      <c r="C984" s="1564">
        <f>'Part VII-Pro Forma'!C30</f>
        <v>-4500</v>
      </c>
      <c r="D984" s="1564">
        <f>'Part VII-Pro Forma'!D30</f>
        <v>-4500</v>
      </c>
      <c r="E984" s="1564">
        <f>'Part VII-Pro Forma'!E30</f>
        <v>-4500</v>
      </c>
      <c r="F984" s="1564">
        <f>'Part VII-Pro Forma'!F30</f>
        <v>-4500</v>
      </c>
      <c r="G984" s="1564">
        <f>'Part VII-Pro Forma'!G30</f>
        <v>-4500</v>
      </c>
      <c r="H984" s="1564">
        <f>'Part VII-Pro Forma'!H30</f>
        <v>-4500</v>
      </c>
      <c r="I984" s="1564">
        <f>'Part VII-Pro Forma'!I30</f>
        <v>-4500</v>
      </c>
      <c r="J984" s="1564">
        <f>'Part VII-Pro Forma'!J30</f>
        <v>-4500</v>
      </c>
      <c r="K984" s="1564">
        <f>'Part VII-Pro Forma'!K30</f>
        <v>-4500</v>
      </c>
      <c r="Q984" s="453">
        <v>10</v>
      </c>
      <c r="R984" s="454">
        <f>-SUM(B985:K985)</f>
        <v>637</v>
      </c>
      <c r="S984" s="454">
        <f>SUM(B986:K986)+R984</f>
        <v>19267.399999999994</v>
      </c>
    </row>
    <row r="985" spans="1:19">
      <c r="A985" s="638" t="s">
        <v>4081</v>
      </c>
      <c r="B985" s="1564">
        <f>'Part VII-Pro Forma'!B31</f>
        <v>-637</v>
      </c>
      <c r="C985" s="1564">
        <f>'Part VII-Pro Forma'!C31</f>
        <v>0</v>
      </c>
      <c r="D985" s="1564">
        <f>'Part VII-Pro Forma'!D31</f>
        <v>0</v>
      </c>
      <c r="E985" s="1564">
        <f>'Part VII-Pro Forma'!E31</f>
        <v>0</v>
      </c>
      <c r="F985" s="1564">
        <f>'Part VII-Pro Forma'!F31</f>
        <v>0</v>
      </c>
      <c r="G985" s="1564">
        <f>'Part VII-Pro Forma'!G31</f>
        <v>0</v>
      </c>
      <c r="H985" s="1564">
        <f>'Part VII-Pro Forma'!H31</f>
        <v>0</v>
      </c>
      <c r="I985" s="1564">
        <f>'Part VII-Pro Forma'!I31</f>
        <v>0</v>
      </c>
      <c r="J985" s="1564">
        <f>'Part VII-Pro Forma'!J31</f>
        <v>0</v>
      </c>
      <c r="K985" s="1564">
        <f>'Part VII-Pro Forma'!K31</f>
        <v>0</v>
      </c>
      <c r="Q985" s="453">
        <v>11</v>
      </c>
      <c r="R985" s="454">
        <f>-SUM(B985:K985)-B1015</f>
        <v>637</v>
      </c>
      <c r="S985" s="454">
        <f>SUM(B986:K986)+B1016+R985</f>
        <v>19267.399999999994</v>
      </c>
    </row>
    <row r="986" spans="1:19">
      <c r="A986" s="638" t="s">
        <v>1163</v>
      </c>
      <c r="B986" s="1564">
        <f>SUM(B978:B985)</f>
        <v>59130.399999999994</v>
      </c>
      <c r="C986" s="1564">
        <f t="shared" ref="C986:K986" si="285">SUM(C978:C985)</f>
        <v>-4500</v>
      </c>
      <c r="D986" s="1564">
        <f t="shared" si="285"/>
        <v>-4500</v>
      </c>
      <c r="E986" s="1564">
        <f t="shared" si="285"/>
        <v>-4500</v>
      </c>
      <c r="F986" s="1564">
        <f t="shared" si="285"/>
        <v>-4500</v>
      </c>
      <c r="G986" s="1564">
        <f t="shared" si="285"/>
        <v>-4500</v>
      </c>
      <c r="H986" s="1564">
        <f t="shared" si="285"/>
        <v>-4500</v>
      </c>
      <c r="I986" s="1564">
        <f t="shared" si="285"/>
        <v>-4500</v>
      </c>
      <c r="J986" s="1564">
        <f t="shared" si="285"/>
        <v>-4500</v>
      </c>
      <c r="K986" s="1564">
        <f t="shared" si="285"/>
        <v>-4500</v>
      </c>
      <c r="Q986" s="453">
        <v>12</v>
      </c>
      <c r="R986" s="454">
        <f>-SUM(B985:K985) - SUM(B1015:C1015)</f>
        <v>637</v>
      </c>
      <c r="S986" s="454">
        <f>SUM(B986:K986) + SUM(B60:C60)+R986</f>
        <v>19267.399999999994</v>
      </c>
    </row>
    <row r="987" spans="1:19">
      <c r="A987" s="638" t="str">
        <f>IF('Part III-Sources of Funds'!$E$38 = "Neither", "", "DCR Mortgage A")</f>
        <v>DCR Mortgage A</v>
      </c>
      <c r="B987" s="1565" t="str">
        <f t="shared" ref="B987:K987" si="286">IF(B979=0,"",-B978/B979)</f>
        <v/>
      </c>
      <c r="C987" s="1565" t="str">
        <f t="shared" si="286"/>
        <v/>
      </c>
      <c r="D987" s="1565" t="str">
        <f t="shared" si="286"/>
        <v/>
      </c>
      <c r="E987" s="1565" t="str">
        <f t="shared" si="286"/>
        <v/>
      </c>
      <c r="F987" s="1565" t="str">
        <f t="shared" si="286"/>
        <v/>
      </c>
      <c r="G987" s="1565" t="str">
        <f t="shared" si="286"/>
        <v/>
      </c>
      <c r="H987" s="1565" t="str">
        <f t="shared" si="286"/>
        <v/>
      </c>
      <c r="I987" s="1565" t="str">
        <f t="shared" si="286"/>
        <v/>
      </c>
      <c r="J987" s="1565" t="str">
        <f t="shared" si="286"/>
        <v/>
      </c>
      <c r="K987" s="1565" t="str">
        <f t="shared" si="286"/>
        <v/>
      </c>
      <c r="Q987" s="453">
        <v>13</v>
      </c>
      <c r="R987" s="454">
        <f>-SUM(B985:K985) - SUM(B1015:D1015)</f>
        <v>637</v>
      </c>
      <c r="S987" s="454">
        <f>SUM(B986:K986) + SUM(B1016:D1016)+R987</f>
        <v>19267.399999999994</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637</v>
      </c>
      <c r="S988" s="454">
        <f>SUM(B986:K986) + SUM(B1016:E1016)+R988</f>
        <v>19267.399999999994</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637</v>
      </c>
      <c r="S989" s="454">
        <f>SUM(B986:K986) + SUM(B1016:F1016)+R989</f>
        <v>19267.399999999994</v>
      </c>
    </row>
    <row r="990" spans="1:19">
      <c r="A990" s="638" t="s">
        <v>782</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637</v>
      </c>
      <c r="S990" s="454">
        <f>SUM(B986:K986) + SUM(B1016:G1016)+R990</f>
        <v>19267.399999999994</v>
      </c>
    </row>
    <row r="991" spans="1:19">
      <c r="A991" s="638" t="s">
        <v>3710</v>
      </c>
      <c r="B991" s="1565" t="str">
        <f t="shared" ref="B991:K991" si="290">IF(AND(B979=0,B980=0,B981=0,B982=0),"",-B978/(B979+B980+B981+B982))</f>
        <v/>
      </c>
      <c r="C991" s="1565" t="str">
        <f t="shared" si="290"/>
        <v/>
      </c>
      <c r="D991" s="1565" t="str">
        <f t="shared" si="290"/>
        <v/>
      </c>
      <c r="E991" s="1565" t="str">
        <f t="shared" si="290"/>
        <v/>
      </c>
      <c r="F991" s="1565" t="str">
        <f t="shared" si="290"/>
        <v/>
      </c>
      <c r="G991" s="1565" t="str">
        <f t="shared" si="290"/>
        <v/>
      </c>
      <c r="H991" s="1565" t="str">
        <f t="shared" si="290"/>
        <v/>
      </c>
      <c r="I991" s="1565" t="str">
        <f t="shared" si="290"/>
        <v/>
      </c>
      <c r="J991" s="1565" t="str">
        <f t="shared" si="290"/>
        <v/>
      </c>
      <c r="K991" s="1565" t="str">
        <f t="shared" si="290"/>
        <v/>
      </c>
      <c r="Q991" s="453">
        <v>17</v>
      </c>
      <c r="R991" s="454">
        <f>-SUM(B985:K985) - SUM(B1015:H1015)</f>
        <v>637</v>
      </c>
      <c r="S991" s="454">
        <f>SUM(B986:K986) + SUM(B1016:H1016)+R991</f>
        <v>19267.399999999994</v>
      </c>
    </row>
    <row r="992" spans="1:19">
      <c r="A992" s="638" t="s">
        <v>769</v>
      </c>
      <c r="B992" s="1566">
        <f t="shared" ref="B992:K992" si="291">IF(OR(B976="Choose mgt fee",B976="Choose One!"),"",(B970+B971+B972+B973+B974) / -(B975+B976+B977))</f>
        <v>1.4051581422618409</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637</v>
      </c>
      <c r="S992" s="454">
        <f>SUM(B986:K986) + SUM(B1016:I1016)+R992</f>
        <v>19267.399999999994</v>
      </c>
    </row>
    <row r="993" spans="1:19">
      <c r="A993" s="638" t="s">
        <v>2616</v>
      </c>
      <c r="B993" s="1564" t="str">
        <f>'Part VII-Pro Forma'!B39</f>
        <v/>
      </c>
      <c r="C993" s="1564" t="str">
        <f>'Part VII-Pro Forma'!C39</f>
        <v/>
      </c>
      <c r="D993" s="1564" t="str">
        <f>'Part VII-Pro Forma'!D39</f>
        <v/>
      </c>
      <c r="E993" s="1564" t="str">
        <f>'Part VII-Pro Forma'!E39</f>
        <v/>
      </c>
      <c r="F993" s="1564" t="str">
        <f>'Part VII-Pro Forma'!F39</f>
        <v/>
      </c>
      <c r="G993" s="1564" t="str">
        <f>'Part VII-Pro Forma'!G39</f>
        <v/>
      </c>
      <c r="H993" s="1564" t="str">
        <f>'Part VII-Pro Forma'!H39</f>
        <v/>
      </c>
      <c r="I993" s="1564" t="str">
        <f>'Part VII-Pro Forma'!I39</f>
        <v/>
      </c>
      <c r="J993" s="1564" t="str">
        <f>'Part VII-Pro Forma'!J39</f>
        <v/>
      </c>
      <c r="K993" s="1564" t="str">
        <f>'Part VII-Pro Forma'!K39</f>
        <v/>
      </c>
      <c r="Q993" s="453">
        <v>19</v>
      </c>
      <c r="R993" s="454">
        <f>-SUM(B985:K985) - SUM(B1015:J1015)</f>
        <v>637</v>
      </c>
      <c r="S993" s="454">
        <f>SUM(B986:K986) + SUM(B1016:J1016)+R993</f>
        <v>19267.399999999994</v>
      </c>
    </row>
    <row r="994" spans="1:19">
      <c r="A994" s="638" t="s">
        <v>2617</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637</v>
      </c>
      <c r="S994" s="454">
        <f>SUM(B986:K986) + SUM(B1016:K1016)+R994</f>
        <v>19267.399999999994</v>
      </c>
    </row>
    <row r="995" spans="1:19">
      <c r="A995" s="638" t="s">
        <v>2618</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783</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4082</v>
      </c>
      <c r="B997" s="1564">
        <f>'Part VII-Pro Forma'!B43</f>
        <v>0</v>
      </c>
      <c r="C997" s="1564">
        <f>'Part VII-Pro Forma'!C43</f>
        <v>0</v>
      </c>
      <c r="D997" s="1564">
        <f>'Part VII-Pro Forma'!D43</f>
        <v>0</v>
      </c>
      <c r="E997" s="1564">
        <f>'Part VII-Pro Forma'!E43</f>
        <v>0</v>
      </c>
      <c r="F997" s="1564">
        <f>'Part VII-Pro Forma'!F43</f>
        <v>0</v>
      </c>
      <c r="G997" s="1564">
        <f>'Part VII-Pro Forma'!G43</f>
        <v>0</v>
      </c>
      <c r="H997" s="1564">
        <f>'Part VII-Pro Forma'!H43</f>
        <v>0</v>
      </c>
      <c r="I997" s="1564">
        <f>'Part VII-Pro Forma'!I43</f>
        <v>0</v>
      </c>
      <c r="J997" s="1564">
        <f>'Part VII-Pro Forma'!J43</f>
        <v>0</v>
      </c>
      <c r="K997" s="1564">
        <f>'Part VII-Pro Forma'!K43</f>
        <v>0</v>
      </c>
    </row>
    <row r="998" spans="1:19">
      <c r="B998" s="1564"/>
      <c r="C998" s="1564"/>
      <c r="D998" s="1564"/>
      <c r="E998" s="1564"/>
      <c r="F998" s="1564"/>
      <c r="G998" s="1564"/>
      <c r="H998" s="1564"/>
      <c r="I998" s="1564"/>
      <c r="J998" s="1564"/>
      <c r="K998" s="1564"/>
    </row>
    <row r="999" spans="1:19">
      <c r="A999" s="1324" t="s">
        <v>2479</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2403</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1015</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2404</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613</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1114</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1201</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1202</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0</v>
      </c>
      <c r="C1009" s="1564">
        <f>'Part VII-Pro Forma'!C57</f>
        <v>0</v>
      </c>
      <c r="D1009" s="1564">
        <f>'Part VII-Pro Forma'!D57</f>
        <v>0</v>
      </c>
      <c r="E1009" s="1564">
        <f>'Part VII-Pro Forma'!E57</f>
        <v>0</v>
      </c>
      <c r="F1009" s="1564">
        <f>'Part VII-Pro Forma'!F57</f>
        <v>0</v>
      </c>
      <c r="G1009" s="1564">
        <f>'Part VII-Pro Forma'!G57</f>
        <v>0</v>
      </c>
      <c r="H1009" s="1564">
        <f>'Part VII-Pro Forma'!H57</f>
        <v>0</v>
      </c>
      <c r="I1009" s="1564">
        <f>'Part VII-Pro Forma'!I57</f>
        <v>0</v>
      </c>
      <c r="J1009" s="1564">
        <f>'Part VII-Pro Forma'!J57</f>
        <v>0</v>
      </c>
      <c r="K1009" s="1564">
        <f>'Part VII-Pro Forma'!K57</f>
        <v>0</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762</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1162</v>
      </c>
      <c r="B1014" s="1564">
        <f>'Part VII-Pro Forma'!B62</f>
        <v>0</v>
      </c>
      <c r="C1014" s="1564">
        <f>'Part VII-Pro Forma'!C62</f>
        <v>0</v>
      </c>
      <c r="D1014" s="1564">
        <f>'Part VII-Pro Forma'!D62</f>
        <v>0</v>
      </c>
      <c r="E1014" s="1564">
        <f>'Part VII-Pro Forma'!E62</f>
        <v>0</v>
      </c>
      <c r="F1014" s="1564">
        <f>'Part VII-Pro Forma'!F62</f>
        <v>0</v>
      </c>
      <c r="G1014" s="1564">
        <f>'Part VII-Pro Forma'!G62</f>
        <v>0</v>
      </c>
      <c r="H1014" s="1564">
        <f>'Part VII-Pro Forma'!H62</f>
        <v>0</v>
      </c>
      <c r="I1014" s="1564">
        <f>'Part VII-Pro Forma'!I62</f>
        <v>0</v>
      </c>
      <c r="J1014" s="1564">
        <f>'Part VII-Pro Forma'!J62</f>
        <v>0</v>
      </c>
      <c r="K1014" s="1564">
        <f>'Part VII-Pro Forma'!K62</f>
        <v>0</v>
      </c>
    </row>
    <row r="1015" spans="1:11">
      <c r="A1015" s="638" t="s">
        <v>4081</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1163</v>
      </c>
      <c r="B1016" s="1564">
        <f>SUM(B1008:B1015)</f>
        <v>0</v>
      </c>
      <c r="C1016" s="1564">
        <f t="shared" ref="C1016:K1016" si="299">SUM(C1008:C1015)</f>
        <v>0</v>
      </c>
      <c r="D1016" s="1564">
        <f t="shared" si="299"/>
        <v>0</v>
      </c>
      <c r="E1016" s="1564">
        <f t="shared" si="299"/>
        <v>0</v>
      </c>
      <c r="F1016" s="1564">
        <f t="shared" si="299"/>
        <v>0</v>
      </c>
      <c r="G1016" s="1564">
        <f t="shared" si="299"/>
        <v>0</v>
      </c>
      <c r="H1016" s="1564">
        <f t="shared" si="299"/>
        <v>0</v>
      </c>
      <c r="I1016" s="1564">
        <f t="shared" si="299"/>
        <v>0</v>
      </c>
      <c r="J1016" s="1564">
        <f t="shared" si="299"/>
        <v>0</v>
      </c>
      <c r="K1016" s="1564">
        <f t="shared" si="299"/>
        <v>0</v>
      </c>
    </row>
    <row r="1017" spans="1:11">
      <c r="A1017" s="638" t="str">
        <f>$A987</f>
        <v>DCR Mortgage A</v>
      </c>
      <c r="B1017" s="1565" t="str">
        <f t="shared" ref="B1017:K1017" si="300">IF(B1009=0,"",-B1008/B1009)</f>
        <v/>
      </c>
      <c r="C1017" s="1565" t="str">
        <f t="shared" si="300"/>
        <v/>
      </c>
      <c r="D1017" s="1565" t="str">
        <f t="shared" si="300"/>
        <v/>
      </c>
      <c r="E1017" s="1565" t="str">
        <f t="shared" si="300"/>
        <v/>
      </c>
      <c r="F1017" s="1565" t="str">
        <f t="shared" si="300"/>
        <v/>
      </c>
      <c r="G1017" s="1565" t="str">
        <f t="shared" si="300"/>
        <v/>
      </c>
      <c r="H1017" s="1565" t="str">
        <f t="shared" si="300"/>
        <v/>
      </c>
      <c r="I1017" s="1565" t="str">
        <f t="shared" si="300"/>
        <v/>
      </c>
      <c r="J1017" s="1565" t="str">
        <f t="shared" si="300"/>
        <v/>
      </c>
      <c r="K1017" s="1565" t="str">
        <f t="shared" si="300"/>
        <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3710</v>
      </c>
      <c r="B1021" s="1565" t="str">
        <f t="shared" ref="B1021:K1021" si="304">IF(AND(B1009=0,B1010=0,B1011=0,B1012=0),"",-B1008/(B1009+B1010+B1011+B1012))</f>
        <v/>
      </c>
      <c r="C1021" s="1565" t="str">
        <f t="shared" si="304"/>
        <v/>
      </c>
      <c r="D1021" s="1565" t="str">
        <f t="shared" si="304"/>
        <v/>
      </c>
      <c r="E1021" s="1565" t="str">
        <f t="shared" si="304"/>
        <v/>
      </c>
      <c r="F1021" s="1565" t="str">
        <f t="shared" si="304"/>
        <v/>
      </c>
      <c r="G1021" s="1565" t="str">
        <f t="shared" si="304"/>
        <v/>
      </c>
      <c r="H1021" s="1565" t="str">
        <f t="shared" si="304"/>
        <v/>
      </c>
      <c r="I1021" s="1565" t="str">
        <f t="shared" si="304"/>
        <v/>
      </c>
      <c r="J1021" s="1565" t="str">
        <f t="shared" si="304"/>
        <v/>
      </c>
      <c r="K1021" s="1565" t="str">
        <f t="shared" si="304"/>
        <v/>
      </c>
    </row>
    <row r="1022" spans="1:11">
      <c r="A1022" s="638" t="s">
        <v>769</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2616</v>
      </c>
      <c r="B1023" s="1564" t="str">
        <f>'Part VII-Pro Forma'!B71</f>
        <v/>
      </c>
      <c r="C1023" s="1564" t="str">
        <f>'Part VII-Pro Forma'!C71</f>
        <v/>
      </c>
      <c r="D1023" s="1564" t="str">
        <f>'Part VII-Pro Forma'!D71</f>
        <v/>
      </c>
      <c r="E1023" s="1564" t="str">
        <f>'Part VII-Pro Forma'!E71</f>
        <v/>
      </c>
      <c r="F1023" s="1564" t="str">
        <f>'Part VII-Pro Forma'!F71</f>
        <v/>
      </c>
      <c r="G1023" s="1564" t="str">
        <f>'Part VII-Pro Forma'!G71</f>
        <v/>
      </c>
      <c r="H1023" s="1564" t="str">
        <f>'Part VII-Pro Forma'!H71</f>
        <v/>
      </c>
      <c r="I1023" s="1564" t="str">
        <f>'Part VII-Pro Forma'!I71</f>
        <v/>
      </c>
      <c r="J1023" s="1564" t="str">
        <f>'Part VII-Pro Forma'!J71</f>
        <v/>
      </c>
      <c r="K1023" s="1564" t="str">
        <f>'Part VII-Pro Forma'!K71</f>
        <v/>
      </c>
    </row>
    <row r="1024" spans="1:11">
      <c r="A1024" s="638" t="s">
        <v>2617</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2618</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783</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4082</v>
      </c>
      <c r="B1027" s="1564">
        <f>'Part VII-Pro Forma'!B75</f>
        <v>0</v>
      </c>
      <c r="C1027" s="1564">
        <f>'Part VII-Pro Forma'!C75</f>
        <v>0</v>
      </c>
      <c r="D1027" s="1564">
        <f>'Part VII-Pro Forma'!D75</f>
        <v>0</v>
      </c>
      <c r="E1027" s="1564">
        <f>'Part VII-Pro Forma'!E75</f>
        <v>0</v>
      </c>
      <c r="F1027" s="1564">
        <f>'Part VII-Pro Forma'!F75</f>
        <v>0</v>
      </c>
      <c r="G1027" s="1564">
        <f>'Part VII-Pro Forma'!G75</f>
        <v>0</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2479</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2403</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1015</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2404</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613</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1114</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1201</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1202</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0</v>
      </c>
      <c r="C1039" s="1564">
        <f>'Part VII-Pro Forma'!C89</f>
        <v>0</v>
      </c>
      <c r="D1039" s="1564">
        <f>'Part VII-Pro Forma'!D89</f>
        <v>0</v>
      </c>
      <c r="E1039" s="1564">
        <f>'Part VII-Pro Forma'!E89</f>
        <v>0</v>
      </c>
      <c r="F1039" s="1564">
        <f>'Part VII-Pro Forma'!F89</f>
        <v>0</v>
      </c>
      <c r="G1039" s="1564">
        <f>'Part VII-Pro Forma'!G89</f>
        <v>0</v>
      </c>
      <c r="H1039" s="1564">
        <f>'Part VII-Pro Forma'!H89</f>
        <v>0</v>
      </c>
      <c r="I1039" s="1564">
        <f>'Part VII-Pro Forma'!I89</f>
        <v>0</v>
      </c>
      <c r="J1039" s="1564">
        <f>'Part VII-Pro Forma'!J89</f>
        <v>0</v>
      </c>
      <c r="K1039" s="1564">
        <f>'Part VII-Pro Forma'!K89</f>
        <v>0</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762</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1162</v>
      </c>
      <c r="B1044" s="1564">
        <f>'Part VII-Pro Forma'!B94</f>
        <v>0</v>
      </c>
      <c r="C1044" s="1564">
        <f>'Part VII-Pro Forma'!C94</f>
        <v>0</v>
      </c>
      <c r="D1044" s="1564">
        <f>'Part VII-Pro Forma'!D94</f>
        <v>0</v>
      </c>
      <c r="E1044" s="1564">
        <f>'Part VII-Pro Forma'!E94</f>
        <v>0</v>
      </c>
      <c r="F1044" s="1564">
        <f>'Part VII-Pro Forma'!F94</f>
        <v>0</v>
      </c>
      <c r="G1044" s="1564">
        <f>'Part VII-Pro Forma'!G94</f>
        <v>0</v>
      </c>
      <c r="H1044" s="1564">
        <f>'Part VII-Pro Forma'!H94</f>
        <v>0</v>
      </c>
      <c r="I1044" s="1564">
        <f>'Part VII-Pro Forma'!I94</f>
        <v>0</v>
      </c>
      <c r="J1044" s="1564">
        <f>'Part VII-Pro Forma'!J94</f>
        <v>0</v>
      </c>
      <c r="K1044" s="1564">
        <f>'Part VII-Pro Forma'!K94</f>
        <v>0</v>
      </c>
    </row>
    <row r="1045" spans="1:11">
      <c r="A1045" s="638" t="s">
        <v>1163</v>
      </c>
      <c r="B1045" s="1564">
        <f t="shared" ref="B1045:K1045" si="313">SUM(B1038:B1044)</f>
        <v>0</v>
      </c>
      <c r="C1045" s="1564">
        <f t="shared" si="313"/>
        <v>0</v>
      </c>
      <c r="D1045" s="1564">
        <f t="shared" si="313"/>
        <v>0</v>
      </c>
      <c r="E1045" s="1564">
        <f t="shared" si="313"/>
        <v>0</v>
      </c>
      <c r="F1045" s="1564">
        <f t="shared" si="313"/>
        <v>0</v>
      </c>
      <c r="G1045" s="1564">
        <f t="shared" si="313"/>
        <v>0</v>
      </c>
      <c r="H1045" s="1564">
        <f t="shared" si="313"/>
        <v>0</v>
      </c>
      <c r="I1045" s="1564">
        <f t="shared" si="313"/>
        <v>0</v>
      </c>
      <c r="J1045" s="1564">
        <f t="shared" si="313"/>
        <v>0</v>
      </c>
      <c r="K1045" s="1564">
        <f t="shared" si="313"/>
        <v>0</v>
      </c>
    </row>
    <row r="1046" spans="1:11">
      <c r="A1046" s="638" t="str">
        <f>$A1017</f>
        <v>DCR Mortgage A</v>
      </c>
      <c r="B1046" s="1565" t="str">
        <f>IF(B1039=0,"",-B1038/B1039)</f>
        <v/>
      </c>
      <c r="C1046" s="1565" t="str">
        <f t="shared" ref="C1046:K1046" si="314">IF(C1039=0,"",-C1038/C1039)</f>
        <v/>
      </c>
      <c r="D1046" s="1565" t="str">
        <f t="shared" si="314"/>
        <v/>
      </c>
      <c r="E1046" s="1565" t="str">
        <f t="shared" si="314"/>
        <v/>
      </c>
      <c r="F1046" s="1565" t="str">
        <f t="shared" si="314"/>
        <v/>
      </c>
      <c r="G1046" s="1565" t="str">
        <f t="shared" si="314"/>
        <v/>
      </c>
      <c r="H1046" s="1565" t="str">
        <f t="shared" si="314"/>
        <v/>
      </c>
      <c r="I1046" s="1565" t="str">
        <f t="shared" si="314"/>
        <v/>
      </c>
      <c r="J1046" s="1565" t="str">
        <f t="shared" si="314"/>
        <v/>
      </c>
      <c r="K1046" s="1565" t="str">
        <f t="shared" si="314"/>
        <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3710</v>
      </c>
      <c r="B1050" s="1565" t="str">
        <f>IF(AND(B1039=0,B1040=0,B1041=0,B1042=0),"",-B1038/(B1039+B1040+B1041+B1042))</f>
        <v/>
      </c>
      <c r="C1050" s="1565" t="str">
        <f t="shared" ref="C1050:K1050" si="318">IF(AND(C1039=0,C1040=0,C1041=0,C1042=0),"",-C1038/(C1039+C1040+C1041+C1042))</f>
        <v/>
      </c>
      <c r="D1050" s="1565" t="str">
        <f t="shared" si="318"/>
        <v/>
      </c>
      <c r="E1050" s="1565" t="str">
        <f t="shared" si="318"/>
        <v/>
      </c>
      <c r="F1050" s="1565" t="str">
        <f t="shared" si="318"/>
        <v/>
      </c>
      <c r="G1050" s="1565" t="str">
        <f t="shared" si="318"/>
        <v/>
      </c>
      <c r="H1050" s="1565" t="str">
        <f t="shared" si="318"/>
        <v/>
      </c>
      <c r="I1050" s="1565" t="str">
        <f t="shared" si="318"/>
        <v/>
      </c>
      <c r="J1050" s="1565" t="str">
        <f t="shared" si="318"/>
        <v/>
      </c>
      <c r="K1050" s="1565" t="str">
        <f t="shared" si="318"/>
        <v/>
      </c>
    </row>
    <row r="1051" spans="1:11">
      <c r="A1051" s="638" t="s">
        <v>769</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2616</v>
      </c>
      <c r="B1052" s="1564" t="str">
        <f>'Part VII-Pro Forma'!B102</f>
        <v/>
      </c>
      <c r="C1052" s="1564" t="str">
        <f>'Part VII-Pro Forma'!C102</f>
        <v/>
      </c>
      <c r="D1052" s="1564" t="str">
        <f>'Part VII-Pro Forma'!D102</f>
        <v/>
      </c>
      <c r="E1052" s="1564" t="str">
        <f>'Part VII-Pro Forma'!E102</f>
        <v/>
      </c>
      <c r="F1052" s="1564" t="str">
        <f>'Part VII-Pro Forma'!F102</f>
        <v/>
      </c>
      <c r="G1052" s="1564" t="str">
        <f>'Part VII-Pro Forma'!G102</f>
        <v/>
      </c>
      <c r="H1052" s="1564" t="str">
        <f>'Part VII-Pro Forma'!H102</f>
        <v/>
      </c>
      <c r="I1052" s="1564" t="str">
        <f>'Part VII-Pro Forma'!I102</f>
        <v/>
      </c>
      <c r="J1052" s="1564" t="str">
        <f>'Part VII-Pro Forma'!J102</f>
        <v/>
      </c>
      <c r="K1052" s="1564" t="str">
        <f>'Part VII-Pro Forma'!K102</f>
        <v/>
      </c>
    </row>
    <row r="1053" spans="1:11">
      <c r="A1053" s="638" t="s">
        <v>2617</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2618</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783</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2479</v>
      </c>
      <c r="B1057" s="1567">
        <f>K1029+1</f>
        <v>31</v>
      </c>
      <c r="C1057" s="1567">
        <f>B1057+1</f>
        <v>32</v>
      </c>
      <c r="D1057" s="1567">
        <f>C1057+1</f>
        <v>33</v>
      </c>
      <c r="E1057" s="1567">
        <f>D1057+1</f>
        <v>34</v>
      </c>
      <c r="F1057" s="1567">
        <f>E1057+1</f>
        <v>35</v>
      </c>
      <c r="G1057" s="1564"/>
      <c r="H1057" s="1564"/>
      <c r="I1057" s="1564"/>
      <c r="J1057" s="1564"/>
      <c r="K1057" s="1564"/>
    </row>
    <row r="1058" spans="1:11">
      <c r="A1058" s="638" t="s">
        <v>2403</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1015</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2404</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613</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1114</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1201</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1202</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0</v>
      </c>
      <c r="C1067" s="1564">
        <f>'Part VII-Pro Forma'!C119</f>
        <v>0</v>
      </c>
      <c r="D1067" s="1564">
        <f>'Part VII-Pro Forma'!D119</f>
        <v>0</v>
      </c>
      <c r="E1067" s="1564">
        <f>'Part VII-Pro Forma'!E119</f>
        <v>0</v>
      </c>
      <c r="F1067" s="1564">
        <f>'Part VII-Pro Forma'!F119</f>
        <v>0</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762</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1162</v>
      </c>
      <c r="B1072" s="1564">
        <f>'Part VII-Pro Forma'!B124</f>
        <v>0</v>
      </c>
      <c r="C1072" s="1564">
        <f>'Part VII-Pro Forma'!C124</f>
        <v>0</v>
      </c>
      <c r="D1072" s="1564">
        <f>'Part VII-Pro Forma'!D124</f>
        <v>0</v>
      </c>
      <c r="E1072" s="1564">
        <f>'Part VII-Pro Forma'!E124</f>
        <v>0</v>
      </c>
      <c r="F1072" s="1564">
        <f>'Part VII-Pro Forma'!F124</f>
        <v>0</v>
      </c>
      <c r="G1072" s="1564"/>
      <c r="H1072" s="1564"/>
      <c r="I1072" s="1564"/>
      <c r="J1072" s="1564"/>
      <c r="K1072" s="1564"/>
    </row>
    <row r="1073" spans="1:11">
      <c r="A1073" s="638" t="s">
        <v>1163</v>
      </c>
      <c r="B1073" s="1564">
        <f>SUM(B1066:B1072)</f>
        <v>0</v>
      </c>
      <c r="C1073" s="1564">
        <f>SUM(C1066:C1072)</f>
        <v>0</v>
      </c>
      <c r="D1073" s="1564">
        <f>SUM(D1066:D1072)</f>
        <v>0</v>
      </c>
      <c r="E1073" s="1564">
        <f>SUM(E1066:E1072)</f>
        <v>0</v>
      </c>
      <c r="F1073" s="1564">
        <f>SUM(F1066:F1072)</f>
        <v>0</v>
      </c>
      <c r="G1073" s="1564"/>
      <c r="H1073" s="1564"/>
      <c r="I1073" s="1564"/>
      <c r="J1073" s="1564"/>
      <c r="K1073" s="1564"/>
    </row>
    <row r="1074" spans="1:11">
      <c r="A1074" s="638" t="str">
        <f>$A1046</f>
        <v>DCR Mortgage A</v>
      </c>
      <c r="B1074" s="1565" t="str">
        <f>IF(B1067=0,"",-B1066/B1067)</f>
        <v/>
      </c>
      <c r="C1074" s="1565" t="str">
        <f>IF(C1067=0,"",-C1066/C1067)</f>
        <v/>
      </c>
      <c r="D1074" s="1565" t="str">
        <f>IF(D1067=0,"",-D1066/D1067)</f>
        <v/>
      </c>
      <c r="E1074" s="1565" t="str">
        <f>IF(E1067=0,"",-E1066/E1067)</f>
        <v/>
      </c>
      <c r="F1074" s="1565" t="str">
        <f>IF(F1067=0,"",-F1066/F1067)</f>
        <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3710</v>
      </c>
      <c r="B1078" s="1565" t="str">
        <f>IF(AND(B1067=0,B1068=0,B1069=0,B1070=0),"",-B1066/(B1067+B1068+B1069+B1070))</f>
        <v/>
      </c>
      <c r="C1078" s="1565" t="str">
        <f>IF(AND(C1067=0,C1068=0,C1069=0,C1070=0),"",-C1066/(C1067+C1068+C1069+C1070))</f>
        <v/>
      </c>
      <c r="D1078" s="1565" t="str">
        <f>IF(AND(D1067=0,D1068=0,D1069=0,D1070=0),"",-D1066/(D1067+D1068+D1069+D1070))</f>
        <v/>
      </c>
      <c r="E1078" s="1565" t="str">
        <f>IF(AND(E1067=0,E1068=0,E1069=0,E1070=0),"",-E1066/(E1067+E1068+E1069+E1070))</f>
        <v/>
      </c>
      <c r="F1078" s="1565" t="str">
        <f>IF(AND(F1067=0,F1068=0,F1069=0,F1070=0),"",-F1066/(F1067+F1068+F1069+F1070))</f>
        <v/>
      </c>
      <c r="G1078" s="1564"/>
      <c r="H1078" s="1564"/>
      <c r="I1078" s="1564"/>
      <c r="J1078" s="1564"/>
      <c r="K1078" s="1564"/>
    </row>
    <row r="1079" spans="1:11">
      <c r="A1079" s="638" t="s">
        <v>769</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2616</v>
      </c>
      <c r="B1080" s="1564" t="str">
        <f>'Part VII-Pro Forma'!B132</f>
        <v/>
      </c>
      <c r="C1080" s="1564" t="str">
        <f>'Part VII-Pro Forma'!C132</f>
        <v/>
      </c>
      <c r="D1080" s="1564" t="str">
        <f>'Part VII-Pro Forma'!D132</f>
        <v/>
      </c>
      <c r="E1080" s="1564" t="str">
        <f>'Part VII-Pro Forma'!E132</f>
        <v/>
      </c>
      <c r="F1080" s="1564" t="str">
        <f>'Part VII-Pro Forma'!F132</f>
        <v/>
      </c>
      <c r="G1080" s="1564"/>
      <c r="H1080" s="1564"/>
      <c r="I1080" s="1564"/>
      <c r="J1080" s="1564"/>
      <c r="K1080" s="1564"/>
    </row>
    <row r="1081" spans="1:11">
      <c r="A1081" s="638" t="s">
        <v>2617</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2618</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783</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570</v>
      </c>
      <c r="B1085" s="1324"/>
      <c r="G1085" s="1324" t="s">
        <v>1030</v>
      </c>
    </row>
    <row r="1086" spans="1:11">
      <c r="B1086" s="1490"/>
    </row>
    <row r="1087" spans="1:11" ht="12.75" customHeight="1">
      <c r="A1087" s="1391" t="str">
        <f>'Part VII-Pro Forma'!A139</f>
        <v>APPLICANTS: Explain any any debt service payment amounts that deviate from the amount shown in Permanent Sources (Part III)--There are no debt service payments for this property.
    The EGI ratio for the property stays above the requirement at 1.10 through year 15. The rents used in the application are reflective of the proposed rents to be charged at the property currently. The expenses used in the operating budget are similar to the actual expenses that the property has been operating under for the past several years. See the 2016-2017 Financial Statements included in the Feasibility tab of the application. The QAP requires a minimum of $3,500 per unit in operating expenses before Replacement Reserves for Rural Projects located in a MSA. Leesburg is Rural although it is included in the Albany MSA for incomes and rents. The project is currently operating at approximately $4,309-$4,560 in operating expenses per unit with replacement reserves being funded at $200 per unit. The EGI declines over the remainder of the project operating pro forma due to the required annual increase in replacement reserves at $350 per unit with the annual required increase of 3%. The Effective Gross Income ratio over expenses is sufficient to cover the cost of operations through year 15. 
   The targeting shown in the Revenues/Rents Tab reflects the HOME Loan targeting and tax credit targeting currently covering the property.  The HOME Loan affordability period will end approx. July 5, 2020. The tax credit targeting of 100% of the units at 60% will be effective for the property beginning with the rentup of each unit.  The application is intended to meet the requirements of both the HOME affordability period through 7/5/2020 and the future tax credit targeting of 100% @ 60%.
    The equity commitment letters provide for an Asset Management Reporting Fee to be payable to the Federal Equity Limited Partner Investor in the amount of $3,000 annually and with the State Investment Limited Partner receiving and annual fee equal to 1/2 of the Federal Equity Asset Management Reporting Fee.  The Uses Tab Part IV under Start Up Reserves provides for a special reserve to be established and held by the property for the purpose of paying the annual Asset Management/Investor Service Reporting Fee.  The reserve is provided  to guarantee the payment to the Asset Manager in the event cashflow is insufficient to pay the estimated fee in any given year.  The Proforma VII Tab and the Part VI-Revenues &amp; Expenses Tab have each been modified to reflect the cash coming into the Operating Budget and coming out of the annual budget on the Operating Proforma at the annual fee rate.   The Annual Reporting Fee will only be required during the actual tax credit compliance years.</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2019-049 Woodstone Apartments II,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934</v>
      </c>
      <c r="P1097" s="1500"/>
      <c r="Q1097" s="1501" t="s">
        <v>1842</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566</v>
      </c>
      <c r="J1100" s="1570" t="s">
        <v>4534</v>
      </c>
      <c r="K1100" s="1570"/>
      <c r="L1100" s="1570"/>
      <c r="M1100" s="1570"/>
      <c r="N1100" s="1570"/>
      <c r="O1100" s="1570"/>
      <c r="P1100" s="1571">
        <f>'Part VIII-Threshold Criteria'!P6</f>
        <v>0</v>
      </c>
      <c r="Q1100" s="1571">
        <f>'Part VIII-Threshold Criteria'!Q6</f>
        <v>0</v>
      </c>
    </row>
    <row r="1101" spans="1:17">
      <c r="A1101" s="1572" t="s">
        <v>3449</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615</v>
      </c>
      <c r="B1123" s="1575" t="s">
        <v>2650</v>
      </c>
      <c r="C1123" s="1576"/>
      <c r="D1123" s="1577"/>
      <c r="E1123" s="1577"/>
      <c r="F1123" s="1577"/>
      <c r="G1123" s="1577"/>
      <c r="I1123" s="1578"/>
      <c r="J1123" s="1578"/>
      <c r="K1123" s="1578"/>
      <c r="L1123" s="1495"/>
      <c r="M1123" s="1495"/>
      <c r="O1123" s="1579" t="s">
        <v>1866</v>
      </c>
      <c r="P1123" s="1503">
        <f>'Part VIII-Threshold Criteria'!P29</f>
        <v>0</v>
      </c>
      <c r="Q1123" s="1503">
        <f>'Part VIII-Threshold Criteria'!Q29</f>
        <v>0</v>
      </c>
    </row>
    <row r="1125" spans="1:17">
      <c r="B1125" s="1549" t="s">
        <v>3751</v>
      </c>
      <c r="C1125" s="1549"/>
      <c r="D1125" s="1549"/>
      <c r="E1125" s="1549"/>
      <c r="F1125" s="1549"/>
      <c r="G1125" s="1578"/>
      <c r="H1125" s="1578"/>
      <c r="I1125" s="1578"/>
      <c r="J1125" s="1578"/>
      <c r="K1125" s="1495"/>
      <c r="L1125" s="1495"/>
      <c r="M1125" s="1495"/>
      <c r="N1125" s="1495"/>
      <c r="O1125" s="1495"/>
      <c r="P1125" s="1495"/>
    </row>
    <row r="1126" spans="1:17" ht="409.6">
      <c r="A1126" s="1583" t="str">
        <f>'Part VIII-Threshold Criteria'!A32</f>
        <v xml:space="preserve">The Project Feasibility, Viability, and Conformance with the Qualified Allocation Plan for 2019 is evidenced by the needs listed in the Physical Needs Assessment. The Woodstone Apartments property has operated successfully for many years and continues to serve families in the Leesburg area. The rehabilitation of Woodstone Apartments will create a more energy efficient, safe, accessible, and compliant living environment for existing residents. During construction, tenants will be temporarily relocated until each unit is completed. The updated features of the property will improve the lives of current and future residents for many years to come. </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1865</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739</v>
      </c>
      <c r="B1130" s="1312" t="s">
        <v>2710</v>
      </c>
      <c r="C1130" s="1312"/>
      <c r="D1130" s="1312"/>
      <c r="E1130" s="1582"/>
      <c r="G1130" s="1503"/>
      <c r="H1130" s="1503"/>
      <c r="I1130" s="1503"/>
      <c r="J1130" s="1314"/>
      <c r="L1130" s="1584"/>
      <c r="M1130" s="1584"/>
      <c r="N1130" s="1584"/>
      <c r="O1130" s="1579" t="s">
        <v>1866</v>
      </c>
      <c r="P1130" s="1503">
        <f>'Part VIII-Threshold Criteria'!P36</f>
        <v>0</v>
      </c>
      <c r="Q1130" s="1503">
        <f>'Part VIII-Threshold Criteria'!Q36</f>
        <v>0</v>
      </c>
    </row>
    <row r="1131" spans="1:17" ht="12.75" customHeight="1">
      <c r="A1131" s="1585" t="s">
        <v>4535</v>
      </c>
      <c r="B1131" s="1585"/>
      <c r="C1131" s="1585"/>
      <c r="D1131" s="1585"/>
      <c r="E1131" s="1585"/>
      <c r="F1131" s="1585"/>
      <c r="G1131" s="1424" t="s">
        <v>2714</v>
      </c>
      <c r="H1131" s="1424"/>
      <c r="I1131" s="1577"/>
      <c r="J1131" s="1314"/>
      <c r="K1131" s="1577" t="s">
        <v>3632</v>
      </c>
      <c r="L1131" s="1577"/>
      <c r="M1131" s="1577"/>
      <c r="N1131" s="1577"/>
    </row>
    <row r="1132" spans="1:17">
      <c r="A1132" s="1585"/>
      <c r="B1132" s="1585"/>
      <c r="C1132" s="1585"/>
      <c r="D1132" s="1585"/>
      <c r="E1132" s="1585"/>
      <c r="F1132" s="1585"/>
      <c r="G1132" s="1424" t="s">
        <v>346</v>
      </c>
      <c r="H1132" s="1424"/>
      <c r="I1132" s="1577"/>
      <c r="J1132" s="1314"/>
      <c r="K1132" s="457" t="s">
        <v>3633</v>
      </c>
      <c r="L1132" s="457"/>
      <c r="M1132" s="457"/>
      <c r="N1132" s="457"/>
      <c r="P1132" s="1436" t="s">
        <v>2733</v>
      </c>
      <c r="Q1132" s="1621" t="str">
        <f>'Part VIII-Threshold Criteria'!Q38</f>
        <v>Yes</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2713</v>
      </c>
      <c r="F1134" s="1587" t="s">
        <v>3451</v>
      </c>
      <c r="G1134" s="1587" t="s">
        <v>3450</v>
      </c>
      <c r="H1134" s="1587"/>
      <c r="I1134" s="1587"/>
      <c r="K1134" s="1587" t="s">
        <v>3451</v>
      </c>
      <c r="L1134" s="1587" t="s">
        <v>3450</v>
      </c>
      <c r="M1134" s="1587"/>
      <c r="N1134" s="1587"/>
    </row>
    <row r="1135" spans="1:17" ht="12.75" customHeight="1">
      <c r="A1135" s="1588" t="s">
        <v>3356</v>
      </c>
      <c r="B1135" s="1588"/>
      <c r="C1135" s="1588"/>
      <c r="D1135" s="1589" t="s">
        <v>567</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3888</v>
      </c>
      <c r="Q1135" s="1491"/>
    </row>
    <row r="1136" spans="1:17" ht="12.75" customHeight="1">
      <c r="A1136" s="1588"/>
      <c r="B1136" s="1588"/>
      <c r="C1136" s="1588"/>
      <c r="D1136" s="1589" t="s">
        <v>2439</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Albany</v>
      </c>
      <c r="Q1136" s="1593">
        <f>'Part VIII-Threshold Criteria'!Q42</f>
        <v>0</v>
      </c>
    </row>
    <row r="1137" spans="1:17">
      <c r="A1137" s="1588"/>
      <c r="B1137" s="1588"/>
      <c r="C1137" s="1588"/>
      <c r="D1137" s="1589" t="s">
        <v>2440</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2441</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3629</v>
      </c>
      <c r="Q1138" s="1550"/>
    </row>
    <row r="1139" spans="1:17" ht="12.75" customHeight="1">
      <c r="C1139" s="1314"/>
      <c r="D1139" s="1589" t="s">
        <v>2442</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5168536</v>
      </c>
      <c r="Q1139" s="1594">
        <f>'Part VIII-Threshold Criteria'!Q45</f>
        <v>0</v>
      </c>
    </row>
    <row r="1140" spans="1:17" ht="12.75" customHeight="1">
      <c r="C1140" s="1314"/>
      <c r="D1140" s="1595" t="s">
        <v>3366</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3351</v>
      </c>
      <c r="B1142" s="1588"/>
      <c r="C1142" s="1588"/>
      <c r="D1142" s="1589" t="s">
        <v>567</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4085</v>
      </c>
      <c r="Q1142" s="1468"/>
    </row>
    <row r="1143" spans="1:17" ht="12.75" customHeight="1">
      <c r="A1143" s="1588"/>
      <c r="B1143" s="1588"/>
      <c r="C1143" s="1588"/>
      <c r="D1143" s="1589" t="s">
        <v>2439</v>
      </c>
      <c r="E1143" s="1578">
        <v>1</v>
      </c>
      <c r="F1143" s="1590">
        <f>'Part VI-Revenues &amp; Expenses'!$K$137</f>
        <v>0</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0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2440</v>
      </c>
      <c r="E1144" s="1578">
        <v>2</v>
      </c>
      <c r="F1144" s="1590">
        <f>'Part VI-Revenues &amp; Expenses'!$L$137</f>
        <v>0</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0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2441</v>
      </c>
      <c r="E1145" s="1578">
        <v>3</v>
      </c>
      <c r="F1145" s="1590">
        <f>'Part VI-Revenues &amp; Expenses'!$M$137</f>
        <v>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2442</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3627</v>
      </c>
      <c r="Q1146" s="457"/>
    </row>
    <row r="1147" spans="1:17">
      <c r="C1147" s="1314"/>
      <c r="D1147" s="1595" t="s">
        <v>3366</v>
      </c>
      <c r="E1147" s="1596"/>
      <c r="F1147" s="1597">
        <f>SUM(F1142:F1146)</f>
        <v>0</v>
      </c>
      <c r="G1147" s="1598"/>
      <c r="H1147" s="1599"/>
      <c r="I1147" s="1600" t="e">
        <f>SUM(I1142:I1146)</f>
        <v>#N/A</v>
      </c>
      <c r="J1147" s="1601"/>
      <c r="K1147" s="1597">
        <f>SUM(K1142:K1146)</f>
        <v>0</v>
      </c>
      <c r="L1147" s="1601"/>
      <c r="M1147" s="1599"/>
      <c r="N1147" s="1600" t="e">
        <f>SUM(N1142:N1146)</f>
        <v>#N/A</v>
      </c>
      <c r="O1147" s="1606"/>
      <c r="P1147" s="1504" t="s">
        <v>3244</v>
      </c>
      <c r="Q1147" s="1504" t="s">
        <v>256</v>
      </c>
    </row>
    <row r="1148" spans="1:17">
      <c r="C1148" s="1314"/>
      <c r="D1148" s="1602"/>
      <c r="E1148" s="1602"/>
      <c r="F1148" s="1603"/>
      <c r="G1148" s="1604"/>
      <c r="I1148" s="1603"/>
      <c r="K1148" s="1603"/>
      <c r="M1148" s="1582"/>
      <c r="N1148" s="1603"/>
      <c r="O1148" s="1606"/>
    </row>
    <row r="1149" spans="1:17">
      <c r="A1149" s="1424" t="s">
        <v>3352</v>
      </c>
      <c r="C1149" s="1314"/>
      <c r="D1149" s="1589" t="s">
        <v>567</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2439</v>
      </c>
      <c r="E1150" s="1578">
        <v>1</v>
      </c>
      <c r="F1150" s="1590">
        <f>'Part VI-Revenues &amp; Expenses'!$K$139</f>
        <v>12</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12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3628</v>
      </c>
      <c r="Q1150" s="457"/>
    </row>
    <row r="1151" spans="1:17">
      <c r="C1151" s="1314"/>
      <c r="D1151" s="1589" t="s">
        <v>2440</v>
      </c>
      <c r="E1151" s="1578">
        <v>2</v>
      </c>
      <c r="F1151" s="1590">
        <f>'Part VI-Revenues &amp; Expenses'!$L$139</f>
        <v>24</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24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3244</v>
      </c>
      <c r="Q1151" s="1504" t="s">
        <v>256</v>
      </c>
    </row>
    <row r="1152" spans="1:17">
      <c r="C1152" s="1314"/>
      <c r="D1152" s="1589" t="s">
        <v>2441</v>
      </c>
      <c r="E1152" s="1578">
        <v>3</v>
      </c>
      <c r="F1152" s="1590">
        <f>'Part VI-Revenues &amp; Expenses'!$M$139</f>
        <v>4</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4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2442</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2768</v>
      </c>
      <c r="Q1153" s="1608"/>
    </row>
    <row r="1154" spans="1:17" ht="12.75" customHeight="1">
      <c r="C1154" s="1314"/>
      <c r="D1154" s="1595" t="s">
        <v>3366</v>
      </c>
      <c r="E1154" s="1596"/>
      <c r="F1154" s="1597">
        <f>SUM(F1149:F1153)</f>
        <v>40</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3353</v>
      </c>
      <c r="C1156" s="1314"/>
      <c r="D1156" s="1589" t="s">
        <v>567</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2439</v>
      </c>
      <c r="E1157" s="1578">
        <v>1</v>
      </c>
      <c r="F1157" s="1590">
        <f>'Part VI-Revenues &amp; Expenses'!$K$141</f>
        <v>0</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0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7171052</v>
      </c>
      <c r="Q1157" s="1609">
        <f>'Part VIII-Threshold Criteria'!Q63</f>
        <v>0</v>
      </c>
    </row>
    <row r="1158" spans="1:17" ht="12.75" customHeight="1">
      <c r="C1158" s="1314"/>
      <c r="D1158" s="1589" t="s">
        <v>2440</v>
      </c>
      <c r="E1158" s="1578">
        <v>2</v>
      </c>
      <c r="F1158" s="1590">
        <f>'Part VI-Revenues &amp; Expenses'!$L$141</f>
        <v>0</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0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2441</v>
      </c>
      <c r="E1159" s="1578">
        <v>3</v>
      </c>
      <c r="F1159" s="1590">
        <f>'Part VI-Revenues &amp; Expenses'!$M$141</f>
        <v>0</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0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4536</v>
      </c>
      <c r="Q1159" s="1570"/>
    </row>
    <row r="1160" spans="1:17">
      <c r="C1160" s="1314"/>
      <c r="D1160" s="1589" t="s">
        <v>2442</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3366</v>
      </c>
      <c r="E1161" s="1596"/>
      <c r="F1161" s="1597">
        <f>SUM(F1156:F1160)</f>
        <v>0</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c r="A1163" s="1612" t="s">
        <v>3367</v>
      </c>
      <c r="B1163" s="1314"/>
      <c r="C1163" s="1314"/>
      <c r="D1163" s="1314"/>
      <c r="E1163" s="1317"/>
      <c r="F1163" s="1613">
        <f>F1140+F1147+F1154+F1161</f>
        <v>40</v>
      </c>
      <c r="G1163" s="1381"/>
      <c r="H1163" s="1614">
        <f>'Part VIII-Threshold Criteria'!H69</f>
        <v>7171052</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3751</v>
      </c>
      <c r="D1164" s="1525"/>
      <c r="E1164" s="1525"/>
      <c r="F1164" s="1525"/>
      <c r="G1164" s="1525"/>
      <c r="H1164" s="1524"/>
      <c r="I1164" s="1578"/>
      <c r="J1164" s="1578"/>
      <c r="K1164" s="1580" t="s">
        <v>1865</v>
      </c>
      <c r="L1164" s="1495"/>
      <c r="M1164" s="1495"/>
      <c r="N1164" s="1495"/>
      <c r="O1164" s="1495"/>
      <c r="P1164" s="1495"/>
      <c r="Q1164" s="1495"/>
    </row>
    <row r="1165" spans="1:17" ht="81.599999999999994">
      <c r="A1165" s="1583" t="str">
        <f>'Part VIII-Threshold Criteria'!A71</f>
        <v>The project is within the cost limits for Acquisition/Rehabilitation in the Albany MSA</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741</v>
      </c>
      <c r="B1167" s="1312" t="s">
        <v>1190</v>
      </c>
      <c r="C1167" s="1312"/>
      <c r="D1167" s="1312"/>
      <c r="E1167" s="1582"/>
      <c r="F1167" s="1582"/>
      <c r="G1167" s="1604" t="s">
        <v>99</v>
      </c>
      <c r="H1167" s="1582"/>
      <c r="J1167" s="1577" t="str">
        <f>'Part VIII-Threshold Criteria'!J73</f>
        <v>Family</v>
      </c>
      <c r="K1167" s="1577">
        <f>'Part VIII-Threshold Criteria'!K73</f>
        <v>0</v>
      </c>
      <c r="L1167" s="1577">
        <f>'Part VIII-Threshold Criteria'!L73</f>
        <v>0</v>
      </c>
      <c r="O1167" s="1579" t="s">
        <v>1866</v>
      </c>
      <c r="P1167" s="1503">
        <f>'Part VIII-Threshold Criteria'!P73</f>
        <v>0</v>
      </c>
      <c r="Q1167" s="1503">
        <f>'Part VIII-Threshold Criteria'!Q73</f>
        <v>0</v>
      </c>
    </row>
    <row r="1168" spans="1:17">
      <c r="B1168" s="1525" t="s">
        <v>3751</v>
      </c>
      <c r="D1168" s="1525"/>
      <c r="E1168" s="1525"/>
      <c r="F1168" s="1525"/>
      <c r="G1168" s="1525"/>
      <c r="H1168" s="1524"/>
      <c r="I1168" s="1578"/>
      <c r="J1168" s="1578"/>
      <c r="K1168" s="1580" t="s">
        <v>1865</v>
      </c>
      <c r="L1168" s="1495"/>
      <c r="M1168" s="1495"/>
      <c r="N1168" s="1495"/>
      <c r="O1168" s="1495"/>
      <c r="P1168" s="1495"/>
      <c r="Q1168" s="1495"/>
    </row>
    <row r="1169" spans="1:17" ht="61.2">
      <c r="A1169" s="1583" t="str">
        <f>'Part VIII-Threshold Criteria'!A75</f>
        <v xml:space="preserve">The project currently houses individuals and families with children. </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1791</v>
      </c>
      <c r="B1171" s="1488" t="s">
        <v>2651</v>
      </c>
      <c r="C1171" s="1612"/>
      <c r="D1171" s="1582"/>
      <c r="E1171" s="1582"/>
      <c r="F1171" s="1582"/>
      <c r="G1171" s="1582"/>
      <c r="H1171" s="1582"/>
      <c r="I1171" s="1582"/>
      <c r="J1171" s="1582"/>
      <c r="K1171" s="1582"/>
      <c r="L1171" s="1582"/>
      <c r="M1171" s="1582"/>
      <c r="O1171" s="1579" t="s">
        <v>1866</v>
      </c>
      <c r="P1171" s="1503">
        <f>'Part VIII-Threshold Criteria'!P77</f>
        <v>0</v>
      </c>
      <c r="Q1171" s="1503">
        <f>'Part VIII-Threshold Criteria'!Q77</f>
        <v>0</v>
      </c>
    </row>
    <row r="1173" spans="1:17">
      <c r="A1173" s="1616" t="s">
        <v>1982</v>
      </c>
      <c r="B1173" s="1604" t="s">
        <v>3739</v>
      </c>
      <c r="D1173" s="1604"/>
      <c r="E1173" s="1604"/>
      <c r="F1173" s="1604"/>
      <c r="G1173" s="1604"/>
      <c r="H1173" s="1604"/>
      <c r="I1173" s="1604"/>
      <c r="K1173" s="1604"/>
      <c r="L1173" s="1604"/>
      <c r="M1173" s="1617" t="s">
        <v>3694</v>
      </c>
      <c r="O1173" s="1583"/>
      <c r="P1173" s="1621" t="str">
        <f>'Part VIII-Threshold Criteria'!P79</f>
        <v>Agree</v>
      </c>
    </row>
    <row r="1174" spans="1:17">
      <c r="A1174" s="1618" t="s">
        <v>1984</v>
      </c>
      <c r="B1174" s="1524" t="s">
        <v>3738</v>
      </c>
      <c r="D1174" s="1524"/>
      <c r="E1174" s="1524"/>
      <c r="F1174" s="1524"/>
      <c r="G1174" s="1524"/>
      <c r="H1174" s="1524"/>
      <c r="I1174" s="1524"/>
      <c r="J1174" s="1524"/>
      <c r="K1174" s="1524"/>
      <c r="L1174" s="1524"/>
      <c r="M1174" s="1524"/>
      <c r="O1174" s="1524"/>
      <c r="P1174" s="1524"/>
      <c r="Q1174" s="1524"/>
    </row>
    <row r="1175" spans="1:17">
      <c r="A1175" s="1619"/>
      <c r="B1175" s="1620" t="s">
        <v>1736</v>
      </c>
      <c r="C1175" s="1524" t="s">
        <v>3481</v>
      </c>
      <c r="E1175" s="1517"/>
      <c r="F1175" s="1517"/>
      <c r="G1175" s="1517"/>
      <c r="H1175" s="1314"/>
      <c r="I1175" s="457" t="s">
        <v>2704</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1737</v>
      </c>
      <c r="C1176" s="1524" t="s">
        <v>3578</v>
      </c>
      <c r="E1176" s="1517"/>
      <c r="F1176" s="1517"/>
      <c r="G1176" s="1517"/>
      <c r="H1176" s="1314"/>
      <c r="I1176" s="457" t="s">
        <v>2704</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1738</v>
      </c>
      <c r="C1177" s="1524" t="s">
        <v>3579</v>
      </c>
      <c r="E1177" s="1517"/>
      <c r="F1177" s="1517"/>
      <c r="G1177" s="1517"/>
      <c r="H1177" s="1314"/>
      <c r="I1177" s="457" t="s">
        <v>2704</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2364</v>
      </c>
      <c r="C1178" s="1524" t="s">
        <v>3899</v>
      </c>
      <c r="E1178" s="1517"/>
      <c r="I1178" s="457" t="s">
        <v>2704</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748</v>
      </c>
      <c r="B1179" s="1524" t="s">
        <v>3565</v>
      </c>
      <c r="D1179" s="1524"/>
      <c r="E1179" s="1517"/>
      <c r="J1179" s="457"/>
      <c r="K1179" s="457"/>
      <c r="L1179" s="457"/>
      <c r="M1179" s="457"/>
      <c r="N1179" s="457"/>
      <c r="O1179" s="457"/>
      <c r="P1179" s="457"/>
      <c r="Q1179" s="457"/>
    </row>
    <row r="1180" spans="1:17">
      <c r="A1180" s="1619"/>
      <c r="B1180" s="1051" t="s">
        <v>3890</v>
      </c>
      <c r="D1180" s="1550"/>
      <c r="E1180" s="1550"/>
      <c r="F1180" s="1550"/>
      <c r="G1180" s="1550"/>
      <c r="H1180" s="1550"/>
      <c r="I1180" s="1314"/>
      <c r="J1180" s="1314"/>
      <c r="K1180" s="1620" t="s">
        <v>748</v>
      </c>
      <c r="L1180" s="1577">
        <f>'Part VIII-Threshold Criteria'!L86</f>
        <v>0</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3751</v>
      </c>
      <c r="D1181" s="1525"/>
      <c r="E1181" s="1525"/>
      <c r="F1181" s="1525"/>
      <c r="G1181" s="1525"/>
      <c r="H1181" s="1524"/>
      <c r="I1181" s="1578"/>
      <c r="J1181" s="1578"/>
      <c r="K1181" s="1580" t="s">
        <v>1865</v>
      </c>
      <c r="L1181" s="1495"/>
      <c r="M1181" s="1495"/>
      <c r="N1181" s="1495"/>
      <c r="O1181" s="1495"/>
      <c r="P1181" s="1495"/>
      <c r="Q1181" s="1495"/>
    </row>
    <row r="1182" spans="1:17" ht="122.4">
      <c r="A1182" s="1583" t="str">
        <f>'Part VIII-Threshold Criteria'!A90</f>
        <v xml:space="preserve">Items in Section B 1-4 do not apply to this project. The Management agent has extensive experience in providing services and activities. </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1793</v>
      </c>
      <c r="B1184" s="1488" t="s">
        <v>2652</v>
      </c>
      <c r="C1184" s="1488"/>
      <c r="D1184" s="1582"/>
      <c r="E1184" s="1582"/>
      <c r="F1184" s="1582"/>
      <c r="G1184" s="1582"/>
      <c r="H1184" s="1582"/>
      <c r="I1184" s="1582"/>
      <c r="J1184" s="1582"/>
      <c r="K1184" s="1582"/>
      <c r="O1184" s="1579" t="s">
        <v>1866</v>
      </c>
      <c r="P1184" s="1503">
        <f>'Part VIII-Threshold Criteria'!P92</f>
        <v>0</v>
      </c>
      <c r="Q1184" s="1503">
        <f>'Part VIII-Threshold Criteria'!Q92</f>
        <v>0</v>
      </c>
    </row>
    <row r="1186" spans="1:17">
      <c r="A1186" s="1618" t="s">
        <v>1982</v>
      </c>
      <c r="B1186" s="1051" t="s">
        <v>2459</v>
      </c>
      <c r="D1186" s="1550"/>
      <c r="E1186" s="1550"/>
      <c r="F1186" s="1550"/>
      <c r="G1186" s="1550"/>
      <c r="H1186" s="1550"/>
      <c r="I1186" s="1314"/>
      <c r="J1186" s="1314"/>
      <c r="K1186" s="1314"/>
      <c r="L1186" s="1620" t="s">
        <v>1982</v>
      </c>
      <c r="M1186" s="1577" t="str">
        <f>'Part VIII-Threshold Criteria'!M94</f>
        <v>Gibson Consulting, LLC</v>
      </c>
      <c r="N1186" s="1577">
        <f>'Part VIII-Threshold Criteria'!N94</f>
        <v>0</v>
      </c>
      <c r="O1186" s="1577">
        <f>'Part VIII-Threshold Criteria'!O94</f>
        <v>0</v>
      </c>
      <c r="P1186" s="1314">
        <f>'Part VIII-Threshold Criteria'!P94</f>
        <v>0</v>
      </c>
      <c r="Q1186" s="1621">
        <f>'Part VIII-Threshold Criteria'!Q94</f>
        <v>0</v>
      </c>
    </row>
    <row r="1187" spans="1:17">
      <c r="A1187" s="1618" t="s">
        <v>1984</v>
      </c>
      <c r="B1187" s="457" t="s">
        <v>2035</v>
      </c>
      <c r="D1187" s="1550"/>
      <c r="E1187" s="1550"/>
      <c r="F1187" s="1550"/>
      <c r="L1187" s="1620" t="s">
        <v>1984</v>
      </c>
      <c r="M1187" s="1577" t="str">
        <f>'Part VIII-Threshold Criteria'!M95</f>
        <v>180 Days</v>
      </c>
      <c r="N1187" s="1577">
        <f>'Part VIII-Threshold Criteria'!N95</f>
        <v>0</v>
      </c>
      <c r="O1187" s="1577">
        <f>'Part VIII-Threshold Criteria'!O95</f>
        <v>0</v>
      </c>
      <c r="P1187" s="1314">
        <f>'Part VIII-Threshold Criteria'!P95</f>
        <v>0</v>
      </c>
      <c r="Q1187" s="1621">
        <f>'Part VIII-Threshold Criteria'!Q95</f>
        <v>0</v>
      </c>
    </row>
    <row r="1188" spans="1:17">
      <c r="A1188" s="1618" t="s">
        <v>748</v>
      </c>
      <c r="B1188" s="457" t="s">
        <v>2877</v>
      </c>
      <c r="D1188" s="1550"/>
      <c r="E1188" s="1550"/>
      <c r="F1188" s="1550"/>
      <c r="L1188" s="1620" t="s">
        <v>748</v>
      </c>
      <c r="M1188" s="1622" t="str">
        <f>'Part VIII-Threshold Criteria'!M96</f>
        <v>95-100%</v>
      </c>
      <c r="N1188" s="1622">
        <f>'Part VIII-Threshold Criteria'!N96</f>
        <v>0</v>
      </c>
      <c r="O1188" s="1622">
        <f>'Part VIII-Threshold Criteria'!O96</f>
        <v>0</v>
      </c>
      <c r="P1188" s="1843">
        <f>'Part VIII-Threshold Criteria'!P96</f>
        <v>0</v>
      </c>
      <c r="Q1188" s="1621">
        <f>'Part VIII-Threshold Criteria'!Q96</f>
        <v>0</v>
      </c>
    </row>
    <row r="1189" spans="1:17">
      <c r="A1189" s="1618" t="s">
        <v>2114</v>
      </c>
      <c r="B1189" s="457" t="s">
        <v>3892</v>
      </c>
      <c r="D1189" s="1550"/>
      <c r="E1189" s="1550"/>
      <c r="F1189" s="1550"/>
      <c r="L1189" s="1620" t="s">
        <v>3893</v>
      </c>
      <c r="M1189" s="1844">
        <f>'Part VIII-Threshold Criteria'!M97</f>
        <v>0.1426</v>
      </c>
      <c r="N1189" s="1622"/>
      <c r="O1189" s="1623" t="s">
        <v>4124</v>
      </c>
      <c r="P1189" s="1691" t="str">
        <f>'Part VIII-Threshold Criteria'!P97</f>
        <v>NA</v>
      </c>
      <c r="Q1189" s="1621">
        <f>'Part VIII-Threshold Criteria'!Q97</f>
        <v>0</v>
      </c>
    </row>
    <row r="1190" spans="1:17">
      <c r="A1190" s="1616" t="s">
        <v>1734</v>
      </c>
      <c r="B1190" s="1604" t="s">
        <v>3891</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2377</v>
      </c>
      <c r="E1191" s="1524" t="s">
        <v>616</v>
      </c>
      <c r="F1191" s="1524"/>
      <c r="H1191" s="457"/>
      <c r="I1191" s="1578" t="s">
        <v>2377</v>
      </c>
      <c r="J1191" s="1524" t="s">
        <v>616</v>
      </c>
      <c r="K1191" s="1524"/>
      <c r="M1191" s="457"/>
      <c r="N1191" s="1578" t="s">
        <v>2377</v>
      </c>
      <c r="O1191" s="1524" t="s">
        <v>616</v>
      </c>
      <c r="P1191" s="1524"/>
      <c r="Q1191" s="1620"/>
    </row>
    <row r="1192" spans="1:17">
      <c r="C1192" s="1620" t="s">
        <v>1736</v>
      </c>
      <c r="D1192" s="1621" t="str">
        <f>'Part VIII-Threshold Criteria'!D100</f>
        <v>2014-054</v>
      </c>
      <c r="E1192" s="1577" t="str">
        <f>'Part VIII-Threshold Criteria'!E100</f>
        <v>Park Senior Village</v>
      </c>
      <c r="F1192" s="1577">
        <f>'Part VIII-Threshold Criteria'!F100</f>
        <v>0</v>
      </c>
      <c r="G1192" s="1577">
        <f>'Part VIII-Threshold Criteria'!G100</f>
        <v>0</v>
      </c>
      <c r="H1192" s="1620" t="s">
        <v>1738</v>
      </c>
      <c r="I1192" s="1621">
        <f>'Part VIII-Threshold Criteria'!I100</f>
        <v>0</v>
      </c>
      <c r="J1192" s="1577">
        <f>'Part VIII-Threshold Criteria'!J100</f>
        <v>0</v>
      </c>
      <c r="K1192" s="1577">
        <f>'Part VIII-Threshold Criteria'!K100</f>
        <v>0</v>
      </c>
      <c r="L1192" s="1577">
        <f>'Part VIII-Threshold Criteria'!L100</f>
        <v>0</v>
      </c>
      <c r="M1192" s="1620" t="s">
        <v>1548</v>
      </c>
      <c r="N1192" s="1621">
        <f>'Part VIII-Threshold Criteria'!N100</f>
        <v>0</v>
      </c>
      <c r="O1192" s="1577">
        <f>'Part VIII-Threshold Criteria'!O100</f>
        <v>0</v>
      </c>
      <c r="P1192" s="1577">
        <f>'Part VIII-Threshold Criteria'!P100</f>
        <v>0</v>
      </c>
      <c r="Q1192" s="1577">
        <f>'Part VIII-Threshold Criteria'!Q100</f>
        <v>0</v>
      </c>
    </row>
    <row r="1193" spans="1:17">
      <c r="C1193" s="1620" t="s">
        <v>1737</v>
      </c>
      <c r="D1193" s="1621" t="str">
        <f>'Part VIII-Threshold Criteria'!D101</f>
        <v>2010-067</v>
      </c>
      <c r="E1193" s="1577" t="str">
        <f>'Part VIII-Threshold Criteria'!E101</f>
        <v>Forest Senior Village</v>
      </c>
      <c r="F1193" s="1577">
        <f>'Part VIII-Threshold Criteria'!F101</f>
        <v>0</v>
      </c>
      <c r="G1193" s="1577">
        <f>'Part VIII-Threshold Criteria'!G101</f>
        <v>0</v>
      </c>
      <c r="H1193" s="1620" t="s">
        <v>2364</v>
      </c>
      <c r="I1193" s="1621">
        <f>'Part VIII-Threshold Criteria'!I101</f>
        <v>0</v>
      </c>
      <c r="J1193" s="1577">
        <f>'Part VIII-Threshold Criteria'!J101</f>
        <v>0</v>
      </c>
      <c r="K1193" s="1577">
        <f>'Part VIII-Threshold Criteria'!K101</f>
        <v>0</v>
      </c>
      <c r="L1193" s="1577">
        <f>'Part VIII-Threshold Criteria'!L101</f>
        <v>0</v>
      </c>
      <c r="M1193" s="1620" t="s">
        <v>1549</v>
      </c>
      <c r="N1193" s="1621">
        <f>'Part VIII-Threshold Criteria'!N101</f>
        <v>0</v>
      </c>
      <c r="O1193" s="1577">
        <f>'Part VIII-Threshold Criteria'!O101</f>
        <v>0</v>
      </c>
      <c r="P1193" s="1577">
        <f>'Part VIII-Threshold Criteria'!P101</f>
        <v>0</v>
      </c>
      <c r="Q1193" s="1577">
        <f>'Part VIII-Threshold Criteria'!Q101</f>
        <v>0</v>
      </c>
    </row>
    <row r="1194" spans="1:17">
      <c r="A1194" s="1618" t="s">
        <v>1735</v>
      </c>
      <c r="B1194" s="457" t="s">
        <v>0</v>
      </c>
      <c r="D1194" s="1550"/>
      <c r="E1194" s="1550"/>
      <c r="F1194" s="1550"/>
      <c r="G1194" s="1550"/>
      <c r="H1194" s="1550"/>
      <c r="I1194" s="1314"/>
      <c r="J1194" s="1314"/>
      <c r="K1194" s="1550"/>
      <c r="L1194" s="1517"/>
      <c r="M1194" s="1517"/>
      <c r="O1194" s="1620" t="s">
        <v>1735</v>
      </c>
      <c r="P1194" s="1621" t="str">
        <f>'Part VIII-Threshold Criteria'!P102</f>
        <v>Yes</v>
      </c>
      <c r="Q1194" s="1621">
        <f>'Part VIII-Threshold Criteria'!Q102</f>
        <v>0</v>
      </c>
    </row>
    <row r="1195" spans="1:17">
      <c r="A1195" s="1051" t="s">
        <v>1669</v>
      </c>
      <c r="M1195" s="1624"/>
      <c r="O1195" s="1625"/>
      <c r="Q1195" s="1626" t="s">
        <v>2509</v>
      </c>
    </row>
    <row r="1196" spans="1:17" ht="12.75" customHeight="1">
      <c r="A1196" s="1616" t="s">
        <v>1946</v>
      </c>
      <c r="B1196" s="1583" t="s">
        <v>3610</v>
      </c>
      <c r="C1196" s="1583"/>
      <c r="D1196" s="1583"/>
      <c r="E1196" s="1583"/>
      <c r="F1196" s="1583"/>
      <c r="G1196" s="1583"/>
      <c r="H1196" s="1583"/>
      <c r="I1196" s="1583"/>
      <c r="J1196" s="1583"/>
      <c r="K1196" s="1583"/>
      <c r="L1196" s="1583"/>
      <c r="M1196" s="1583"/>
      <c r="N1196" s="1583"/>
      <c r="O1196" s="1583"/>
      <c r="P1196" s="1627" t="s">
        <v>1946</v>
      </c>
      <c r="Q1196" s="1628" t="e">
        <f>'Part VIII-Threshold Criteria'!#REF!</f>
        <v>#REF!</v>
      </c>
    </row>
    <row r="1197" spans="1:17" ht="12.75" customHeight="1">
      <c r="A1197" s="1616" t="s">
        <v>3368</v>
      </c>
      <c r="B1197" s="1583" t="s">
        <v>2728</v>
      </c>
      <c r="C1197" s="1583"/>
      <c r="D1197" s="1583"/>
      <c r="E1197" s="1583"/>
      <c r="F1197" s="1583"/>
      <c r="G1197" s="1583"/>
      <c r="H1197" s="1583"/>
      <c r="I1197" s="1583"/>
      <c r="J1197" s="1583"/>
      <c r="K1197" s="1583"/>
      <c r="L1197" s="1583"/>
      <c r="M1197" s="1583"/>
      <c r="N1197" s="1583"/>
      <c r="O1197" s="1583"/>
      <c r="P1197" s="1627" t="s">
        <v>3368</v>
      </c>
      <c r="Q1197" s="1628" t="e">
        <f>'Part VIII-Threshold Criteria'!#REF!</f>
        <v>#REF!</v>
      </c>
    </row>
    <row r="1198" spans="1:17">
      <c r="A1198" s="1616" t="s">
        <v>615</v>
      </c>
      <c r="B1198" s="1604" t="s">
        <v>1670</v>
      </c>
      <c r="C1198" s="1596"/>
      <c r="D1198" s="1596"/>
      <c r="E1198" s="1596"/>
      <c r="F1198" s="1596"/>
      <c r="G1198" s="1596"/>
      <c r="H1198" s="1596"/>
      <c r="I1198" s="1596"/>
      <c r="J1198" s="1596"/>
      <c r="K1198" s="1596"/>
      <c r="L1198" s="1629"/>
      <c r="M1198" s="1596"/>
      <c r="N1198" s="1625"/>
      <c r="O1198" s="1596"/>
      <c r="P1198" s="1620" t="s">
        <v>615</v>
      </c>
      <c r="Q1198" s="1628" t="e">
        <f>'Part VIII-Threshold Criteria'!#REF!</f>
        <v>#REF!</v>
      </c>
    </row>
    <row r="1199" spans="1:17">
      <c r="A1199" s="1616" t="s">
        <v>3369</v>
      </c>
      <c r="B1199" s="1604" t="s">
        <v>3611</v>
      </c>
      <c r="C1199" s="1596"/>
      <c r="D1199" s="1596"/>
      <c r="E1199" s="1596"/>
      <c r="F1199" s="1596"/>
      <c r="G1199" s="1596"/>
      <c r="H1199" s="1596"/>
      <c r="I1199" s="1596"/>
      <c r="J1199" s="1596"/>
      <c r="K1199" s="1596"/>
      <c r="L1199" s="1629"/>
      <c r="M1199" s="1596"/>
      <c r="N1199" s="1625"/>
      <c r="O1199" s="1596"/>
      <c r="P1199" s="1620" t="s">
        <v>3369</v>
      </c>
      <c r="Q1199" s="1628" t="e">
        <f>'Part VIII-Threshold Criteria'!#REF!</f>
        <v>#REF!</v>
      </c>
    </row>
    <row r="1200" spans="1:17">
      <c r="B1200" s="1525" t="s">
        <v>3751</v>
      </c>
      <c r="D1200" s="1525"/>
      <c r="E1200" s="1525"/>
      <c r="F1200" s="1525"/>
      <c r="G1200" s="1525"/>
      <c r="H1200" s="1524"/>
      <c r="I1200" s="1578"/>
      <c r="J1200" s="1578"/>
      <c r="K1200" s="1578"/>
      <c r="L1200" s="1495"/>
      <c r="M1200" s="1495"/>
      <c r="N1200" s="1495"/>
      <c r="O1200" s="1495"/>
      <c r="P1200" s="1495"/>
      <c r="Q1200" s="1495"/>
    </row>
    <row r="1201" spans="1:17" ht="163.19999999999999">
      <c r="A1201" s="1583" t="str">
        <f>'Part VIII-Threshold Criteria'!A104</f>
        <v xml:space="preserve">Woodstone Apartments II has several vacancies which will be utilized as part of the relocation plan. Once the project is completely renovated, the units will be fully leased within 180 days.  </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1865</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529</v>
      </c>
      <c r="B1204" s="1488" t="s">
        <v>2653</v>
      </c>
      <c r="C1204" s="1488"/>
      <c r="D1204" s="1582"/>
      <c r="E1204" s="1582"/>
      <c r="F1204" s="1582"/>
      <c r="G1204" s="1582"/>
      <c r="H1204" s="1582"/>
      <c r="I1204" s="1582"/>
      <c r="J1204" s="1582"/>
      <c r="K1204" s="1582"/>
      <c r="L1204" s="1582"/>
      <c r="M1204" s="1582"/>
      <c r="O1204" s="1579" t="s">
        <v>1866</v>
      </c>
      <c r="P1204" s="1503">
        <f>'Part VIII-Threshold Criteria'!P107</f>
        <v>0</v>
      </c>
      <c r="Q1204" s="1503">
        <f>'Part VIII-Threshold Criteria'!Q107</f>
        <v>0</v>
      </c>
    </row>
    <row r="1206" spans="1:17">
      <c r="A1206" s="1618" t="s">
        <v>1982</v>
      </c>
      <c r="B1206" s="457" t="s">
        <v>492</v>
      </c>
      <c r="C1206" s="457"/>
      <c r="E1206" s="457"/>
      <c r="F1206" s="457"/>
      <c r="G1206" s="457"/>
      <c r="H1206" s="457"/>
      <c r="I1206" s="457"/>
      <c r="J1206" s="457"/>
      <c r="K1206" s="457"/>
      <c r="L1206" s="457"/>
      <c r="M1206" s="457"/>
      <c r="O1206" s="1620" t="s">
        <v>1982</v>
      </c>
      <c r="P1206" s="1621" t="str">
        <f>'Part VIII-Threshold Criteria'!P110</f>
        <v>No</v>
      </c>
      <c r="Q1206" s="1621">
        <f>'Part VIII-Threshold Criteria'!Q110</f>
        <v>0</v>
      </c>
    </row>
    <row r="1207" spans="1:17">
      <c r="A1207" s="1618" t="s">
        <v>1984</v>
      </c>
      <c r="B1207" s="457" t="s">
        <v>1303</v>
      </c>
      <c r="C1207" s="457"/>
      <c r="E1207" s="457"/>
      <c r="F1207" s="457"/>
      <c r="G1207" s="457"/>
      <c r="H1207" s="457"/>
      <c r="I1207" s="457"/>
      <c r="J1207" s="457"/>
      <c r="K1207" s="457"/>
      <c r="L1207" s="1524"/>
      <c r="M1207" s="1524"/>
      <c r="O1207" s="1620" t="s">
        <v>1984</v>
      </c>
      <c r="P1207" s="1621" t="str">
        <f>'Part VIII-Threshold Criteria'!P111</f>
        <v>Yes</v>
      </c>
      <c r="Q1207" s="1621">
        <f>'Part VIII-Threshold Criteria'!Q111</f>
        <v>0</v>
      </c>
    </row>
    <row r="1208" spans="1:17">
      <c r="A1208" s="457"/>
      <c r="C1208" s="457" t="s">
        <v>553</v>
      </c>
      <c r="E1208" s="1314"/>
      <c r="F1208" s="1314"/>
      <c r="G1208" s="1314"/>
      <c r="H1208" s="1314"/>
      <c r="I1208" s="1314"/>
      <c r="L1208" s="1620" t="s">
        <v>554</v>
      </c>
      <c r="M1208" s="1577" t="str">
        <f>'Part VIII-Threshold Criteria'!M112</f>
        <v>Dempsey Appraisal</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1736</v>
      </c>
      <c r="C1209" s="1524" t="s">
        <v>3469</v>
      </c>
      <c r="D1209" s="1630"/>
      <c r="E1209" s="1630"/>
      <c r="F1209" s="1630"/>
      <c r="G1209" s="1630"/>
      <c r="H1209" s="1630"/>
      <c r="I1209" s="1630"/>
      <c r="J1209" s="1630"/>
      <c r="K1209" s="1630"/>
      <c r="L1209" s="1630"/>
      <c r="M1209" s="1630"/>
      <c r="O1209" s="1627" t="s">
        <v>1736</v>
      </c>
      <c r="P1209" s="1621" t="str">
        <f>'Part VIII-Threshold Criteria'!P114</f>
        <v>Yes</v>
      </c>
      <c r="Q1209" s="1621">
        <f>'Part VIII-Threshold Criteria'!Q114</f>
        <v>0</v>
      </c>
    </row>
    <row r="1210" spans="1:17">
      <c r="A1210" s="1578"/>
      <c r="B1210" s="1620" t="s">
        <v>1737</v>
      </c>
      <c r="C1210" s="1524" t="s">
        <v>3470</v>
      </c>
      <c r="D1210" s="1630"/>
      <c r="E1210" s="1630"/>
      <c r="F1210" s="1630"/>
      <c r="G1210" s="1630"/>
      <c r="H1210" s="1630"/>
      <c r="I1210" s="1630"/>
      <c r="J1210" s="1630"/>
      <c r="K1210" s="1630"/>
      <c r="L1210" s="1630"/>
      <c r="M1210" s="1630"/>
      <c r="O1210" s="1620" t="s">
        <v>1737</v>
      </c>
      <c r="P1210" s="1621" t="str">
        <f>'Part VIII-Threshold Criteria'!P115</f>
        <v>Yes</v>
      </c>
      <c r="Q1210" s="1621">
        <f>'Part VIII-Threshold Criteria'!Q115</f>
        <v>0</v>
      </c>
    </row>
    <row r="1211" spans="1:17">
      <c r="A1211" s="1578"/>
      <c r="B1211" s="1627" t="s">
        <v>1738</v>
      </c>
      <c r="C1211" s="1524" t="s">
        <v>2878</v>
      </c>
      <c r="D1211" s="1524"/>
      <c r="E1211" s="1524"/>
      <c r="F1211" s="1524"/>
      <c r="G1211" s="1524"/>
      <c r="H1211" s="1524"/>
      <c r="I1211" s="1524"/>
      <c r="J1211" s="1524"/>
      <c r="K1211" s="1524"/>
      <c r="L1211" s="1524"/>
      <c r="M1211" s="1526"/>
      <c r="O1211" s="1627" t="s">
        <v>1738</v>
      </c>
      <c r="P1211" s="1621" t="str">
        <f>'Part VIII-Threshold Criteria'!P116</f>
        <v>Yes</v>
      </c>
      <c r="Q1211" s="1621">
        <f>'Part VIII-Threshold Criteria'!Q116</f>
        <v>0</v>
      </c>
    </row>
    <row r="1212" spans="1:17" ht="12.75" customHeight="1">
      <c r="A1212" s="1631"/>
      <c r="B1212" s="1627" t="s">
        <v>2364</v>
      </c>
      <c r="C1212" s="1583" t="s">
        <v>2688</v>
      </c>
      <c r="D1212" s="1583"/>
      <c r="E1212" s="1583"/>
      <c r="F1212" s="1583"/>
      <c r="G1212" s="1583"/>
      <c r="H1212" s="1583"/>
      <c r="I1212" s="1583"/>
      <c r="J1212" s="1583"/>
      <c r="K1212" s="1583"/>
      <c r="L1212" s="1583"/>
      <c r="M1212" s="1583"/>
      <c r="N1212" s="1583"/>
      <c r="O1212" s="1627" t="s">
        <v>2364</v>
      </c>
      <c r="P1212" s="1628">
        <f>'Part VIII-Threshold Criteria'!P117</f>
        <v>0</v>
      </c>
      <c r="Q1212" s="1628">
        <f>'Part VIII-Threshold Criteria'!Q117</f>
        <v>0</v>
      </c>
    </row>
    <row r="1213" spans="1:17">
      <c r="A1213" s="1618" t="s">
        <v>748</v>
      </c>
      <c r="B1213" s="457" t="s">
        <v>146</v>
      </c>
      <c r="D1213" s="457"/>
      <c r="E1213" s="457"/>
      <c r="F1213" s="457"/>
      <c r="G1213" s="457"/>
      <c r="H1213" s="457"/>
      <c r="I1213" s="457"/>
      <c r="J1213" s="457"/>
      <c r="K1213" s="457"/>
      <c r="L1213" s="457"/>
      <c r="M1213" s="457"/>
      <c r="O1213" s="1620" t="s">
        <v>748</v>
      </c>
      <c r="P1213" s="1621">
        <f>'Part VIII-Threshold Criteria'!P118</f>
        <v>0</v>
      </c>
      <c r="Q1213" s="1621">
        <f>'Part VIII-Threshold Criteria'!Q118</f>
        <v>0</v>
      </c>
    </row>
    <row r="1214" spans="1:17">
      <c r="A1214" s="1618" t="s">
        <v>2114</v>
      </c>
      <c r="B1214" s="457" t="s">
        <v>1427</v>
      </c>
      <c r="D1214" s="457"/>
      <c r="E1214" s="457"/>
      <c r="G1214" s="457"/>
      <c r="I1214" s="457"/>
      <c r="K1214" s="457"/>
      <c r="L1214" s="1524"/>
      <c r="M1214" s="1524"/>
      <c r="N1214" s="1524"/>
      <c r="O1214" s="1620" t="s">
        <v>2114</v>
      </c>
      <c r="P1214" s="1524"/>
      <c r="Q1214" s="1524"/>
    </row>
    <row r="1215" spans="1:17">
      <c r="B1215" s="1620" t="s">
        <v>1736</v>
      </c>
      <c r="C1215" s="457" t="s">
        <v>1428</v>
      </c>
      <c r="E1215" s="457"/>
      <c r="F1215" s="457"/>
      <c r="G1215" s="457"/>
      <c r="H1215" s="457"/>
      <c r="I1215" s="457"/>
      <c r="J1215" s="457"/>
      <c r="K1215" s="457"/>
      <c r="L1215" s="1524"/>
      <c r="M1215" s="1524"/>
      <c r="O1215" s="1620" t="s">
        <v>1736</v>
      </c>
      <c r="P1215" s="1621" t="str">
        <f>'Part VIII-Threshold Criteria'!P120</f>
        <v>No</v>
      </c>
      <c r="Q1215" s="1621">
        <f>'Part VIII-Threshold Criteria'!Q120</f>
        <v>0</v>
      </c>
    </row>
    <row r="1216" spans="1:17">
      <c r="B1216" s="1620" t="s">
        <v>1737</v>
      </c>
      <c r="C1216" s="457" t="s">
        <v>1429</v>
      </c>
      <c r="E1216" s="457"/>
      <c r="F1216" s="457"/>
      <c r="G1216" s="457"/>
      <c r="H1216" s="457"/>
      <c r="I1216" s="457"/>
      <c r="J1216" s="457"/>
      <c r="K1216" s="457"/>
      <c r="L1216" s="1524"/>
      <c r="M1216" s="1524"/>
      <c r="O1216" s="1620" t="s">
        <v>1737</v>
      </c>
      <c r="P1216" s="1621" t="str">
        <f>'Part VIII-Threshold Criteria'!P121</f>
        <v>No</v>
      </c>
      <c r="Q1216" s="1621">
        <f>'Part VIII-Threshold Criteria'!Q121</f>
        <v>0</v>
      </c>
    </row>
    <row r="1217" spans="1:17">
      <c r="B1217" s="1620" t="s">
        <v>1738</v>
      </c>
      <c r="C1217" s="457" t="s">
        <v>1430</v>
      </c>
      <c r="E1217" s="457"/>
      <c r="F1217" s="457"/>
      <c r="G1217" s="457"/>
      <c r="H1217" s="457"/>
      <c r="I1217" s="457"/>
      <c r="J1217" s="457"/>
      <c r="K1217" s="457"/>
      <c r="L1217" s="1524"/>
      <c r="M1217" s="1524"/>
      <c r="O1217" s="1620" t="s">
        <v>1738</v>
      </c>
      <c r="P1217" s="1621" t="str">
        <f>'Part VIII-Threshold Criteria'!P122</f>
        <v>No</v>
      </c>
      <c r="Q1217" s="1621">
        <f>'Part VIII-Threshold Criteria'!Q122</f>
        <v>0</v>
      </c>
    </row>
    <row r="1218" spans="1:17">
      <c r="B1218" s="1525" t="s">
        <v>3751</v>
      </c>
      <c r="D1218" s="1525"/>
      <c r="E1218" s="1525"/>
      <c r="F1218" s="1525"/>
      <c r="G1218" s="1525"/>
      <c r="H1218" s="1524"/>
      <c r="I1218" s="1578"/>
      <c r="J1218" s="1578"/>
      <c r="K1218" s="1578"/>
      <c r="L1218" s="1495"/>
      <c r="M1218" s="1495"/>
      <c r="N1218" s="1495"/>
      <c r="O1218" s="1495"/>
      <c r="P1218" s="1495"/>
      <c r="Q1218" s="1495"/>
    </row>
    <row r="1219" spans="1:17" ht="91.8">
      <c r="A1219" s="1583" t="str">
        <f>'Part VIII-Threshold Criteria'!A124</f>
        <v>Project does not involve HOME funds. There is no identity of interest between buyer and seller.</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1865</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771</v>
      </c>
      <c r="B1222" s="1488" t="s">
        <v>2654</v>
      </c>
      <c r="C1222" s="1524"/>
      <c r="D1222" s="1582"/>
      <c r="E1222" s="1582"/>
      <c r="F1222" s="1582"/>
      <c r="G1222" s="1582"/>
      <c r="H1222" s="1582"/>
      <c r="I1222" s="1582"/>
      <c r="J1222" s="1582"/>
      <c r="K1222" s="1582"/>
      <c r="L1222" s="1582"/>
      <c r="M1222" s="1582"/>
      <c r="O1222" s="1579" t="s">
        <v>1866</v>
      </c>
      <c r="P1222" s="1503">
        <f>'Part VIII-Threshold Criteria'!P127</f>
        <v>0</v>
      </c>
      <c r="Q1222" s="1503">
        <f>'Part VIII-Threshold Criteria'!Q127</f>
        <v>0</v>
      </c>
    </row>
    <row r="1224" spans="1:17">
      <c r="A1224" s="1618" t="s">
        <v>1982</v>
      </c>
      <c r="B1224" s="457" t="s">
        <v>3634</v>
      </c>
      <c r="D1224" s="1550"/>
      <c r="E1224" s="1550"/>
      <c r="F1224" s="1550"/>
      <c r="G1224" s="1550"/>
      <c r="H1224" s="1550"/>
      <c r="I1224" s="1314"/>
      <c r="J1224" s="1314"/>
      <c r="K1224" s="1620" t="s">
        <v>1982</v>
      </c>
      <c r="L1224" s="1503" t="str">
        <f>'Part VIII-Threshold Criteria'!L129</f>
        <v>GIBCO Environmental LLC</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1984</v>
      </c>
      <c r="B1225" s="457" t="s">
        <v>1537</v>
      </c>
      <c r="D1225" s="1550"/>
      <c r="E1225" s="1550"/>
      <c r="F1225" s="1550"/>
      <c r="G1225" s="1550"/>
      <c r="H1225" s="1550"/>
      <c r="I1225" s="1314"/>
      <c r="J1225" s="1314"/>
      <c r="K1225" s="1550"/>
      <c r="L1225" s="1517"/>
      <c r="O1225" s="1620" t="s">
        <v>1984</v>
      </c>
      <c r="P1225" s="1621" t="str">
        <f>'Part VIII-Threshold Criteria'!P130</f>
        <v>No</v>
      </c>
      <c r="Q1225" s="1621">
        <f>'Part VIII-Threshold Criteria'!Q130</f>
        <v>0</v>
      </c>
    </row>
    <row r="1226" spans="1:17">
      <c r="A1226" s="1618" t="s">
        <v>748</v>
      </c>
      <c r="B1226" s="457" t="s">
        <v>151</v>
      </c>
      <c r="D1226" s="1550"/>
      <c r="E1226" s="1550"/>
      <c r="F1226" s="1550"/>
      <c r="G1226" s="1550"/>
      <c r="H1226" s="1550"/>
      <c r="I1226" s="1314"/>
      <c r="J1226" s="1314"/>
      <c r="K1226" s="1517"/>
      <c r="L1226" s="1517"/>
      <c r="O1226" s="1620" t="s">
        <v>748</v>
      </c>
      <c r="P1226" s="1621" t="str">
        <f>'Part VIII-Threshold Criteria'!P131</f>
        <v>Yes</v>
      </c>
      <c r="Q1226" s="1621">
        <f>'Part VIII-Threshold Criteria'!Q131</f>
        <v>0</v>
      </c>
    </row>
    <row r="1227" spans="1:17">
      <c r="A1227" s="1618"/>
      <c r="B1227" s="1620" t="s">
        <v>1736</v>
      </c>
      <c r="C1227" s="457" t="s">
        <v>2687</v>
      </c>
      <c r="E1227" s="1550"/>
      <c r="F1227" s="1550"/>
      <c r="G1227" s="1550"/>
      <c r="H1227" s="1550"/>
      <c r="I1227" s="1314"/>
      <c r="J1227" s="1314"/>
      <c r="K1227" s="1620" t="s">
        <v>1736</v>
      </c>
      <c r="L1227" s="1503" t="str">
        <f>'Part VIII-Threshold Criteria'!L132</f>
        <v>GIBCO Environmental LLC</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1737</v>
      </c>
      <c r="C1228" s="457" t="s">
        <v>3471</v>
      </c>
      <c r="E1228" s="1314"/>
      <c r="F1228" s="1314"/>
      <c r="G1228" s="1314"/>
      <c r="H1228" s="457"/>
      <c r="I1228" s="1314"/>
      <c r="J1228" s="1314"/>
      <c r="K1228" s="1550"/>
      <c r="L1228" s="1517"/>
      <c r="M1228" s="1517"/>
      <c r="O1228" s="1620" t="s">
        <v>1737</v>
      </c>
      <c r="P1228" s="1621">
        <f>'Part VIII-Threshold Criteria'!P133</f>
        <v>64.258499999999998</v>
      </c>
      <c r="Q1228" s="1621">
        <f>'Part VIII-Threshold Criteria'!Q133</f>
        <v>0</v>
      </c>
    </row>
    <row r="1229" spans="1:17">
      <c r="A1229" s="1508"/>
      <c r="B1229" s="1620" t="s">
        <v>1738</v>
      </c>
      <c r="C1229" s="457" t="s">
        <v>4111</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2114</v>
      </c>
      <c r="B1231" s="457" t="s">
        <v>1259</v>
      </c>
      <c r="D1231" s="1550"/>
      <c r="E1231" s="1550"/>
      <c r="F1231" s="1550"/>
      <c r="G1231" s="1550"/>
      <c r="H1231" s="1550"/>
      <c r="I1231" s="1314"/>
      <c r="J1231" s="1314"/>
      <c r="K1231" s="1550"/>
      <c r="L1231" s="1517"/>
      <c r="M1231" s="1517"/>
      <c r="N1231" s="1517"/>
      <c r="O1231" s="1620" t="s">
        <v>2114</v>
      </c>
    </row>
    <row r="1232" spans="1:17">
      <c r="A1232" s="1618"/>
      <c r="B1232" s="1620" t="s">
        <v>1736</v>
      </c>
      <c r="C1232" s="457" t="s">
        <v>149</v>
      </c>
      <c r="E1232" s="1550"/>
      <c r="F1232" s="1550"/>
      <c r="G1232" s="1550"/>
      <c r="H1232" s="1550"/>
      <c r="I1232" s="1314"/>
      <c r="J1232" s="1314"/>
      <c r="K1232" s="1550"/>
      <c r="L1232" s="1517"/>
      <c r="M1232" s="1517"/>
      <c r="O1232" s="1620" t="s">
        <v>1736</v>
      </c>
      <c r="P1232" s="1621" t="str">
        <f>'Part VIII-Threshold Criteria'!P136</f>
        <v>No</v>
      </c>
      <c r="Q1232" s="1621">
        <f>'Part VIII-Threshold Criteria'!Q136</f>
        <v>0</v>
      </c>
    </row>
    <row r="1233" spans="1:17">
      <c r="A1233" s="1618"/>
      <c r="B1233" s="1620" t="s">
        <v>1737</v>
      </c>
      <c r="C1233" s="457" t="s">
        <v>1260</v>
      </c>
      <c r="E1233" s="1550"/>
      <c r="F1233" s="1550"/>
      <c r="G1233" s="1550"/>
      <c r="H1233" s="1314"/>
      <c r="I1233" s="1314"/>
      <c r="J1233" s="1314"/>
      <c r="K1233" s="1550"/>
      <c r="L1233" s="1517"/>
      <c r="M1233" s="1517"/>
      <c r="O1233" s="1620" t="s">
        <v>1737</v>
      </c>
      <c r="P1233" s="1621" t="str">
        <f>'Part VIII-Threshold Criteria'!P137</f>
        <v>No</v>
      </c>
      <c r="Q1233" s="1621">
        <f>'Part VIII-Threshold Criteria'!Q137</f>
        <v>0</v>
      </c>
    </row>
    <row r="1234" spans="1:17">
      <c r="A1234" s="1618"/>
      <c r="B1234" s="1620"/>
      <c r="C1234" s="457" t="s">
        <v>2631</v>
      </c>
      <c r="E1234" s="1620" t="s">
        <v>2434</v>
      </c>
      <c r="F1234" s="457" t="s">
        <v>2632</v>
      </c>
      <c r="G1234" s="1314"/>
      <c r="H1234" s="457"/>
      <c r="I1234" s="1314"/>
      <c r="J1234" s="1314"/>
      <c r="K1234" s="1550"/>
      <c r="L1234" s="1517"/>
      <c r="M1234" s="1517"/>
      <c r="O1234" s="1620" t="s">
        <v>2434</v>
      </c>
      <c r="P1234" s="1632">
        <f>'Part VIII-Threshold Criteria'!P138</f>
        <v>0</v>
      </c>
      <c r="Q1234" s="1632">
        <f>'Part VIII-Threshold Criteria'!Q138</f>
        <v>0</v>
      </c>
    </row>
    <row r="1235" spans="1:17">
      <c r="A1235" s="1618"/>
      <c r="B1235" s="1620"/>
      <c r="E1235" s="1620" t="s">
        <v>2435</v>
      </c>
      <c r="F1235" s="457" t="s">
        <v>2633</v>
      </c>
      <c r="G1235" s="1314"/>
      <c r="H1235" s="457"/>
      <c r="I1235" s="1314"/>
      <c r="J1235" s="1314"/>
      <c r="K1235" s="1550"/>
      <c r="L1235" s="1517"/>
      <c r="M1235" s="1517"/>
      <c r="O1235" s="1620" t="s">
        <v>2435</v>
      </c>
      <c r="P1235" s="1621">
        <f>'Part VIII-Threshold Criteria'!P139</f>
        <v>0</v>
      </c>
      <c r="Q1235" s="1621">
        <f>'Part VIII-Threshold Criteria'!Q139</f>
        <v>0</v>
      </c>
    </row>
    <row r="1236" spans="1:17">
      <c r="A1236" s="1618"/>
      <c r="B1236" s="1620"/>
      <c r="E1236" s="1620" t="s">
        <v>2436</v>
      </c>
      <c r="F1236" s="457" t="s">
        <v>2634</v>
      </c>
      <c r="G1236" s="1314"/>
      <c r="H1236" s="457"/>
      <c r="I1236" s="1314"/>
      <c r="J1236" s="1314"/>
      <c r="K1236" s="1550"/>
      <c r="L1236" s="1517"/>
      <c r="M1236" s="1517"/>
      <c r="O1236" s="1620" t="s">
        <v>2436</v>
      </c>
      <c r="P1236" s="1621">
        <f>'Part VIII-Threshold Criteria'!P140</f>
        <v>0</v>
      </c>
      <c r="Q1236" s="1621">
        <f>'Part VIII-Threshold Criteria'!Q140</f>
        <v>0</v>
      </c>
    </row>
    <row r="1237" spans="1:17">
      <c r="A1237" s="1618"/>
      <c r="B1237" s="1620" t="s">
        <v>1738</v>
      </c>
      <c r="C1237" s="457" t="s">
        <v>1261</v>
      </c>
      <c r="E1237" s="1550"/>
      <c r="F1237" s="1550"/>
      <c r="G1237" s="1550"/>
      <c r="H1237" s="457"/>
      <c r="I1237" s="1314"/>
      <c r="J1237" s="1314"/>
      <c r="K1237" s="1550"/>
      <c r="L1237" s="1517"/>
      <c r="M1237" s="1517"/>
      <c r="O1237" s="1620" t="s">
        <v>1738</v>
      </c>
      <c r="P1237" s="1621" t="str">
        <f>'Part VIII-Threshold Criteria'!P141</f>
        <v>No</v>
      </c>
      <c r="Q1237" s="1621">
        <f>'Part VIII-Threshold Criteria'!Q141</f>
        <v>0</v>
      </c>
    </row>
    <row r="1238" spans="1:17">
      <c r="A1238" s="1618"/>
      <c r="B1238" s="1620"/>
      <c r="C1238" s="457" t="s">
        <v>2631</v>
      </c>
      <c r="E1238" s="1620" t="s">
        <v>2434</v>
      </c>
      <c r="F1238" s="457" t="s">
        <v>2635</v>
      </c>
      <c r="G1238" s="1314"/>
      <c r="H1238" s="457"/>
      <c r="I1238" s="1314"/>
      <c r="J1238" s="1314"/>
      <c r="K1238" s="1550"/>
      <c r="L1238" s="1517"/>
      <c r="O1238" s="1620" t="s">
        <v>2434</v>
      </c>
      <c r="P1238" s="1632">
        <f>'Part VIII-Threshold Criteria'!P142</f>
        <v>0</v>
      </c>
      <c r="Q1238" s="1632">
        <f>'Part VIII-Threshold Criteria'!Q142</f>
        <v>0</v>
      </c>
    </row>
    <row r="1239" spans="1:17">
      <c r="A1239" s="1618"/>
      <c r="B1239" s="1620"/>
      <c r="E1239" s="1620" t="s">
        <v>2435</v>
      </c>
      <c r="F1239" s="457" t="s">
        <v>2636</v>
      </c>
      <c r="G1239" s="1314"/>
      <c r="H1239" s="457"/>
      <c r="I1239" s="1314"/>
      <c r="J1239" s="1314"/>
      <c r="O1239" s="1620" t="s">
        <v>2435</v>
      </c>
      <c r="P1239" s="1621">
        <f>'Part VIII-Threshold Criteria'!P143</f>
        <v>0</v>
      </c>
      <c r="Q1239" s="1621">
        <f>'Part VIII-Threshold Criteria'!Q143</f>
        <v>0</v>
      </c>
    </row>
    <row r="1240" spans="1:17">
      <c r="A1240" s="1618"/>
      <c r="B1240" s="1620"/>
      <c r="E1240" s="1620" t="s">
        <v>2436</v>
      </c>
      <c r="F1240" s="457" t="s">
        <v>2634</v>
      </c>
      <c r="G1240" s="1314"/>
      <c r="H1240" s="457"/>
      <c r="I1240" s="1314"/>
      <c r="J1240" s="1314"/>
      <c r="O1240" s="1620" t="s">
        <v>2436</v>
      </c>
      <c r="P1240" s="1621">
        <f>'Part VIII-Threshold Criteria'!P144</f>
        <v>0</v>
      </c>
      <c r="Q1240" s="1621">
        <f>'Part VIII-Threshold Criteria'!Q144</f>
        <v>0</v>
      </c>
    </row>
    <row r="1241" spans="1:17">
      <c r="A1241" s="457"/>
      <c r="B1241" s="1620" t="s">
        <v>2364</v>
      </c>
      <c r="C1241" s="457" t="s">
        <v>2637</v>
      </c>
      <c r="E1241" s="1550"/>
      <c r="F1241" s="1550"/>
      <c r="G1241" s="1550"/>
      <c r="H1241" s="1550"/>
      <c r="I1241" s="1314"/>
      <c r="J1241" s="1314"/>
      <c r="O1241" s="1620" t="s">
        <v>2364</v>
      </c>
      <c r="P1241" s="1621" t="e">
        <f>'Part VIII-Threshold Criteria'!#REF!</f>
        <v>#REF!</v>
      </c>
      <c r="Q1241" s="1621" t="e">
        <f>'Part VIII-Threshold Criteria'!#REF!</f>
        <v>#REF!</v>
      </c>
    </row>
    <row r="1242" spans="1:17">
      <c r="A1242" s="1618" t="s">
        <v>1734</v>
      </c>
      <c r="B1242" s="1524" t="s">
        <v>2413</v>
      </c>
      <c r="D1242" s="1550"/>
      <c r="E1242" s="1550"/>
      <c r="F1242" s="1550"/>
      <c r="G1242" s="1550"/>
      <c r="H1242" s="1550"/>
      <c r="I1242" s="1314"/>
      <c r="J1242" s="1314"/>
      <c r="K1242" s="1550"/>
      <c r="L1242" s="1517"/>
      <c r="M1242" s="1517"/>
      <c r="N1242" s="1517"/>
      <c r="O1242" s="1517"/>
      <c r="P1242" s="1517"/>
      <c r="Q1242" s="1517"/>
    </row>
    <row r="1243" spans="1:17">
      <c r="B1243" s="1620" t="s">
        <v>1736</v>
      </c>
      <c r="C1243" s="457" t="s">
        <v>2494</v>
      </c>
      <c r="E1243" s="1550"/>
      <c r="F1243" s="1621" t="str">
        <f>'Part VIII-Threshold Criteria'!F146</f>
        <v>No</v>
      </c>
      <c r="G1243" s="1621">
        <f>'Part VIII-Threshold Criteria'!G146</f>
        <v>0</v>
      </c>
      <c r="H1243" s="1620" t="s">
        <v>1548</v>
      </c>
      <c r="I1243" s="1051" t="s">
        <v>2639</v>
      </c>
      <c r="L1243" s="1621" t="str">
        <f>'Part VIII-Threshold Criteria'!L146</f>
        <v>No</v>
      </c>
      <c r="M1243" s="1621">
        <f>'Part VIII-Threshold Criteria'!M146</f>
        <v>0</v>
      </c>
      <c r="N1243" s="1620" t="s">
        <v>511</v>
      </c>
      <c r="O1243" s="457" t="s">
        <v>1551</v>
      </c>
      <c r="P1243" s="1621" t="str">
        <f>'Part VIII-Threshold Criteria'!P146</f>
        <v>No</v>
      </c>
      <c r="Q1243" s="1621">
        <f>'Part VIII-Threshold Criteria'!Q146</f>
        <v>0</v>
      </c>
    </row>
    <row r="1244" spans="1:17">
      <c r="A1244" s="457"/>
      <c r="B1244" s="1620" t="s">
        <v>1737</v>
      </c>
      <c r="C1244" s="457" t="s">
        <v>2801</v>
      </c>
      <c r="E1244" s="1550"/>
      <c r="F1244" s="1621" t="str">
        <f>'Part VIII-Threshold Criteria'!F147</f>
        <v>No</v>
      </c>
      <c r="G1244" s="1621">
        <f>'Part VIII-Threshold Criteria'!G147</f>
        <v>0</v>
      </c>
      <c r="H1244" s="1620" t="s">
        <v>1549</v>
      </c>
      <c r="I1244" s="1051" t="s">
        <v>2640</v>
      </c>
      <c r="L1244" s="1621" t="str">
        <f>'Part VIII-Threshold Criteria'!L147</f>
        <v>No</v>
      </c>
      <c r="M1244" s="1621">
        <f>'Part VIII-Threshold Criteria'!M147</f>
        <v>0</v>
      </c>
      <c r="N1244" s="1620" t="s">
        <v>512</v>
      </c>
      <c r="O1244" s="457" t="s">
        <v>1550</v>
      </c>
      <c r="P1244" s="1621" t="str">
        <f>'Part VIII-Threshold Criteria'!P147</f>
        <v>No</v>
      </c>
      <c r="Q1244" s="1621">
        <f>'Part VIII-Threshold Criteria'!Q147</f>
        <v>0</v>
      </c>
    </row>
    <row r="1245" spans="1:17">
      <c r="A1245" s="457"/>
      <c r="B1245" s="1620" t="s">
        <v>1738</v>
      </c>
      <c r="C1245" s="457" t="s">
        <v>2638</v>
      </c>
      <c r="E1245" s="1550"/>
      <c r="F1245" s="1621" t="str">
        <f>'Part VIII-Threshold Criteria'!F148</f>
        <v>No</v>
      </c>
      <c r="G1245" s="1621">
        <f>'Part VIII-Threshold Criteria'!G148</f>
        <v>0</v>
      </c>
      <c r="H1245" s="1620" t="s">
        <v>98</v>
      </c>
      <c r="I1245" s="1051" t="s">
        <v>3843</v>
      </c>
      <c r="L1245" s="1621" t="str">
        <f>'Part VIII-Threshold Criteria'!L148</f>
        <v>No</v>
      </c>
      <c r="M1245" s="1621">
        <f>'Part VIII-Threshold Criteria'!M148</f>
        <v>0</v>
      </c>
      <c r="N1245" s="1620" t="s">
        <v>2803</v>
      </c>
      <c r="O1245" s="457" t="s">
        <v>1552</v>
      </c>
      <c r="P1245" s="1621" t="str">
        <f>'Part VIII-Threshold Criteria'!P148</f>
        <v>No</v>
      </c>
      <c r="Q1245" s="1621">
        <f>'Part VIII-Threshold Criteria'!Q148</f>
        <v>0</v>
      </c>
    </row>
    <row r="1246" spans="1:17">
      <c r="A1246" s="457"/>
      <c r="B1246" s="1620" t="s">
        <v>2364</v>
      </c>
      <c r="C1246" s="457" t="s">
        <v>2804</v>
      </c>
      <c r="E1246" s="1550"/>
      <c r="F1246" s="1621" t="str">
        <f>'Part VIII-Threshold Criteria'!F149</f>
        <v>No</v>
      </c>
      <c r="G1246" s="1621">
        <f>'Part VIII-Threshold Criteria'!G149</f>
        <v>0</v>
      </c>
      <c r="H1246" s="1620" t="s">
        <v>510</v>
      </c>
      <c r="I1246" s="457" t="s">
        <v>2800</v>
      </c>
      <c r="L1246" s="1621" t="str">
        <f>'Part VIII-Threshold Criteria'!L149</f>
        <v>No</v>
      </c>
      <c r="M1246" s="1621">
        <f>'Part VIII-Threshold Criteria'!M149</f>
        <v>0</v>
      </c>
      <c r="O1246" s="1620"/>
    </row>
    <row r="1247" spans="1:17">
      <c r="A1247" s="457"/>
      <c r="B1247" s="1620" t="s">
        <v>2892</v>
      </c>
      <c r="C1247" s="457" t="s">
        <v>2802</v>
      </c>
      <c r="E1247" s="1550"/>
      <c r="F1247" s="1550"/>
      <c r="G1247" s="1550"/>
      <c r="H1247" s="1550"/>
      <c r="I1247" s="1550"/>
      <c r="J1247" s="1550"/>
      <c r="K1247" s="1550"/>
      <c r="L1247" s="1550"/>
      <c r="M1247" s="457"/>
      <c r="O1247" s="1620"/>
      <c r="P1247" s="1620"/>
    </row>
    <row r="1248" spans="1:17">
      <c r="A1248" s="457"/>
      <c r="C1248" s="1550" t="str">
        <f>'Part VIII-Threshold Criteria'!C151</f>
        <v>None</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1735</v>
      </c>
      <c r="B1249" s="457" t="s">
        <v>3568</v>
      </c>
      <c r="D1249" s="1550"/>
      <c r="E1249" s="1550"/>
      <c r="F1249" s="1550"/>
      <c r="G1249" s="1550"/>
      <c r="H1249" s="1550"/>
      <c r="I1249" s="1314"/>
      <c r="J1249" s="1314"/>
      <c r="K1249" s="1550"/>
      <c r="L1249" s="1550"/>
      <c r="M1249" s="1517"/>
    </row>
    <row r="1250" spans="1:17">
      <c r="A1250" s="1314"/>
      <c r="B1250" s="1620" t="s">
        <v>1736</v>
      </c>
      <c r="C1250" s="457" t="s">
        <v>2805</v>
      </c>
      <c r="E1250" s="1550"/>
      <c r="F1250" s="1550"/>
      <c r="G1250" s="1550"/>
      <c r="H1250" s="1550"/>
      <c r="O1250" s="1620" t="s">
        <v>1736</v>
      </c>
      <c r="P1250" s="1621">
        <f>'Part VIII-Threshold Criteria'!P153</f>
        <v>0</v>
      </c>
      <c r="Q1250" s="1621">
        <f>'Part VIII-Threshold Criteria'!Q153</f>
        <v>0</v>
      </c>
    </row>
    <row r="1251" spans="1:17">
      <c r="A1251" s="1578"/>
      <c r="B1251" s="1620" t="s">
        <v>1737</v>
      </c>
      <c r="C1251" s="457" t="s">
        <v>489</v>
      </c>
      <c r="E1251" s="457"/>
      <c r="F1251" s="457"/>
      <c r="G1251" s="457"/>
      <c r="H1251" s="457"/>
      <c r="I1251" s="1314"/>
      <c r="J1251" s="1314"/>
      <c r="K1251" s="457"/>
      <c r="L1251" s="457"/>
      <c r="M1251" s="457"/>
      <c r="O1251" s="1620" t="s">
        <v>1737</v>
      </c>
      <c r="P1251" s="1621">
        <f>'Part VIII-Threshold Criteria'!P154</f>
        <v>0</v>
      </c>
      <c r="Q1251" s="1621">
        <f>'Part VIII-Threshold Criteria'!Q154</f>
        <v>0</v>
      </c>
    </row>
    <row r="1252" spans="1:17">
      <c r="A1252" s="1578"/>
      <c r="B1252" s="1620" t="s">
        <v>1738</v>
      </c>
      <c r="C1252" s="457" t="s">
        <v>680</v>
      </c>
      <c r="E1252" s="457"/>
      <c r="F1252" s="457"/>
      <c r="G1252" s="457"/>
      <c r="H1252" s="457"/>
      <c r="I1252" s="1314"/>
      <c r="J1252" s="1314"/>
      <c r="K1252" s="457"/>
      <c r="L1252" s="457"/>
      <c r="M1252" s="457"/>
      <c r="O1252" s="1620" t="s">
        <v>1738</v>
      </c>
      <c r="P1252" s="1621">
        <f>'Part VIII-Threshold Criteria'!P155</f>
        <v>0</v>
      </c>
      <c r="Q1252" s="1621">
        <f>'Part VIII-Threshold Criteria'!Q155</f>
        <v>0</v>
      </c>
    </row>
    <row r="1253" spans="1:17">
      <c r="A1253" s="1618" t="s">
        <v>1946</v>
      </c>
      <c r="B1253" s="457" t="s">
        <v>1752</v>
      </c>
      <c r="D1253" s="1550"/>
      <c r="E1253" s="1550"/>
      <c r="F1253" s="1550"/>
      <c r="G1253" s="1550"/>
      <c r="H1253" s="1550"/>
      <c r="I1253" s="1314"/>
      <c r="J1253" s="1314"/>
      <c r="K1253" s="1550"/>
      <c r="L1253" s="1550"/>
      <c r="M1253" s="1517"/>
      <c r="O1253" s="1620" t="s">
        <v>1946</v>
      </c>
      <c r="P1253" s="1621" t="e">
        <f>'Part VIII-Threshold Criteria'!#REF!</f>
        <v>#REF!</v>
      </c>
      <c r="Q1253" s="1621" t="e">
        <f>'Part VIII-Threshold Criteria'!#REF!</f>
        <v>#REF!</v>
      </c>
    </row>
    <row r="1254" spans="1:17">
      <c r="A1254" s="1633" t="s">
        <v>3461</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3368</v>
      </c>
      <c r="B1255" s="1583" t="s">
        <v>4537</v>
      </c>
      <c r="C1255" s="1583"/>
      <c r="D1255" s="1583"/>
      <c r="E1255" s="1583"/>
      <c r="F1255" s="1583"/>
      <c r="G1255" s="1583"/>
      <c r="H1255" s="1583"/>
      <c r="I1255" s="1583"/>
      <c r="J1255" s="1583"/>
      <c r="K1255" s="1583"/>
      <c r="L1255" s="1583"/>
      <c r="M1255" s="1627" t="s">
        <v>3368</v>
      </c>
      <c r="N1255" s="1576" t="str">
        <f>'Part VIII-Threshold Criteria'!N158</f>
        <v>&lt;&lt;Select&gt;&gt;</v>
      </c>
      <c r="O1255" s="1576">
        <f>'Part VIII-Threshold Criteria'!O158</f>
        <v>0</v>
      </c>
      <c r="P1255" s="1576" t="str">
        <f>'Part VIII-Threshold Criteria'!P158</f>
        <v>&lt;&lt;Select&gt;&gt;</v>
      </c>
      <c r="Q1255" s="1576">
        <f>'Part VIII-Threshold Criteria'!Q158</f>
        <v>0</v>
      </c>
    </row>
    <row r="1256" spans="1:17">
      <c r="A1256" s="1618" t="s">
        <v>615</v>
      </c>
      <c r="B1256" s="1524" t="s">
        <v>1</v>
      </c>
      <c r="C1256" s="1314"/>
      <c r="D1256" s="1634"/>
      <c r="E1256" s="1634"/>
      <c r="F1256" s="1314"/>
      <c r="G1256" s="1620" t="s">
        <v>615</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3369</v>
      </c>
      <c r="B1257" s="1524" t="s">
        <v>1414</v>
      </c>
      <c r="C1257" s="1314"/>
      <c r="D1257" s="1630"/>
      <c r="E1257" s="1630"/>
      <c r="F1257" s="1630"/>
      <c r="G1257" s="1313"/>
      <c r="H1257" s="1313"/>
      <c r="I1257" s="1524"/>
      <c r="J1257" s="1314"/>
      <c r="K1257" s="1313"/>
      <c r="L1257" s="1313"/>
      <c r="M1257" s="1313"/>
      <c r="N1257" s="1314"/>
      <c r="O1257" s="1620" t="s">
        <v>3369</v>
      </c>
      <c r="P1257" s="1621" t="e">
        <f>'Part VIII-Threshold Criteria'!#REF!</f>
        <v>#REF!</v>
      </c>
      <c r="Q1257" s="1621" t="e">
        <f>'Part VIII-Threshold Criteria'!#REF!</f>
        <v>#REF!</v>
      </c>
    </row>
    <row r="1258" spans="1:17">
      <c r="B1258" s="1525" t="s">
        <v>3751</v>
      </c>
      <c r="D1258" s="1525"/>
      <c r="E1258" s="1525"/>
      <c r="F1258" s="1525"/>
      <c r="G1258" s="1525"/>
      <c r="H1258" s="1524"/>
      <c r="I1258" s="1578"/>
      <c r="J1258" s="1578"/>
      <c r="K1258" s="1578"/>
      <c r="L1258" s="1495"/>
      <c r="M1258" s="1495"/>
      <c r="N1258" s="1495"/>
      <c r="O1258" s="1495"/>
      <c r="P1258" s="1495"/>
      <c r="Q1258" s="1495"/>
    </row>
    <row r="1259" spans="1:17" ht="275.39999999999998">
      <c r="A1259" s="1583" t="str">
        <f>'Part VIII-Threshold Criteria'!A160</f>
        <v>The Project will not involve HOME funds. The ESA does show wetlands adjacent to the complex, however, the fully developed site does not have all three of the required components to be a wetland. (statement from page 26 of the Phase I ESA for Woodstone Apartments II)</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1865</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2655</v>
      </c>
      <c r="C1264" s="1488"/>
      <c r="D1264" s="1582"/>
      <c r="E1264" s="1582"/>
      <c r="F1264" s="1582"/>
      <c r="G1264" s="1582"/>
      <c r="H1264" s="1582"/>
      <c r="I1264" s="1582"/>
      <c r="J1264" s="1582"/>
      <c r="K1264" s="1582"/>
      <c r="O1264" s="1579" t="s">
        <v>1866</v>
      </c>
      <c r="P1264" s="1503">
        <f>'Part VIII-Threshold Criteria'!P165</f>
        <v>0</v>
      </c>
      <c r="Q1264" s="1503">
        <f>'Part VIII-Threshold Criteria'!Q165</f>
        <v>0</v>
      </c>
    </row>
    <row r="1265" spans="1:17">
      <c r="A1265" s="1618" t="s">
        <v>1982</v>
      </c>
      <c r="B1265" s="457" t="s">
        <v>4538</v>
      </c>
      <c r="D1265" s="457"/>
      <c r="E1265" s="457"/>
      <c r="F1265" s="457"/>
      <c r="G1265" s="457"/>
      <c r="I1265" s="457" t="s">
        <v>2706</v>
      </c>
      <c r="K1265" s="1845">
        <f>'Part VIII-Threshold Criteria'!K166</f>
        <v>43830</v>
      </c>
      <c r="L1265" s="1845">
        <f>'Part VIII-Threshold Criteria'!L166</f>
        <v>0</v>
      </c>
      <c r="N1265" s="457"/>
      <c r="O1265" s="1620" t="s">
        <v>1982</v>
      </c>
      <c r="P1265" s="1621" t="str">
        <f>'Part VIII-Threshold Criteria'!P166</f>
        <v>Yes</v>
      </c>
      <c r="Q1265" s="1621">
        <f>'Part VIII-Threshold Criteria'!Q166</f>
        <v>0</v>
      </c>
    </row>
    <row r="1266" spans="1:17">
      <c r="A1266" s="1618" t="s">
        <v>1984</v>
      </c>
      <c r="B1266" s="1604" t="s">
        <v>150</v>
      </c>
      <c r="D1266" s="1604"/>
      <c r="E1266" s="1604"/>
      <c r="F1266" s="1604"/>
      <c r="G1266" s="1604"/>
      <c r="H1266" s="1604"/>
      <c r="M1266" s="1620" t="s">
        <v>1984</v>
      </c>
      <c r="N1266" s="1543" t="str">
        <f>'Part VIII-Threshold Criteria'!N167</f>
        <v>Purchase Contract</v>
      </c>
      <c r="O1266" s="1543">
        <f>'Part VIII-Threshold Criteria'!O167</f>
        <v>0</v>
      </c>
      <c r="P1266" s="1543" t="str">
        <f>'Part VIII-Threshold Criteria'!P167</f>
        <v>&lt;&lt;Select&gt;&gt;</v>
      </c>
      <c r="Q1266" s="1543">
        <f>'Part VIII-Threshold Criteria'!Q167</f>
        <v>0</v>
      </c>
    </row>
    <row r="1267" spans="1:17">
      <c r="A1267" s="1618" t="s">
        <v>748</v>
      </c>
      <c r="B1267" s="1604" t="s">
        <v>681</v>
      </c>
      <c r="D1267" s="1604"/>
      <c r="E1267" s="1604"/>
      <c r="F1267" s="1604"/>
      <c r="G1267" s="1604"/>
      <c r="H1267" s="1604"/>
      <c r="J1267" s="1620" t="s">
        <v>748</v>
      </c>
      <c r="K1267" s="1577" t="str">
        <f>'Part VIII-Threshold Criteria'!K168</f>
        <v>Woodstone Apartments II, LP</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2114</v>
      </c>
      <c r="B1268" s="1604" t="s">
        <v>2880</v>
      </c>
      <c r="D1268" s="1604"/>
      <c r="E1268" s="1604"/>
      <c r="F1268" s="1604"/>
      <c r="G1268" s="1604"/>
      <c r="H1268" s="1604"/>
      <c r="J1268" s="1620"/>
      <c r="K1268" s="1620"/>
      <c r="L1268" s="1620"/>
      <c r="M1268" s="1620"/>
      <c r="N1268" s="1620"/>
      <c r="O1268" s="1620" t="s">
        <v>2114</v>
      </c>
      <c r="P1268" s="1621" t="e">
        <f>'Part VIII-Threshold Criteria'!#REF!</f>
        <v>#REF!</v>
      </c>
      <c r="Q1268" s="1621" t="e">
        <f>'Part VIII-Threshold Criteria'!#REF!</f>
        <v>#REF!</v>
      </c>
    </row>
    <row r="1269" spans="1:17">
      <c r="B1269" s="1525" t="s">
        <v>3751</v>
      </c>
      <c r="D1269" s="1525"/>
      <c r="E1269" s="1525"/>
      <c r="F1269" s="1525"/>
      <c r="G1269" s="1525"/>
      <c r="H1269" s="1524"/>
      <c r="I1269" s="1578"/>
      <c r="J1269" s="1578"/>
      <c r="K1269" s="1578"/>
      <c r="L1269" s="1495"/>
      <c r="M1269" s="1495"/>
      <c r="N1269" s="1495"/>
      <c r="O1269" s="1495"/>
      <c r="P1269" s="1495"/>
      <c r="Q1269" s="1495"/>
    </row>
    <row r="1270" spans="1:17" ht="122.4">
      <c r="A1270" s="1583" t="str">
        <f>'Part VIII-Threshold Criteria'!A170</f>
        <v>The entity with site control is the owner of the project. The Option to Purchase is valid throught December 31, 2019 with an available extension.</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1865</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2656</v>
      </c>
      <c r="C1274" s="1488"/>
      <c r="D1274" s="1582"/>
      <c r="E1274" s="1582"/>
      <c r="F1274" s="1582"/>
      <c r="G1274" s="1582"/>
      <c r="H1274" s="1582"/>
      <c r="I1274" s="1582"/>
      <c r="J1274" s="1582"/>
      <c r="K1274" s="1582"/>
      <c r="L1274" s="1582"/>
      <c r="M1274" s="1582"/>
      <c r="O1274" s="1579" t="s">
        <v>1866</v>
      </c>
      <c r="P1274" s="1503">
        <f>'Part VIII-Threshold Criteria'!P174</f>
        <v>0</v>
      </c>
      <c r="Q1274" s="1503">
        <f>'Part VIII-Threshold Criteria'!Q174</f>
        <v>0</v>
      </c>
    </row>
    <row r="1275" spans="1:17" ht="12.75" customHeight="1">
      <c r="A1275" s="1616" t="s">
        <v>1982</v>
      </c>
      <c r="B1275" s="1583" t="s">
        <v>3740</v>
      </c>
      <c r="C1275" s="1583"/>
      <c r="D1275" s="1583"/>
      <c r="E1275" s="1583"/>
      <c r="F1275" s="1583"/>
      <c r="G1275" s="1583"/>
      <c r="H1275" s="1583"/>
      <c r="I1275" s="1583"/>
      <c r="J1275" s="1583"/>
      <c r="K1275" s="1583"/>
      <c r="L1275" s="1583"/>
      <c r="M1275" s="1583"/>
      <c r="N1275" s="1583"/>
      <c r="O1275" s="1627" t="s">
        <v>1982</v>
      </c>
      <c r="P1275" s="1628" t="str">
        <f>'Part VIII-Threshold Criteria'!P175</f>
        <v>Yes</v>
      </c>
      <c r="Q1275" s="1628">
        <f>'Part VIII-Threshold Criteria'!Q175</f>
        <v>0</v>
      </c>
    </row>
    <row r="1276" spans="1:17" ht="12.75" customHeight="1">
      <c r="A1276" s="1616" t="s">
        <v>1984</v>
      </c>
      <c r="B1276" s="1583" t="s">
        <v>3635</v>
      </c>
      <c r="C1276" s="1583"/>
      <c r="D1276" s="1583"/>
      <c r="E1276" s="1583"/>
      <c r="F1276" s="1583"/>
      <c r="G1276" s="1583"/>
      <c r="H1276" s="1583"/>
      <c r="I1276" s="1583"/>
      <c r="J1276" s="1583"/>
      <c r="K1276" s="1583"/>
      <c r="L1276" s="1583"/>
      <c r="M1276" s="1583"/>
      <c r="N1276" s="1583"/>
      <c r="O1276" s="1627" t="s">
        <v>1984</v>
      </c>
      <c r="P1276" s="1628" t="str">
        <f>'Part VIII-Threshold Criteria'!P176</f>
        <v>N/Ap</v>
      </c>
      <c r="Q1276" s="1628">
        <f>'Part VIII-Threshold Criteria'!Q176</f>
        <v>0</v>
      </c>
    </row>
    <row r="1277" spans="1:17" ht="12.75" customHeight="1">
      <c r="A1277" s="1616" t="s">
        <v>748</v>
      </c>
      <c r="B1277" s="1583" t="s">
        <v>3741</v>
      </c>
      <c r="C1277" s="1583"/>
      <c r="D1277" s="1583"/>
      <c r="E1277" s="1583"/>
      <c r="F1277" s="1583"/>
      <c r="G1277" s="1583"/>
      <c r="H1277" s="1583"/>
      <c r="I1277" s="1583"/>
      <c r="J1277" s="1583"/>
      <c r="K1277" s="1583"/>
      <c r="L1277" s="1583"/>
      <c r="M1277" s="1583"/>
      <c r="N1277" s="1583"/>
      <c r="O1277" s="1627" t="s">
        <v>748</v>
      </c>
      <c r="P1277" s="1628" t="str">
        <f>'Part VIII-Threshold Criteria'!P177</f>
        <v>N/Ap</v>
      </c>
      <c r="Q1277" s="1628">
        <f>'Part VIII-Threshold Criteria'!Q177</f>
        <v>0</v>
      </c>
    </row>
    <row r="1278" spans="1:17" ht="12.75" customHeight="1">
      <c r="A1278" s="1616" t="s">
        <v>2114</v>
      </c>
      <c r="B1278" s="1583" t="s">
        <v>2641</v>
      </c>
      <c r="C1278" s="1583"/>
      <c r="D1278" s="1583"/>
      <c r="E1278" s="1583"/>
      <c r="F1278" s="1583"/>
      <c r="G1278" s="1583"/>
      <c r="H1278" s="1583"/>
      <c r="I1278" s="1583"/>
      <c r="J1278" s="1583"/>
      <c r="K1278" s="1583"/>
      <c r="L1278" s="1583"/>
      <c r="M1278" s="1583"/>
      <c r="N1278" s="1583"/>
      <c r="O1278" s="1627" t="s">
        <v>2114</v>
      </c>
      <c r="P1278" s="1628" t="str">
        <f>'Part VIII-Threshold Criteria'!P178</f>
        <v>N/Ap</v>
      </c>
      <c r="Q1278" s="1628">
        <f>'Part VIII-Threshold Criteria'!Q178</f>
        <v>0</v>
      </c>
    </row>
    <row r="1279" spans="1:17">
      <c r="B1279" s="1525" t="s">
        <v>3751</v>
      </c>
      <c r="D1279" s="1525"/>
      <c r="E1279" s="1525"/>
      <c r="F1279" s="1525"/>
      <c r="G1279" s="1525"/>
      <c r="H1279" s="1524"/>
      <c r="I1279" s="1578"/>
      <c r="J1279" s="1578"/>
      <c r="K1279" s="1578"/>
      <c r="L1279" s="1495"/>
      <c r="M1279" s="1495"/>
      <c r="N1279" s="1495"/>
      <c r="O1279" s="1495"/>
      <c r="P1279" s="1495"/>
      <c r="Q1279" s="1495"/>
    </row>
    <row r="1280" spans="1:17" ht="102">
      <c r="A1280" s="1583" t="str">
        <f>'Part VIII-Threshold Criteria'!A180</f>
        <v>Site accessed by existing paved streets- access and parking areas to be resurfaced as part of rehabilitation.</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1865</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2657</v>
      </c>
      <c r="C1284" s="1312"/>
      <c r="D1284" s="1312"/>
      <c r="O1284" s="1579" t="s">
        <v>1866</v>
      </c>
      <c r="P1284" s="1503">
        <f>'Part VIII-Threshold Criteria'!P184</f>
        <v>0</v>
      </c>
      <c r="Q1284" s="1503">
        <f>'Part VIII-Threshold Criteria'!Q184</f>
        <v>0</v>
      </c>
    </row>
    <row r="1285" spans="1:17">
      <c r="A1285" s="1616" t="s">
        <v>1982</v>
      </c>
      <c r="B1285" s="1635" t="s">
        <v>468</v>
      </c>
      <c r="D1285" s="1635"/>
      <c r="E1285" s="1635"/>
      <c r="F1285" s="1635"/>
      <c r="G1285" s="1635"/>
      <c r="H1285" s="1635"/>
      <c r="I1285" s="1635"/>
      <c r="J1285" s="1635"/>
      <c r="K1285" s="1635"/>
      <c r="L1285" s="1635"/>
      <c r="M1285" s="1635"/>
      <c r="O1285" s="1627" t="s">
        <v>1982</v>
      </c>
      <c r="P1285" s="1621" t="str">
        <f>'Part VIII-Threshold Criteria'!P185</f>
        <v>Yes</v>
      </c>
      <c r="Q1285" s="1621">
        <f>'Part VIII-Threshold Criteria'!Q185</f>
        <v>0</v>
      </c>
    </row>
    <row r="1286" spans="1:17">
      <c r="A1286" s="1616" t="s">
        <v>1984</v>
      </c>
      <c r="B1286" s="1635" t="s">
        <v>2642</v>
      </c>
      <c r="D1286" s="1635"/>
      <c r="E1286" s="1635"/>
      <c r="F1286" s="1635"/>
      <c r="G1286" s="1635"/>
      <c r="H1286" s="1635"/>
      <c r="I1286" s="1635"/>
      <c r="J1286" s="1635"/>
      <c r="K1286" s="1635"/>
      <c r="L1286" s="1635"/>
      <c r="M1286" s="1635"/>
      <c r="O1286" s="1627" t="s">
        <v>1984</v>
      </c>
      <c r="P1286" s="1621" t="str">
        <f>'Part VIII-Threshold Criteria'!P186</f>
        <v>Yes</v>
      </c>
      <c r="Q1286" s="1621">
        <f>'Part VIII-Threshold Criteria'!Q186</f>
        <v>0</v>
      </c>
    </row>
    <row r="1287" spans="1:17">
      <c r="A1287" s="1616" t="s">
        <v>748</v>
      </c>
      <c r="B1287" s="1635" t="s">
        <v>2643</v>
      </c>
      <c r="D1287" s="1635"/>
      <c r="E1287" s="1635"/>
      <c r="F1287" s="1635"/>
      <c r="G1287" s="1635"/>
      <c r="H1287" s="1635"/>
      <c r="I1287" s="1635"/>
      <c r="J1287" s="1635"/>
      <c r="K1287" s="1635"/>
      <c r="L1287" s="1635"/>
      <c r="M1287" s="1635"/>
      <c r="O1287" s="1627" t="s">
        <v>748</v>
      </c>
      <c r="P1287" s="1621" t="str">
        <f>'Part VIII-Threshold Criteria'!P187</f>
        <v>Yes</v>
      </c>
      <c r="Q1287" s="1621">
        <f>'Part VIII-Threshold Criteria'!Q187</f>
        <v>0</v>
      </c>
    </row>
    <row r="1288" spans="1:17">
      <c r="A1288" s="1616"/>
      <c r="B1288" s="1583" t="s">
        <v>2631</v>
      </c>
      <c r="C1288" s="1583"/>
      <c r="D1288" s="1620" t="s">
        <v>1736</v>
      </c>
      <c r="E1288" s="1524" t="s">
        <v>2644</v>
      </c>
      <c r="G1288" s="1635"/>
      <c r="H1288" s="1635"/>
      <c r="I1288" s="1635"/>
      <c r="J1288" s="1635"/>
      <c r="K1288" s="1635"/>
      <c r="L1288" s="1635"/>
      <c r="M1288" s="1635"/>
      <c r="O1288" s="1636" t="s">
        <v>1736</v>
      </c>
      <c r="P1288" s="1621" t="str">
        <f>'Part VIII-Threshold Criteria'!P188</f>
        <v>Yes</v>
      </c>
      <c r="Q1288" s="1621">
        <f>'Part VIII-Threshold Criteria'!Q188</f>
        <v>0</v>
      </c>
    </row>
    <row r="1289" spans="1:17">
      <c r="A1289" s="1616"/>
      <c r="B1289" s="1583"/>
      <c r="C1289" s="1583"/>
      <c r="D1289" s="1620" t="s">
        <v>1737</v>
      </c>
      <c r="E1289" s="1524" t="s">
        <v>4539</v>
      </c>
      <c r="G1289" s="1635"/>
      <c r="H1289" s="1635"/>
      <c r="I1289" s="1635"/>
      <c r="J1289" s="1635"/>
      <c r="K1289" s="1635"/>
      <c r="L1289" s="1635"/>
      <c r="M1289" s="1635"/>
      <c r="O1289" s="1636" t="s">
        <v>1737</v>
      </c>
      <c r="P1289" s="1621" t="str">
        <f>'Part VIII-Threshold Criteria'!P189</f>
        <v>Yes</v>
      </c>
      <c r="Q1289" s="1621">
        <f>'Part VIII-Threshold Criteria'!Q189</f>
        <v>0</v>
      </c>
    </row>
    <row r="1290" spans="1:17" ht="12.75" customHeight="1">
      <c r="A1290" s="1616"/>
      <c r="B1290" s="1596"/>
      <c r="C1290" s="1635"/>
      <c r="D1290" s="1627" t="s">
        <v>1738</v>
      </c>
      <c r="E1290" s="1583" t="s">
        <v>3742</v>
      </c>
      <c r="F1290" s="1583"/>
      <c r="G1290" s="1583"/>
      <c r="H1290" s="1583"/>
      <c r="I1290" s="1583"/>
      <c r="J1290" s="1583"/>
      <c r="K1290" s="1583"/>
      <c r="L1290" s="1583"/>
      <c r="M1290" s="1583"/>
      <c r="N1290" s="1583"/>
      <c r="O1290" s="1627" t="s">
        <v>1738</v>
      </c>
      <c r="P1290" s="1628" t="str">
        <f>'Part VIII-Threshold Criteria'!P190</f>
        <v>Yes</v>
      </c>
      <c r="Q1290" s="1628">
        <f>'Part VIII-Threshold Criteria'!Q190</f>
        <v>0</v>
      </c>
    </row>
    <row r="1291" spans="1:17">
      <c r="A1291" s="1616"/>
      <c r="C1291" s="1635"/>
      <c r="D1291" s="1620" t="s">
        <v>2364</v>
      </c>
      <c r="E1291" s="1524" t="s">
        <v>2646</v>
      </c>
      <c r="G1291" s="1635"/>
      <c r="H1291" s="1635"/>
      <c r="I1291" s="1635"/>
      <c r="J1291" s="1635"/>
      <c r="K1291" s="1635"/>
      <c r="L1291" s="1635"/>
      <c r="M1291" s="1635"/>
      <c r="O1291" s="1636" t="s">
        <v>2364</v>
      </c>
      <c r="P1291" s="1621" t="str">
        <f>'Part VIII-Threshold Criteria'!P191</f>
        <v>Yes</v>
      </c>
      <c r="Q1291" s="1621">
        <f>'Part VIII-Threshold Criteria'!Q191</f>
        <v>0</v>
      </c>
    </row>
    <row r="1292" spans="1:17" ht="12.75" customHeight="1">
      <c r="A1292" s="1616"/>
      <c r="B1292" s="1596"/>
      <c r="C1292" s="1635"/>
      <c r="D1292" s="1627" t="s">
        <v>1548</v>
      </c>
      <c r="E1292" s="1583" t="s">
        <v>2647</v>
      </c>
      <c r="F1292" s="1583"/>
      <c r="G1292" s="1583"/>
      <c r="H1292" s="1583"/>
      <c r="I1292" s="1583"/>
      <c r="J1292" s="1583"/>
      <c r="K1292" s="1583"/>
      <c r="L1292" s="1583"/>
      <c r="M1292" s="1583"/>
      <c r="N1292" s="1583"/>
      <c r="O1292" s="1627" t="s">
        <v>1548</v>
      </c>
      <c r="P1292" s="1628" t="str">
        <f>'Part VIII-Threshold Criteria'!P192</f>
        <v>N/Ap</v>
      </c>
      <c r="Q1292" s="1628">
        <f>'Part VIII-Threshold Criteria'!Q192</f>
        <v>0</v>
      </c>
    </row>
    <row r="1293" spans="1:17" ht="12.75" customHeight="1">
      <c r="A1293" s="1616"/>
      <c r="B1293" s="1596"/>
      <c r="C1293" s="1635"/>
      <c r="D1293" s="1627" t="s">
        <v>1549</v>
      </c>
      <c r="E1293" s="1583" t="s">
        <v>3894</v>
      </c>
      <c r="F1293" s="1583"/>
      <c r="G1293" s="1583"/>
      <c r="H1293" s="1583"/>
      <c r="I1293" s="1583"/>
      <c r="J1293" s="1583"/>
      <c r="K1293" s="1583"/>
      <c r="L1293" s="1583"/>
      <c r="M1293" s="1583"/>
      <c r="N1293" s="1583"/>
      <c r="O1293" s="1627" t="s">
        <v>1549</v>
      </c>
      <c r="P1293" s="1628" t="str">
        <f>'Part VIII-Threshold Criteria'!P193</f>
        <v>N/Ap</v>
      </c>
      <c r="Q1293" s="1628">
        <f>'Part VIII-Threshold Criteria'!Q193</f>
        <v>0</v>
      </c>
    </row>
    <row r="1294" spans="1:17" ht="12.75" customHeight="1">
      <c r="A1294" s="1616" t="s">
        <v>2114</v>
      </c>
      <c r="B1294" s="1583" t="s">
        <v>2648</v>
      </c>
      <c r="C1294" s="1583"/>
      <c r="D1294" s="1583"/>
      <c r="E1294" s="1583"/>
      <c r="F1294" s="1583"/>
      <c r="G1294" s="1583"/>
      <c r="H1294" s="1583"/>
      <c r="I1294" s="1583"/>
      <c r="J1294" s="1583"/>
      <c r="K1294" s="1583"/>
      <c r="L1294" s="1583"/>
      <c r="M1294" s="1583"/>
      <c r="N1294" s="1583"/>
      <c r="O1294" s="1627" t="s">
        <v>2114</v>
      </c>
      <c r="P1294" s="1628" t="str">
        <f>'Part VIII-Threshold Criteria'!P194</f>
        <v>Yes</v>
      </c>
      <c r="Q1294" s="1628">
        <f>'Part VIII-Threshold Criteria'!Q194</f>
        <v>0</v>
      </c>
    </row>
    <row r="1295" spans="1:17">
      <c r="A1295" s="1616" t="s">
        <v>1734</v>
      </c>
      <c r="B1295" s="1635" t="s">
        <v>2378</v>
      </c>
      <c r="D1295" s="1635"/>
      <c r="E1295" s="1635"/>
      <c r="F1295" s="1635"/>
      <c r="G1295" s="1635"/>
      <c r="H1295" s="1635"/>
      <c r="I1295" s="1635"/>
      <c r="J1295" s="1635"/>
      <c r="K1295" s="1635"/>
      <c r="L1295" s="1635"/>
      <c r="M1295" s="1635"/>
      <c r="O1295" s="1627" t="s">
        <v>1734</v>
      </c>
      <c r="P1295" s="1621" t="str">
        <f>'Part VIII-Threshold Criteria'!P195</f>
        <v>Yes</v>
      </c>
      <c r="Q1295" s="1621">
        <f>'Part VIII-Threshold Criteria'!Q195</f>
        <v>0</v>
      </c>
    </row>
    <row r="1296" spans="1:17">
      <c r="B1296" s="1525" t="s">
        <v>3751</v>
      </c>
      <c r="D1296" s="1525"/>
      <c r="E1296" s="1525"/>
      <c r="F1296" s="1525"/>
      <c r="G1296" s="1525"/>
      <c r="H1296" s="1524"/>
      <c r="I1296" s="1578"/>
      <c r="J1296" s="1578"/>
      <c r="K1296" s="1578"/>
      <c r="L1296" s="1495"/>
      <c r="M1296" s="1495"/>
      <c r="N1296" s="1495"/>
      <c r="O1296" s="1495"/>
      <c r="P1296" s="1495"/>
      <c r="Q1296" s="1495"/>
    </row>
    <row r="1297" spans="1:17" ht="153">
      <c r="A1297" s="1583" t="str">
        <f>'Part VIII-Threshold Criteria'!A197</f>
        <v xml:space="preserve">Complex is an existing complex that is 20 years old and complies with all current regulations. Plans for rehabilitation will also comply with all regulations. </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1865</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2658</v>
      </c>
      <c r="C1301" s="1488"/>
      <c r="D1301" s="1582"/>
      <c r="E1301" s="1637"/>
      <c r="F1301" s="1637"/>
      <c r="G1301" s="1582"/>
      <c r="J1301" s="1583"/>
      <c r="K1301" s="1583"/>
      <c r="L1301" s="1583"/>
      <c r="M1301" s="1583"/>
      <c r="N1301" s="1583"/>
      <c r="O1301" s="1579" t="s">
        <v>1866</v>
      </c>
      <c r="P1301" s="1503">
        <f>'Part VIII-Threshold Criteria'!P201</f>
        <v>0</v>
      </c>
      <c r="Q1301" s="1503">
        <f>'Part VIII-Threshold Criteria'!Q201</f>
        <v>0</v>
      </c>
    </row>
    <row r="1302" spans="1:17">
      <c r="A1302" s="1508"/>
      <c r="B1302" s="1604" t="s">
        <v>97</v>
      </c>
      <c r="D1302" s="1604"/>
      <c r="E1302" s="1604"/>
      <c r="F1302" s="1604"/>
      <c r="G1302" s="1604"/>
      <c r="H1302" s="1620" t="s">
        <v>1736</v>
      </c>
      <c r="I1302" s="457" t="s">
        <v>152</v>
      </c>
      <c r="J1302" s="1577">
        <f>'Part VIII-Threshold Criteria'!J203</f>
        <v>0</v>
      </c>
      <c r="K1302" s="1577">
        <f>'Part VIII-Threshold Criteria'!K203</f>
        <v>0</v>
      </c>
      <c r="L1302" s="1577">
        <f>'Part VIII-Threshold Criteria'!L203</f>
        <v>0</v>
      </c>
      <c r="M1302" s="1577">
        <f>'Part VIII-Threshold Criteria'!M203</f>
        <v>0</v>
      </c>
      <c r="N1302" s="1577">
        <f>'Part VIII-Threshold Criteria'!N203</f>
        <v>0</v>
      </c>
      <c r="O1302" s="1620" t="s">
        <v>1736</v>
      </c>
      <c r="P1302" s="1621" t="str">
        <f>'Part VIII-Threshold Criteria'!P203</f>
        <v>No</v>
      </c>
      <c r="Q1302" s="1621">
        <f>'Part VIII-Threshold Criteria'!Q203</f>
        <v>0</v>
      </c>
    </row>
    <row r="1303" spans="1:17">
      <c r="A1303" s="1508"/>
      <c r="B1303" s="1525" t="s">
        <v>3751</v>
      </c>
      <c r="C1303" s="1521"/>
      <c r="D1303" s="1521"/>
      <c r="E1303" s="1521"/>
      <c r="F1303" s="1521"/>
      <c r="H1303" s="1620" t="s">
        <v>1737</v>
      </c>
      <c r="I1303" s="457" t="s">
        <v>1595</v>
      </c>
      <c r="J1303" s="1577" t="str">
        <f>'Part VIII-Threshold Criteria'!J204</f>
        <v>Sumter Elelctric Membership Corporation</v>
      </c>
      <c r="K1303" s="1577">
        <f>'Part VIII-Threshold Criteria'!K204</f>
        <v>0</v>
      </c>
      <c r="L1303" s="1577">
        <f>'Part VIII-Threshold Criteria'!L204</f>
        <v>0</v>
      </c>
      <c r="M1303" s="1577">
        <f>'Part VIII-Threshold Criteria'!M204</f>
        <v>0</v>
      </c>
      <c r="N1303" s="1577">
        <f>'Part VIII-Threshold Criteria'!N204</f>
        <v>0</v>
      </c>
      <c r="O1303" s="1620" t="s">
        <v>1737</v>
      </c>
      <c r="P1303" s="1621" t="str">
        <f>'Part VIII-Threshold Criteria'!P204</f>
        <v>Yes</v>
      </c>
      <c r="Q1303" s="1621">
        <f>'Part VIII-Threshold Criteria'!Q204</f>
        <v>0</v>
      </c>
    </row>
    <row r="1304" spans="1:17" ht="81.599999999999994">
      <c r="A1304" s="1583" t="str">
        <f>'Part VIII-Threshold Criteria'!A205</f>
        <v>Availability letter provided by the Corporation and included with the application.</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1865</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2659</v>
      </c>
      <c r="C1308" s="1312"/>
      <c r="D1308" s="1577"/>
      <c r="E1308" s="1577"/>
      <c r="F1308" s="1577"/>
      <c r="G1308" s="1582"/>
      <c r="H1308" s="1582"/>
      <c r="I1308" s="1582"/>
      <c r="J1308" s="1582"/>
      <c r="K1308" s="1582"/>
      <c r="L1308" s="1582"/>
      <c r="M1308" s="1582"/>
      <c r="O1308" s="1579" t="s">
        <v>1866</v>
      </c>
      <c r="P1308" s="1503">
        <f>'Part VIII-Threshold Criteria'!P209</f>
        <v>0</v>
      </c>
      <c r="Q1308" s="1503">
        <f>'Part VIII-Threshold Criteria'!Q209</f>
        <v>0</v>
      </c>
    </row>
    <row r="1310" spans="1:17">
      <c r="A1310" s="1616" t="s">
        <v>1982</v>
      </c>
      <c r="B1310" s="1626" t="s">
        <v>1736</v>
      </c>
      <c r="C1310" s="1638" t="s">
        <v>513</v>
      </c>
      <c r="E1310" s="1638"/>
      <c r="F1310" s="1638"/>
      <c r="G1310" s="1638"/>
      <c r="H1310" s="1638"/>
      <c r="I1310" s="1638"/>
      <c r="J1310" s="1638"/>
      <c r="K1310" s="1638"/>
      <c r="L1310" s="1638"/>
      <c r="M1310" s="1638"/>
      <c r="N1310" s="1638"/>
      <c r="O1310" s="1627" t="s">
        <v>1485</v>
      </c>
      <c r="P1310" s="1621" t="e">
        <f>'Part VIII-Threshold Criteria'!#REF!</f>
        <v>#REF!</v>
      </c>
      <c r="Q1310" s="1621" t="e">
        <f>'Part VIII-Threshold Criteria'!#REF!</f>
        <v>#REF!</v>
      </c>
    </row>
    <row r="1311" spans="1:17">
      <c r="A1311" s="1616"/>
      <c r="B1311" s="1626" t="s">
        <v>1737</v>
      </c>
      <c r="C1311" s="1638" t="s">
        <v>1466</v>
      </c>
      <c r="E1311" s="1638"/>
      <c r="F1311" s="1638"/>
      <c r="G1311" s="1638"/>
      <c r="H1311" s="1638"/>
      <c r="I1311" s="1638"/>
      <c r="J1311" s="1638"/>
      <c r="K1311" s="1638"/>
      <c r="L1311" s="1638"/>
      <c r="M1311" s="1638"/>
      <c r="N1311" s="1638"/>
      <c r="O1311" s="1627" t="s">
        <v>1737</v>
      </c>
      <c r="P1311" s="1621" t="e">
        <f>'Part VIII-Threshold Criteria'!#REF!</f>
        <v>#REF!</v>
      </c>
      <c r="Q1311" s="1621" t="e">
        <f>'Part VIII-Threshold Criteria'!#REF!</f>
        <v>#REF!</v>
      </c>
    </row>
    <row r="1312" spans="1:17" ht="12.75" customHeight="1">
      <c r="A1312" s="1616" t="s">
        <v>1984</v>
      </c>
      <c r="B1312" s="1583" t="s">
        <v>1848</v>
      </c>
      <c r="C1312" s="1583"/>
      <c r="D1312" s="1583"/>
      <c r="E1312" s="1583"/>
      <c r="F1312" s="1583"/>
      <c r="G1312" s="1583"/>
      <c r="H1312" s="1620" t="s">
        <v>1736</v>
      </c>
      <c r="I1312" s="457" t="s">
        <v>634</v>
      </c>
      <c r="J1312" s="1577" t="str">
        <f>'Part VIII-Threshold Criteria'!J210</f>
        <v>City of Leesburg</v>
      </c>
      <c r="K1312" s="1577">
        <f>'Part VIII-Threshold Criteria'!K210</f>
        <v>0</v>
      </c>
      <c r="L1312" s="1577">
        <f>'Part VIII-Threshold Criteria'!L210</f>
        <v>0</v>
      </c>
      <c r="M1312" s="1577">
        <f>'Part VIII-Threshold Criteria'!M210</f>
        <v>0</v>
      </c>
      <c r="N1312" s="1577">
        <f>'Part VIII-Threshold Criteria'!N210</f>
        <v>0</v>
      </c>
      <c r="O1312" s="1620" t="s">
        <v>1445</v>
      </c>
      <c r="P1312" s="1621" t="str">
        <f>'Part VIII-Threshold Criteria'!P210</f>
        <v>Yes</v>
      </c>
      <c r="Q1312" s="1621">
        <f>'Part VIII-Threshold Criteria'!Q210</f>
        <v>0</v>
      </c>
    </row>
    <row r="1313" spans="1:17">
      <c r="A1313" s="1319"/>
      <c r="B1313" s="1583"/>
      <c r="C1313" s="1583"/>
      <c r="D1313" s="1583"/>
      <c r="E1313" s="1583"/>
      <c r="F1313" s="1583"/>
      <c r="G1313" s="1583"/>
      <c r="H1313" s="1620" t="s">
        <v>1737</v>
      </c>
      <c r="I1313" s="457" t="s">
        <v>116</v>
      </c>
      <c r="J1313" s="1577" t="str">
        <f>'Part VIII-Threshold Criteria'!J211</f>
        <v>City of Leesburg</v>
      </c>
      <c r="K1313" s="1577">
        <f>'Part VIII-Threshold Criteria'!K211</f>
        <v>0</v>
      </c>
      <c r="L1313" s="1577">
        <f>'Part VIII-Threshold Criteria'!L211</f>
        <v>0</v>
      </c>
      <c r="M1313" s="1577">
        <f>'Part VIII-Threshold Criteria'!M211</f>
        <v>0</v>
      </c>
      <c r="N1313" s="1577">
        <f>'Part VIII-Threshold Criteria'!N211</f>
        <v>0</v>
      </c>
      <c r="O1313" s="1620" t="s">
        <v>1737</v>
      </c>
      <c r="P1313" s="1621" t="str">
        <f>'Part VIII-Threshold Criteria'!P211</f>
        <v>Yes</v>
      </c>
      <c r="Q1313" s="1621">
        <f>'Part VIII-Threshold Criteria'!Q211</f>
        <v>0</v>
      </c>
    </row>
    <row r="1314" spans="1:17">
      <c r="A1314" s="1618" t="s">
        <v>748</v>
      </c>
      <c r="B1314" s="457" t="s">
        <v>3900</v>
      </c>
      <c r="D1314" s="457"/>
      <c r="E1314" s="457"/>
      <c r="F1314" s="457"/>
      <c r="G1314" s="457"/>
      <c r="H1314" s="457"/>
      <c r="I1314" s="457"/>
      <c r="J1314" s="457"/>
      <c r="K1314" s="1314"/>
      <c r="L1314" s="457"/>
      <c r="M1314" s="457"/>
      <c r="O1314" s="1620" t="s">
        <v>748</v>
      </c>
      <c r="P1314" s="1621" t="str">
        <f>'Part VIII-Threshold Criteria'!P212</f>
        <v>No</v>
      </c>
      <c r="Q1314" s="1621">
        <f>'Part VIII-Threshold Criteria'!Q212</f>
        <v>0</v>
      </c>
    </row>
    <row r="1315" spans="1:17">
      <c r="A1315" s="1618" t="s">
        <v>2114</v>
      </c>
      <c r="B1315" s="457" t="s">
        <v>3901</v>
      </c>
      <c r="D1315" s="457"/>
      <c r="E1315" s="457"/>
      <c r="F1315" s="457"/>
      <c r="G1315" s="457"/>
      <c r="H1315" s="457"/>
      <c r="I1315" s="457"/>
      <c r="J1315" s="457"/>
      <c r="K1315" s="1314"/>
      <c r="L1315" s="457"/>
      <c r="M1315" s="457"/>
      <c r="O1315" s="1620" t="s">
        <v>2114</v>
      </c>
      <c r="P1315" s="1621" t="str">
        <f>'Part VIII-Threshold Criteria'!P213</f>
        <v>No</v>
      </c>
      <c r="Q1315" s="1621">
        <f>'Part VIII-Threshold Criteria'!Q213</f>
        <v>0</v>
      </c>
    </row>
    <row r="1316" spans="1:17">
      <c r="B1316" s="1525" t="s">
        <v>3751</v>
      </c>
      <c r="D1316" s="1525"/>
      <c r="E1316" s="1525"/>
      <c r="F1316" s="1525"/>
      <c r="G1316" s="1525"/>
      <c r="H1316" s="1524"/>
      <c r="I1316" s="1578"/>
      <c r="J1316" s="1578"/>
      <c r="K1316" s="1578"/>
      <c r="L1316" s="1495"/>
      <c r="M1316" s="1495"/>
      <c r="N1316" s="1495"/>
      <c r="O1316" s="1495"/>
      <c r="P1316" s="1495"/>
      <c r="Q1316" s="1495"/>
    </row>
    <row r="1317" spans="1:17" ht="193.8">
      <c r="A1317" s="1583" t="str">
        <f>'Part VIII-Threshold Criteria'!A215</f>
        <v xml:space="preserve">Evidence of easements and commitments as well as verification of annexation or improvements is not necessary for this project. The property is currently being served with adequate utilities. </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1865</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1725</v>
      </c>
      <c r="B1321" s="1488" t="s">
        <v>2660</v>
      </c>
      <c r="C1321" s="1612"/>
      <c r="D1321" s="1582"/>
      <c r="E1321" s="1582"/>
      <c r="F1321" s="1582"/>
      <c r="G1321" s="1582"/>
      <c r="H1321" s="1582"/>
      <c r="I1321" s="1582"/>
      <c r="J1321" s="1582"/>
      <c r="K1321" s="1582"/>
      <c r="L1321" s="1582"/>
      <c r="M1321" s="1582"/>
      <c r="O1321" s="1579" t="s">
        <v>1866</v>
      </c>
      <c r="P1321" s="1503">
        <f>'Part VIII-Threshold Criteria'!P219</f>
        <v>0</v>
      </c>
      <c r="Q1321" s="1503">
        <f>'Part VIII-Threshold Criteria'!Q219</f>
        <v>0</v>
      </c>
    </row>
    <row r="1322" spans="1:17">
      <c r="B1322" s="1051" t="s">
        <v>1191</v>
      </c>
      <c r="N1322" s="1320"/>
      <c r="P1322" s="1621" t="str">
        <f>'Part VIII-Threshold Criteria'!P220</f>
        <v>No</v>
      </c>
      <c r="Q1322" s="1621">
        <f>'Part VIII-Threshold Criteria'!Q220</f>
        <v>0</v>
      </c>
    </row>
    <row r="1323" spans="1:17">
      <c r="A1323" s="1618" t="s">
        <v>1982</v>
      </c>
      <c r="B1323" s="457" t="s">
        <v>4540</v>
      </c>
      <c r="D1323" s="1314"/>
      <c r="E1323" s="1314"/>
      <c r="F1323" s="1314"/>
      <c r="G1323" s="1314"/>
      <c r="H1323" s="1314"/>
      <c r="I1323" s="1314"/>
      <c r="J1323" s="1314"/>
      <c r="K1323" s="1314"/>
      <c r="L1323" s="1314"/>
      <c r="M1323" s="1314"/>
      <c r="O1323" s="1620" t="s">
        <v>1982</v>
      </c>
      <c r="P1323" s="1621" t="str">
        <f>'Part VIII-Threshold Criteria'!P221</f>
        <v>Agree</v>
      </c>
      <c r="Q1323" s="1621">
        <f>'Part VIII-Threshold Criteria'!Q221</f>
        <v>0</v>
      </c>
    </row>
    <row r="1324" spans="1:17">
      <c r="A1324" s="1618"/>
      <c r="B1324" s="1620" t="s">
        <v>1736</v>
      </c>
      <c r="C1324" s="457" t="s">
        <v>1930</v>
      </c>
      <c r="E1324" s="457"/>
      <c r="F1324" s="457"/>
      <c r="G1324" s="457"/>
      <c r="H1324" s="457"/>
      <c r="I1324" s="1314"/>
      <c r="J1324" s="1620" t="s">
        <v>1485</v>
      </c>
      <c r="K1324" s="1577" t="str">
        <f>'Part VIII-Threshold Criteria'!K222</f>
        <v>Building</v>
      </c>
      <c r="L1324" s="1577">
        <f>'Part VIII-Threshold Criteria'!L222</f>
        <v>0</v>
      </c>
      <c r="Q1324" s="1621">
        <f>'Part VIII-Threshold Criteria'!Q222</f>
        <v>0</v>
      </c>
    </row>
    <row r="1325" spans="1:17">
      <c r="A1325" s="1618"/>
      <c r="B1325" s="1620" t="s">
        <v>1737</v>
      </c>
      <c r="C1325" s="1524" t="s">
        <v>2722</v>
      </c>
      <c r="E1325" s="1524"/>
      <c r="F1325" s="1524"/>
      <c r="G1325" s="1524"/>
      <c r="H1325" s="1524"/>
      <c r="I1325" s="1314"/>
      <c r="J1325" s="1620" t="s">
        <v>1486</v>
      </c>
      <c r="K1325" s="1577" t="str">
        <f>'Part VIII-Threshold Criteria'!K223</f>
        <v>Gazebo</v>
      </c>
      <c r="L1325" s="1577">
        <f>'Part VIII-Threshold Criteria'!L223</f>
        <v>0</v>
      </c>
      <c r="M1325" s="1738">
        <f>'Part VIII-Threshold Criteria'!M223</f>
        <v>0</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1738</v>
      </c>
      <c r="C1326" s="1524" t="s">
        <v>557</v>
      </c>
      <c r="E1326" s="1524"/>
      <c r="F1326" s="1524"/>
      <c r="G1326" s="1524"/>
      <c r="H1326" s="1524"/>
      <c r="I1326" s="1314"/>
      <c r="J1326" s="1620" t="s">
        <v>1487</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1984</v>
      </c>
      <c r="B1327" s="457" t="s">
        <v>2508</v>
      </c>
      <c r="D1327" s="457"/>
      <c r="E1327" s="457"/>
      <c r="F1327" s="457"/>
      <c r="G1327" s="457"/>
      <c r="H1327" s="457"/>
      <c r="I1327" s="457"/>
      <c r="J1327" s="457"/>
      <c r="K1327" s="1314"/>
      <c r="L1327" s="1314"/>
      <c r="M1327" s="1314"/>
      <c r="N1327" s="1314"/>
      <c r="O1327" s="1620" t="s">
        <v>1984</v>
      </c>
      <c r="P1327" s="1621" t="str">
        <f>'Part VIII-Threshold Criteria'!P226</f>
        <v>Agree</v>
      </c>
      <c r="Q1327" s="1621">
        <f>'Part VIII-Threshold Criteria'!Q226</f>
        <v>0</v>
      </c>
    </row>
    <row r="1328" spans="1:17">
      <c r="A1328" s="1618"/>
      <c r="B1328" s="457" t="s">
        <v>4541</v>
      </c>
      <c r="D1328" s="457"/>
      <c r="E1328" s="457"/>
      <c r="F1328" s="457"/>
      <c r="G1328" s="457"/>
      <c r="H1328" s="457"/>
      <c r="I1328" s="457"/>
      <c r="J1328" s="457"/>
      <c r="K1328" s="1314"/>
      <c r="L1328" s="1314"/>
      <c r="M1328" s="1314"/>
      <c r="N1328" s="1314"/>
      <c r="O1328" s="1314"/>
      <c r="P1328" s="1638" t="s">
        <v>2</v>
      </c>
      <c r="Q1328" s="1638"/>
    </row>
    <row r="1329" spans="1:17">
      <c r="A1329" s="1618"/>
      <c r="C1329" s="457" t="s">
        <v>2723</v>
      </c>
      <c r="D1329" s="457"/>
      <c r="E1329" s="457"/>
      <c r="F1329" s="457"/>
      <c r="H1329" s="1639" t="s">
        <v>772</v>
      </c>
      <c r="I1329" s="1335" t="s">
        <v>773</v>
      </c>
      <c r="K1329" s="457" t="s">
        <v>2723</v>
      </c>
      <c r="M1329" s="1314"/>
      <c r="N1329" s="1314"/>
      <c r="O1329" s="1639"/>
      <c r="P1329" s="1377" t="s">
        <v>772</v>
      </c>
      <c r="Q1329" s="1335" t="s">
        <v>773</v>
      </c>
    </row>
    <row r="1330" spans="1:17" ht="40.799999999999997">
      <c r="A1330" s="1621"/>
      <c r="B1330" s="1620" t="s">
        <v>1736</v>
      </c>
      <c r="C1330" s="1583" t="str">
        <f>'Part VIII-Threshold Criteria'!C229</f>
        <v xml:space="preserve">Covered pavilion with picnic/BBQ facilities </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1738</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40.799999999999997">
      <c r="A1331" s="1621"/>
      <c r="B1331" s="1620" t="s">
        <v>1737</v>
      </c>
      <c r="C1331" s="1583" t="str">
        <f>'Part VIII-Threshold Criteria'!C230</f>
        <v xml:space="preserve">Equipped Computer Center and WiFi </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2364</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748</v>
      </c>
      <c r="B1332" s="457" t="s">
        <v>1380</v>
      </c>
      <c r="C1332" s="457"/>
      <c r="E1332" s="457"/>
      <c r="F1332" s="457"/>
      <c r="G1332" s="457"/>
      <c r="H1332" s="457"/>
      <c r="I1332" s="457"/>
      <c r="J1332" s="457"/>
      <c r="K1332" s="1314"/>
      <c r="L1332" s="457"/>
      <c r="M1332" s="457"/>
      <c r="O1332" s="1620" t="s">
        <v>748</v>
      </c>
      <c r="P1332" s="1621" t="str">
        <f>'Part VIII-Threshold Criteria'!P233</f>
        <v>Agree</v>
      </c>
      <c r="Q1332" s="1621">
        <f>'Part VIII-Threshold Criteria'!Q233</f>
        <v>0</v>
      </c>
    </row>
    <row r="1333" spans="1:17">
      <c r="A1333" s="1618"/>
      <c r="B1333" s="1620" t="s">
        <v>1736</v>
      </c>
      <c r="C1333" s="457" t="s">
        <v>3463</v>
      </c>
      <c r="E1333" s="457"/>
      <c r="F1333" s="457"/>
      <c r="L1333" s="1314"/>
      <c r="M1333" s="1314"/>
      <c r="O1333" s="1620" t="s">
        <v>1736</v>
      </c>
      <c r="P1333" s="1621" t="str">
        <f>'Part VIII-Threshold Criteria'!P234</f>
        <v>Yes</v>
      </c>
      <c r="Q1333" s="1621">
        <f>'Part VIII-Threshold Criteria'!Q234</f>
        <v>0</v>
      </c>
    </row>
    <row r="1334" spans="1:17">
      <c r="B1334" s="1620" t="s">
        <v>1737</v>
      </c>
      <c r="C1334" s="1524" t="s">
        <v>2806</v>
      </c>
      <c r="E1334" s="1524"/>
      <c r="F1334" s="1524"/>
      <c r="L1334" s="1314"/>
      <c r="M1334" s="1314"/>
      <c r="O1334" s="1620" t="s">
        <v>1737</v>
      </c>
      <c r="P1334" s="1621" t="str">
        <f>'Part VIII-Threshold Criteria'!P235</f>
        <v>Yes</v>
      </c>
      <c r="Q1334" s="1621">
        <f>'Part VIII-Threshold Criteria'!Q235</f>
        <v>0</v>
      </c>
    </row>
    <row r="1335" spans="1:17">
      <c r="B1335" s="1620" t="s">
        <v>1738</v>
      </c>
      <c r="C1335" s="1524" t="s">
        <v>2807</v>
      </c>
      <c r="E1335" s="1524"/>
      <c r="F1335" s="1524"/>
      <c r="G1335" s="1524"/>
      <c r="H1335" s="1524"/>
      <c r="I1335" s="1314"/>
      <c r="J1335" s="1314"/>
      <c r="K1335" s="1314"/>
      <c r="L1335" s="1314"/>
      <c r="M1335" s="1314"/>
      <c r="O1335" s="1620" t="s">
        <v>1738</v>
      </c>
      <c r="P1335" s="1621" t="str">
        <f>'Part VIII-Threshold Criteria'!P236</f>
        <v>Yes</v>
      </c>
      <c r="Q1335" s="1621">
        <f>'Part VIII-Threshold Criteria'!Q236</f>
        <v>0</v>
      </c>
    </row>
    <row r="1336" spans="1:17">
      <c r="A1336" s="1618"/>
      <c r="B1336" s="1620" t="s">
        <v>2364</v>
      </c>
      <c r="C1336" s="1524" t="s">
        <v>2808</v>
      </c>
      <c r="E1336" s="1524"/>
      <c r="F1336" s="1524"/>
      <c r="G1336" s="1524"/>
      <c r="H1336" s="1524"/>
      <c r="I1336" s="1314"/>
      <c r="J1336" s="1314"/>
      <c r="K1336" s="1314"/>
      <c r="L1336" s="1314"/>
      <c r="M1336" s="1314"/>
      <c r="O1336" s="1620" t="s">
        <v>2364</v>
      </c>
      <c r="P1336" s="1621" t="str">
        <f>'Part VIII-Threshold Criteria'!P237</f>
        <v>Yes</v>
      </c>
      <c r="Q1336" s="1621">
        <f>'Part VIII-Threshold Criteria'!Q237</f>
        <v>0</v>
      </c>
    </row>
    <row r="1337" spans="1:17">
      <c r="A1337" s="1618"/>
      <c r="B1337" s="1620" t="s">
        <v>1548</v>
      </c>
      <c r="C1337" s="1524" t="s">
        <v>2809</v>
      </c>
      <c r="E1337" s="1524"/>
      <c r="F1337" s="1524"/>
      <c r="G1337" s="1524"/>
      <c r="H1337" s="1524"/>
      <c r="I1337" s="1314"/>
      <c r="J1337" s="1314"/>
      <c r="K1337" s="1314"/>
      <c r="L1337" s="1314"/>
      <c r="M1337" s="1314"/>
      <c r="O1337" s="1620" t="s">
        <v>1548</v>
      </c>
      <c r="P1337" s="1621" t="str">
        <f>'Part VIII-Threshold Criteria'!P238</f>
        <v>Yes</v>
      </c>
      <c r="Q1337" s="1621">
        <f>'Part VIII-Threshold Criteria'!Q238</f>
        <v>0</v>
      </c>
    </row>
    <row r="1338" spans="1:17">
      <c r="A1338" s="1618"/>
      <c r="B1338" s="1620" t="s">
        <v>1549</v>
      </c>
      <c r="C1338" s="457" t="s">
        <v>774</v>
      </c>
      <c r="E1338" s="457"/>
      <c r="F1338" s="457"/>
      <c r="G1338" s="457"/>
      <c r="H1338" s="457"/>
      <c r="I1338" s="1314"/>
      <c r="J1338" s="1314"/>
      <c r="K1338" s="1314"/>
      <c r="L1338" s="1314"/>
      <c r="M1338" s="1314"/>
      <c r="O1338" s="1620" t="s">
        <v>2797</v>
      </c>
      <c r="P1338" s="1621" t="str">
        <f>'Part VIII-Threshold Criteria'!P239</f>
        <v>Yes</v>
      </c>
      <c r="Q1338" s="1621">
        <f>'Part VIII-Threshold Criteria'!Q239</f>
        <v>0</v>
      </c>
    </row>
    <row r="1339" spans="1:17">
      <c r="A1339" s="1618"/>
      <c r="B1339" s="1620"/>
      <c r="C1339" s="457" t="s">
        <v>1488</v>
      </c>
      <c r="E1339" s="457"/>
      <c r="F1339" s="457"/>
      <c r="G1339" s="457"/>
      <c r="H1339" s="457"/>
      <c r="I1339" s="1314"/>
      <c r="J1339" s="1314"/>
      <c r="K1339" s="1314"/>
      <c r="L1339" s="1314"/>
      <c r="M1339" s="1314"/>
      <c r="O1339" s="1620" t="s">
        <v>2798</v>
      </c>
      <c r="P1339" s="1621" t="str">
        <f>'Part VIII-Threshold Criteria'!P240</f>
        <v>No</v>
      </c>
      <c r="Q1339" s="1621">
        <f>'Part VIII-Threshold Criteria'!Q240</f>
        <v>0</v>
      </c>
    </row>
    <row r="1340" spans="1:17">
      <c r="A1340" s="1618" t="s">
        <v>2114</v>
      </c>
      <c r="B1340" s="457" t="s">
        <v>3660</v>
      </c>
      <c r="C1340" s="457"/>
      <c r="E1340" s="457"/>
      <c r="F1340" s="457"/>
      <c r="G1340" s="457"/>
      <c r="H1340" s="457"/>
      <c r="I1340" s="457"/>
      <c r="J1340" s="457"/>
      <c r="K1340" s="1314"/>
      <c r="L1340" s="457"/>
      <c r="M1340" s="457"/>
      <c r="O1340" s="1620" t="s">
        <v>2114</v>
      </c>
      <c r="P1340" s="1621" t="str">
        <f>'Part VIII-Threshold Criteria'!P241</f>
        <v>N/A</v>
      </c>
      <c r="Q1340" s="1621">
        <f>'Part VIII-Threshold Criteria'!Q241</f>
        <v>0</v>
      </c>
    </row>
    <row r="1341" spans="1:17">
      <c r="B1341" s="1620" t="s">
        <v>1736</v>
      </c>
      <c r="C1341" s="457" t="s">
        <v>1254</v>
      </c>
      <c r="E1341" s="1314"/>
      <c r="F1341" s="1314"/>
      <c r="G1341" s="457"/>
      <c r="H1341" s="1524"/>
      <c r="I1341" s="1314"/>
      <c r="J1341" s="1524"/>
      <c r="K1341" s="1314"/>
      <c r="L1341" s="1524"/>
      <c r="M1341" s="1524"/>
      <c r="O1341" s="1620" t="s">
        <v>1736</v>
      </c>
      <c r="P1341" s="1621">
        <f>'Part VIII-Threshold Criteria'!P242</f>
        <v>0</v>
      </c>
      <c r="Q1341" s="1621">
        <f>'Part VIII-Threshold Criteria'!Q242</f>
        <v>0</v>
      </c>
    </row>
    <row r="1342" spans="1:17">
      <c r="B1342" s="1620" t="s">
        <v>1737</v>
      </c>
      <c r="C1342" s="457" t="s">
        <v>3902</v>
      </c>
      <c r="E1342" s="1314"/>
      <c r="F1342" s="1314"/>
      <c r="G1342" s="1524"/>
      <c r="H1342" s="1524"/>
      <c r="I1342" s="1314"/>
      <c r="J1342" s="1524"/>
      <c r="K1342" s="1314"/>
      <c r="L1342" s="1524"/>
      <c r="M1342" s="1524"/>
      <c r="O1342" s="1620" t="s">
        <v>1737</v>
      </c>
      <c r="P1342" s="1621">
        <f>'Part VIII-Threshold Criteria'!P243</f>
        <v>0</v>
      </c>
      <c r="Q1342" s="1621">
        <f>'Part VIII-Threshold Criteria'!Q243</f>
        <v>0</v>
      </c>
    </row>
    <row r="1343" spans="1:17">
      <c r="B1343" s="1525" t="s">
        <v>3751</v>
      </c>
      <c r="D1343" s="1525"/>
      <c r="E1343" s="1525"/>
      <c r="F1343" s="1525"/>
      <c r="G1343" s="1525"/>
      <c r="H1343" s="1524"/>
      <c r="I1343" s="1578"/>
      <c r="J1343" s="1578"/>
      <c r="K1343" s="1578"/>
      <c r="L1343" s="1495"/>
      <c r="M1343" s="1495"/>
      <c r="N1343" s="1495"/>
      <c r="O1343" s="1495"/>
      <c r="P1343" s="1495"/>
      <c r="Q1343" s="1495"/>
    </row>
    <row r="1344" spans="1:17" ht="51">
      <c r="A1344" s="1583" t="str">
        <f>'Part VIII-Threshold Criteria'!A245</f>
        <v>Project is a family property consisting of 40 units</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1865</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2780</v>
      </c>
      <c r="B1348" s="1312" t="s">
        <v>2661</v>
      </c>
      <c r="C1348" s="1312"/>
      <c r="D1348" s="1577"/>
      <c r="E1348" s="1577"/>
      <c r="F1348" s="1577"/>
      <c r="G1348" s="1577"/>
      <c r="H1348" s="1582"/>
      <c r="I1348" s="1582"/>
      <c r="J1348" s="1582"/>
      <c r="K1348" s="1582"/>
      <c r="L1348" s="1554"/>
      <c r="M1348" s="1554"/>
      <c r="O1348" s="1579" t="s">
        <v>1866</v>
      </c>
      <c r="P1348" s="1503">
        <f>'Part VIII-Threshold Criteria'!P249</f>
        <v>0</v>
      </c>
      <c r="Q1348" s="1503">
        <f>'Part VIII-Threshold Criteria'!Q249</f>
        <v>0</v>
      </c>
    </row>
    <row r="1349" spans="1:17">
      <c r="L1349" s="1554"/>
      <c r="M1349" s="1554"/>
      <c r="N1349" s="1051"/>
    </row>
    <row r="1350" spans="1:17">
      <c r="A1350" s="1618" t="s">
        <v>1982</v>
      </c>
      <c r="B1350" s="457" t="s">
        <v>1267</v>
      </c>
      <c r="D1350" s="1314"/>
      <c r="E1350" s="457"/>
      <c r="F1350" s="457"/>
      <c r="J1350" s="1620" t="s">
        <v>1982</v>
      </c>
      <c r="K1350" s="1577" t="str">
        <f>'Part VIII-Threshold Criteria'!K250</f>
        <v>Substantial Gut Rehab</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1984</v>
      </c>
      <c r="B1351" s="457" t="s">
        <v>2810</v>
      </c>
      <c r="D1351" s="457"/>
      <c r="E1351" s="457"/>
      <c r="F1351" s="457"/>
      <c r="J1351" s="1620" t="s">
        <v>1984</v>
      </c>
      <c r="K1351" s="1577" t="str">
        <f>'Part VIII-Threshold Criteria'!K251</f>
        <v>GIBCO Environmental, LLC</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1944</v>
      </c>
      <c r="D1352" s="457"/>
      <c r="E1352" s="457"/>
      <c r="F1352" s="457"/>
      <c r="K1352" s="1577" t="str">
        <f>'Part VIII-Threshold Criteria'!K252</f>
        <v>Jim Howell</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2542</v>
      </c>
      <c r="D1353" s="457"/>
      <c r="E1353" s="457"/>
      <c r="F1353" s="457"/>
      <c r="G1353" s="457"/>
      <c r="H1353" s="457"/>
      <c r="I1353" s="1314"/>
      <c r="J1353" s="1314"/>
      <c r="M1353" s="457"/>
      <c r="N1353" s="1640"/>
      <c r="O1353" s="1620"/>
      <c r="P1353" s="1621" t="str">
        <f>'Part VIII-Threshold Criteria'!P253</f>
        <v>Yes</v>
      </c>
      <c r="Q1353" s="1621">
        <f>'Part VIII-Threshold Criteria'!Q253</f>
        <v>0</v>
      </c>
    </row>
    <row r="1354" spans="1:17">
      <c r="A1354" s="1618" t="s">
        <v>748</v>
      </c>
      <c r="B1354" s="457" t="s">
        <v>3758</v>
      </c>
      <c r="D1354" s="457"/>
      <c r="E1354" s="457"/>
      <c r="F1354" s="457"/>
      <c r="M1354" s="457"/>
      <c r="N1354" s="1640"/>
      <c r="O1354" s="1620" t="s">
        <v>748</v>
      </c>
      <c r="P1354" s="1621">
        <f>'Part VIII-Threshold Criteria'!P255</f>
        <v>0</v>
      </c>
      <c r="Q1354" s="1621">
        <f>'Part VIII-Threshold Criteria'!Q255</f>
        <v>0</v>
      </c>
    </row>
    <row r="1355" spans="1:17">
      <c r="A1355" s="1618"/>
      <c r="B1355" s="457" t="s">
        <v>3757</v>
      </c>
      <c r="D1355" s="457"/>
      <c r="E1355" s="457"/>
      <c r="F1355" s="457"/>
      <c r="K1355" s="1577" t="str">
        <f>'Part VIII-Threshold Criteria'!K258</f>
        <v>Edward Foskey of Synergy Custom Services</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2114</v>
      </c>
      <c r="B1356" s="457" t="s">
        <v>3903</v>
      </c>
      <c r="D1356" s="457"/>
      <c r="E1356" s="457"/>
      <c r="F1356" s="457"/>
      <c r="G1356" s="457"/>
      <c r="H1356" s="457"/>
      <c r="I1356" s="1314"/>
      <c r="J1356" s="1314"/>
      <c r="K1356" s="1314"/>
      <c r="M1356" s="457"/>
      <c r="N1356" s="1640"/>
      <c r="O1356" s="1620" t="s">
        <v>2114</v>
      </c>
      <c r="P1356" s="1621" t="str">
        <f>'Part VIII-Threshold Criteria'!P259</f>
        <v>Yes</v>
      </c>
      <c r="Q1356" s="1621">
        <f>'Part VIII-Threshold Criteria'!Q259</f>
        <v>0</v>
      </c>
    </row>
    <row r="1357" spans="1:17" ht="12.75" customHeight="1">
      <c r="A1357" s="1618"/>
      <c r="B1357" s="1583" t="s">
        <v>3759</v>
      </c>
      <c r="C1357" s="1583"/>
      <c r="D1357" s="1583"/>
      <c r="E1357" s="1583"/>
      <c r="F1357" s="1583"/>
      <c r="G1357" s="1583"/>
      <c r="H1357" s="1051" t="s">
        <v>4112</v>
      </c>
      <c r="K1357" s="1314"/>
      <c r="M1357" s="457"/>
      <c r="N1357" s="1640"/>
      <c r="O1357" s="1620" t="s">
        <v>1736</v>
      </c>
      <c r="P1357" s="1621" t="str">
        <f>'Part VIII-Threshold Criteria'!P260</f>
        <v>Yes</v>
      </c>
      <c r="Q1357" s="1621">
        <f>'Part VIII-Threshold Criteria'!Q260</f>
        <v>0</v>
      </c>
    </row>
    <row r="1358" spans="1:17">
      <c r="A1358" s="1618"/>
      <c r="B1358" s="1583"/>
      <c r="C1358" s="1583"/>
      <c r="D1358" s="1583"/>
      <c r="E1358" s="1583"/>
      <c r="F1358" s="1583"/>
      <c r="G1358" s="1583"/>
      <c r="H1358" s="1051" t="s">
        <v>4113</v>
      </c>
      <c r="K1358" s="1314"/>
      <c r="M1358" s="457"/>
      <c r="N1358" s="1640"/>
      <c r="O1358" s="1620" t="s">
        <v>1737</v>
      </c>
      <c r="P1358" s="1621" t="str">
        <f>'Part VIII-Threshold Criteria'!P261</f>
        <v>Yes</v>
      </c>
      <c r="Q1358" s="1621">
        <f>'Part VIII-Threshold Criteria'!Q261</f>
        <v>0</v>
      </c>
    </row>
    <row r="1359" spans="1:17">
      <c r="A1359" s="1618"/>
      <c r="B1359" s="457"/>
      <c r="D1359" s="457"/>
      <c r="E1359" s="457"/>
      <c r="F1359" s="457"/>
      <c r="G1359" s="457"/>
      <c r="H1359" s="1051" t="s">
        <v>4114</v>
      </c>
      <c r="K1359" s="1314"/>
      <c r="M1359" s="457"/>
      <c r="N1359" s="1640"/>
      <c r="O1359" s="1620" t="s">
        <v>1738</v>
      </c>
      <c r="P1359" s="1621" t="str">
        <f>'Part VIII-Threshold Criteria'!P262</f>
        <v>Yes</v>
      </c>
      <c r="Q1359" s="1621">
        <f>'Part VIII-Threshold Criteria'!Q262</f>
        <v>0</v>
      </c>
    </row>
    <row r="1360" spans="1:17">
      <c r="A1360" s="1618"/>
      <c r="B1360" s="457"/>
      <c r="D1360" s="457"/>
      <c r="E1360" s="457"/>
      <c r="F1360" s="457"/>
      <c r="G1360" s="457"/>
      <c r="H1360" s="1051" t="s">
        <v>4115</v>
      </c>
      <c r="K1360" s="1314"/>
      <c r="M1360" s="457"/>
      <c r="N1360" s="1640"/>
      <c r="O1360" s="1620" t="s">
        <v>2364</v>
      </c>
      <c r="P1360" s="1621" t="str">
        <f>'Part VIII-Threshold Criteria'!P263</f>
        <v>Yes</v>
      </c>
      <c r="Q1360" s="1621">
        <f>'Part VIII-Threshold Criteria'!Q263</f>
        <v>0</v>
      </c>
    </row>
    <row r="1361" spans="1:17" ht="12.75" customHeight="1">
      <c r="A1361" s="1616" t="s">
        <v>1734</v>
      </c>
      <c r="B1361" s="1583" t="s">
        <v>4542</v>
      </c>
      <c r="C1361" s="1583"/>
      <c r="D1361" s="1583"/>
      <c r="E1361" s="1583"/>
      <c r="F1361" s="1583"/>
      <c r="G1361" s="1583"/>
      <c r="H1361" s="1583"/>
      <c r="I1361" s="1583"/>
      <c r="J1361" s="1583"/>
      <c r="K1361" s="1583"/>
      <c r="L1361" s="1583"/>
      <c r="M1361" s="1583"/>
      <c r="N1361" s="1583"/>
      <c r="O1361" s="1627" t="s">
        <v>1734</v>
      </c>
      <c r="P1361" s="1628" t="str">
        <f>'Part VIII-Threshold Criteria'!P264</f>
        <v>Agree</v>
      </c>
      <c r="Q1361" s="1628">
        <f>'Part VIII-Threshold Criteria'!Q264</f>
        <v>0</v>
      </c>
    </row>
    <row r="1362" spans="1:17">
      <c r="B1362" s="1525" t="s">
        <v>3751</v>
      </c>
      <c r="D1362" s="1525"/>
      <c r="E1362" s="1525"/>
      <c r="F1362" s="1525"/>
      <c r="G1362" s="1525"/>
      <c r="H1362" s="1524"/>
      <c r="I1362" s="1578"/>
      <c r="J1362" s="1578"/>
      <c r="K1362" s="1578"/>
      <c r="L1362" s="1495"/>
      <c r="M1362" s="1495"/>
      <c r="N1362" s="1495"/>
      <c r="O1362" s="1495"/>
      <c r="P1362" s="1495"/>
      <c r="Q1362" s="1495"/>
    </row>
    <row r="1363" spans="1:17" ht="81.599999999999994">
      <c r="A1363" s="1583" t="str">
        <f>'Part VIII-Threshold Criteria'!A272</f>
        <v>CRS as facilitator is experienced in all aspects of relocation including Resident Engagement.</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1865</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2250</v>
      </c>
      <c r="B1367" s="1312" t="s">
        <v>2662</v>
      </c>
      <c r="C1367" s="1312"/>
      <c r="D1367" s="1577"/>
      <c r="E1367" s="1577"/>
      <c r="F1367" s="1577"/>
      <c r="G1367" s="1577"/>
      <c r="H1367" s="1582"/>
      <c r="I1367" s="1582"/>
      <c r="J1367" s="1582"/>
      <c r="K1367" s="1582"/>
      <c r="L1367" s="1582"/>
      <c r="M1367" s="1582"/>
      <c r="O1367" s="1579" t="s">
        <v>1866</v>
      </c>
      <c r="P1367" s="1503">
        <f>'Part VIII-Threshold Criteria'!P276</f>
        <v>0</v>
      </c>
      <c r="Q1367" s="1503">
        <f>'Part VIII-Threshold Criteria'!Q276</f>
        <v>0</v>
      </c>
    </row>
    <row r="1369" spans="1:17" ht="12.75" customHeight="1">
      <c r="A1369" s="1616" t="s">
        <v>1982</v>
      </c>
      <c r="B1369" s="1583" t="s">
        <v>3905</v>
      </c>
      <c r="C1369" s="1583"/>
      <c r="D1369" s="1583"/>
      <c r="E1369" s="1583"/>
      <c r="F1369" s="1583"/>
      <c r="G1369" s="1583"/>
      <c r="H1369" s="1583"/>
      <c r="I1369" s="1583"/>
      <c r="J1369" s="1583"/>
      <c r="K1369" s="1583"/>
      <c r="L1369" s="1583"/>
      <c r="M1369" s="1583"/>
      <c r="N1369" s="1583"/>
      <c r="O1369" s="1627" t="s">
        <v>1982</v>
      </c>
      <c r="P1369" s="1628" t="str">
        <f>'Part VIII-Threshold Criteria'!P277</f>
        <v>Yes</v>
      </c>
      <c r="Q1369" s="1628">
        <f>'Part VIII-Threshold Criteria'!Q277</f>
        <v>0</v>
      </c>
    </row>
    <row r="1370" spans="1:17">
      <c r="A1370" s="1618"/>
      <c r="B1370" s="457" t="s">
        <v>3754</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1984</v>
      </c>
      <c r="B1371" s="457" t="s">
        <v>3755</v>
      </c>
      <c r="D1371" s="457"/>
      <c r="E1371" s="457"/>
      <c r="F1371" s="457"/>
      <c r="G1371" s="457"/>
      <c r="H1371" s="457"/>
      <c r="I1371" s="457"/>
      <c r="J1371" s="457"/>
      <c r="K1371" s="457"/>
      <c r="L1371" s="457"/>
      <c r="M1371" s="457"/>
      <c r="O1371" s="1620" t="s">
        <v>1984</v>
      </c>
      <c r="P1371" s="1621" t="str">
        <f>'Part VIII-Threshold Criteria'!P279</f>
        <v>Yes</v>
      </c>
      <c r="Q1371" s="1621">
        <f>'Part VIII-Threshold Criteria'!Q279</f>
        <v>0</v>
      </c>
    </row>
    <row r="1372" spans="1:17">
      <c r="A1372" s="1618" t="s">
        <v>748</v>
      </c>
      <c r="B1372" s="457" t="s">
        <v>4116</v>
      </c>
      <c r="D1372" s="457"/>
      <c r="E1372" s="457"/>
      <c r="F1372" s="457"/>
      <c r="G1372" s="457"/>
      <c r="H1372" s="457"/>
      <c r="I1372" s="457"/>
      <c r="J1372" s="457"/>
      <c r="K1372" s="457"/>
      <c r="L1372" s="457"/>
      <c r="M1372" s="457"/>
      <c r="O1372" s="1620" t="s">
        <v>748</v>
      </c>
      <c r="P1372" s="1621" t="str">
        <f>'Part VIII-Threshold Criteria'!P280</f>
        <v>Yes</v>
      </c>
      <c r="Q1372" s="1621">
        <f>'Part VIII-Threshold Criteria'!Q280</f>
        <v>0</v>
      </c>
    </row>
    <row r="1373" spans="1:17">
      <c r="A1373" s="1618"/>
      <c r="B1373" s="457" t="s">
        <v>3756</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2114</v>
      </c>
      <c r="B1374" s="457" t="s">
        <v>4117</v>
      </c>
      <c r="D1374" s="457"/>
      <c r="E1374" s="457"/>
      <c r="F1374" s="457"/>
      <c r="G1374" s="457"/>
      <c r="H1374" s="457"/>
      <c r="I1374" s="457"/>
      <c r="J1374" s="457"/>
      <c r="K1374" s="457"/>
      <c r="L1374" s="457"/>
      <c r="M1374" s="457"/>
      <c r="O1374" s="1620" t="s">
        <v>2114</v>
      </c>
      <c r="P1374" s="1621" t="str">
        <f>'Part VIII-Threshold Criteria'!P282</f>
        <v>Yes</v>
      </c>
      <c r="Q1374" s="1621">
        <f>'Part VIII-Threshold Criteria'!Q282</f>
        <v>0</v>
      </c>
    </row>
    <row r="1375" spans="1:17">
      <c r="B1375" s="1525" t="s">
        <v>3751</v>
      </c>
      <c r="D1375" s="1525"/>
      <c r="E1375" s="1525"/>
      <c r="F1375" s="1525"/>
      <c r="G1375" s="1525"/>
      <c r="H1375" s="1524"/>
      <c r="I1375" s="1578"/>
      <c r="J1375" s="1578"/>
      <c r="K1375" s="1578"/>
      <c r="L1375" s="1495"/>
      <c r="M1375" s="1495"/>
      <c r="N1375" s="1495"/>
      <c r="O1375" s="1495"/>
      <c r="P1375" s="1495"/>
      <c r="Q1375" s="1495"/>
    </row>
    <row r="1376" spans="1:17" ht="91.8">
      <c r="A1376" s="1583" t="str">
        <f>'Part VIII-Threshold Criteria'!A284</f>
        <v xml:space="preserve">Aerial photos are taken from Google. Site photos and adjacent property photos were taken April 18, 2019. </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1865</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4098</v>
      </c>
      <c r="B1379" s="1488" t="s">
        <v>2663</v>
      </c>
      <c r="C1379" s="1488"/>
      <c r="D1379" s="1582"/>
      <c r="E1379" s="1582"/>
      <c r="F1379" s="1582"/>
      <c r="G1379" s="1582"/>
      <c r="H1379" s="1582"/>
      <c r="I1379" s="1582"/>
      <c r="J1379" s="1582"/>
      <c r="K1379" s="1582"/>
      <c r="L1379" s="1582"/>
      <c r="M1379" s="1582"/>
      <c r="O1379" s="1579" t="s">
        <v>1866</v>
      </c>
      <c r="P1379" s="1503">
        <f>'Part VIII-Threshold Criteria'!P288</f>
        <v>0</v>
      </c>
      <c r="Q1379" s="1503">
        <f>'Part VIII-Threshold Criteria'!Q288</f>
        <v>0</v>
      </c>
    </row>
    <row r="1381" spans="1:17" ht="12.75" customHeight="1">
      <c r="A1381" s="1616" t="s">
        <v>1982</v>
      </c>
      <c r="B1381" s="1583" t="s">
        <v>2811</v>
      </c>
      <c r="C1381" s="1583"/>
      <c r="D1381" s="1583"/>
      <c r="E1381" s="1583"/>
      <c r="F1381" s="1583"/>
      <c r="G1381" s="1583"/>
      <c r="H1381" s="1583"/>
      <c r="I1381" s="1583"/>
      <c r="J1381" s="1583"/>
      <c r="K1381" s="1583"/>
      <c r="L1381" s="1583"/>
      <c r="M1381" s="1583"/>
      <c r="N1381" s="1583"/>
      <c r="O1381" s="1627" t="s">
        <v>1982</v>
      </c>
      <c r="P1381" s="1628" t="str">
        <f>'Part VIII-Threshold Criteria'!P289</f>
        <v>Agree</v>
      </c>
      <c r="Q1381" s="1628">
        <f>'Part VIII-Threshold Criteria'!Q289</f>
        <v>0</v>
      </c>
    </row>
    <row r="1382" spans="1:17" ht="12.75" customHeight="1">
      <c r="A1382" s="1616" t="s">
        <v>1984</v>
      </c>
      <c r="B1382" s="1583" t="s">
        <v>2812</v>
      </c>
      <c r="C1382" s="1583"/>
      <c r="D1382" s="1583"/>
      <c r="E1382" s="1583"/>
      <c r="F1382" s="1583"/>
      <c r="G1382" s="1583"/>
      <c r="H1382" s="1583"/>
      <c r="I1382" s="1583"/>
      <c r="J1382" s="1583"/>
      <c r="K1382" s="1583"/>
      <c r="L1382" s="1583"/>
      <c r="M1382" s="1583"/>
      <c r="N1382" s="1583"/>
      <c r="O1382" s="1627" t="s">
        <v>1984</v>
      </c>
      <c r="P1382" s="1628" t="str">
        <f>'Part VIII-Threshold Criteria'!P290</f>
        <v>Agree</v>
      </c>
      <c r="Q1382" s="1628">
        <f>'Part VIII-Threshold Criteria'!Q290</f>
        <v>0</v>
      </c>
    </row>
    <row r="1383" spans="1:17">
      <c r="B1383" s="1525" t="s">
        <v>3751</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1865</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4099</v>
      </c>
      <c r="B1387" s="1488" t="s">
        <v>2664</v>
      </c>
      <c r="C1387" s="1641"/>
      <c r="D1387" s="1642"/>
      <c r="E1387" s="1582"/>
      <c r="F1387" s="1582"/>
      <c r="G1387" s="1582"/>
      <c r="H1387" s="1582"/>
      <c r="I1387" s="1582"/>
      <c r="J1387" s="1582"/>
      <c r="K1387" s="1582"/>
      <c r="L1387" s="1582"/>
      <c r="M1387" s="1582"/>
      <c r="O1387" s="1579" t="s">
        <v>1866</v>
      </c>
      <c r="P1387" s="1503">
        <f>'Part VIII-Threshold Criteria'!P298</f>
        <v>0</v>
      </c>
      <c r="Q1387" s="1503">
        <f>'Part VIII-Threshold Criteria'!Q298</f>
        <v>0</v>
      </c>
    </row>
    <row r="1388" spans="1:17">
      <c r="A1388" s="1512" t="s">
        <v>1982</v>
      </c>
      <c r="B1388" s="1488" t="s">
        <v>4543</v>
      </c>
    </row>
    <row r="1389" spans="1:17" ht="12.75" customHeight="1">
      <c r="A1389" s="1616"/>
      <c r="B1389" s="1627" t="s">
        <v>1736</v>
      </c>
      <c r="C1389" s="1583" t="s">
        <v>3907</v>
      </c>
      <c r="D1389" s="1583"/>
      <c r="E1389" s="1583"/>
      <c r="F1389" s="1583"/>
      <c r="G1389" s="1583"/>
      <c r="H1389" s="1583"/>
      <c r="I1389" s="1583"/>
      <c r="J1389" s="1583"/>
      <c r="K1389" s="1583"/>
      <c r="L1389" s="1583"/>
      <c r="M1389" s="1583"/>
      <c r="N1389" s="1583"/>
      <c r="O1389" s="1627" t="s">
        <v>2724</v>
      </c>
      <c r="P1389" s="1628" t="str">
        <f>'Part VIII-Threshold Criteria'!P300</f>
        <v>Yes</v>
      </c>
      <c r="Q1389" s="1628">
        <f>'Part VIII-Threshold Criteria'!Q300</f>
        <v>0</v>
      </c>
    </row>
    <row r="1390" spans="1:17" ht="12.75" customHeight="1">
      <c r="A1390" s="1616"/>
      <c r="B1390" s="1627" t="s">
        <v>1737</v>
      </c>
      <c r="C1390" s="1583" t="s">
        <v>3908</v>
      </c>
      <c r="D1390" s="1583"/>
      <c r="E1390" s="1583"/>
      <c r="F1390" s="1583"/>
      <c r="G1390" s="1583"/>
      <c r="H1390" s="1583"/>
      <c r="I1390" s="1583"/>
      <c r="J1390" s="1583"/>
      <c r="K1390" s="1583"/>
      <c r="L1390" s="1583"/>
      <c r="M1390" s="1583"/>
      <c r="N1390" s="1583"/>
      <c r="O1390" s="1627" t="s">
        <v>1737</v>
      </c>
      <c r="P1390" s="1628" t="str">
        <f>'Part VIII-Threshold Criteria'!P301</f>
        <v>Yes</v>
      </c>
      <c r="Q1390" s="1628">
        <f>'Part VIII-Threshold Criteria'!Q301</f>
        <v>0</v>
      </c>
    </row>
    <row r="1391" spans="1:17" ht="12.75" customHeight="1">
      <c r="A1391" s="1616"/>
      <c r="B1391" s="1627" t="s">
        <v>1738</v>
      </c>
      <c r="C1391" s="1583" t="s">
        <v>3906</v>
      </c>
      <c r="D1391" s="1583"/>
      <c r="E1391" s="1583"/>
      <c r="F1391" s="1583"/>
      <c r="G1391" s="1583"/>
      <c r="H1391" s="1583"/>
      <c r="I1391" s="1583"/>
      <c r="J1391" s="1583"/>
      <c r="K1391" s="1583"/>
      <c r="L1391" s="1583"/>
      <c r="M1391" s="1583"/>
      <c r="N1391" s="1583"/>
      <c r="O1391" s="1627" t="s">
        <v>1738</v>
      </c>
      <c r="P1391" s="1628" t="str">
        <f>'Part VIII-Threshold Criteria'!P302</f>
        <v>Yes</v>
      </c>
      <c r="Q1391" s="1628">
        <f>'Part VIII-Threshold Criteria'!Q302</f>
        <v>0</v>
      </c>
    </row>
    <row r="1392" spans="1:17">
      <c r="A1392" s="1512" t="s">
        <v>1984</v>
      </c>
      <c r="B1392" s="1488" t="s">
        <v>3874</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1736</v>
      </c>
      <c r="C1393" s="1583" t="s">
        <v>4544</v>
      </c>
      <c r="D1393" s="1583"/>
      <c r="E1393" s="1583"/>
      <c r="F1393" s="1583"/>
      <c r="G1393" s="1583"/>
      <c r="H1393" s="1583"/>
      <c r="I1393" s="1604"/>
      <c r="J1393" s="1587" t="s">
        <v>3791</v>
      </c>
      <c r="K1393" s="1638"/>
      <c r="L1393" s="1638"/>
      <c r="M1393" s="1644" t="s">
        <v>3761</v>
      </c>
      <c r="N1393" s="1644"/>
      <c r="O1393" s="1314"/>
      <c r="P1393" s="1314"/>
      <c r="Q1393" s="1314"/>
    </row>
    <row r="1394" spans="1:17" ht="13.8">
      <c r="A1394" s="1333"/>
      <c r="B1394" s="1330"/>
      <c r="C1394" s="1583"/>
      <c r="D1394" s="1583"/>
      <c r="E1394" s="1583"/>
      <c r="F1394" s="1583"/>
      <c r="G1394" s="1583"/>
      <c r="H1394" s="1583"/>
      <c r="I1394" s="1334"/>
      <c r="J1394" s="1638"/>
      <c r="K1394" s="1638"/>
      <c r="L1394" s="1638"/>
      <c r="M1394" s="457" t="s">
        <v>3762</v>
      </c>
      <c r="N1394" s="1578" t="s">
        <v>3790</v>
      </c>
      <c r="O1394" s="1330"/>
      <c r="P1394" s="1343"/>
      <c r="Q1394" s="1330"/>
    </row>
    <row r="1395" spans="1:17" ht="13.8">
      <c r="A1395" s="1333"/>
      <c r="B1395" s="1330"/>
      <c r="C1395" s="1583"/>
      <c r="D1395" s="1583"/>
      <c r="E1395" s="1583"/>
      <c r="F1395" s="1583"/>
      <c r="G1395" s="1583"/>
      <c r="H1395" s="1583"/>
      <c r="I1395" s="457" t="s">
        <v>4119</v>
      </c>
      <c r="J1395" s="1330"/>
      <c r="K1395" s="1846">
        <f>'Part VIII-Threshold Criteria'!K306</f>
        <v>4</v>
      </c>
      <c r="L1395" s="1331" t="str">
        <f>IF(K1395&lt;M1395,"Check!!!","")</f>
        <v/>
      </c>
      <c r="M1395" s="1645">
        <f>'Part VIII-Threshold Criteria'!M306</f>
        <v>2</v>
      </c>
      <c r="N1395" s="1646">
        <f>'DCA Underwriting Assumptions'!$Q$139</f>
        <v>0.05</v>
      </c>
      <c r="O1395" s="1620" t="s">
        <v>3636</v>
      </c>
      <c r="P1395" s="1621" t="str">
        <f>'Part VIII-Threshold Criteria'!P306</f>
        <v>Yes</v>
      </c>
      <c r="Q1395" s="1621">
        <f>'Part VIII-Threshold Criteria'!Q306</f>
        <v>0</v>
      </c>
    </row>
    <row r="1396" spans="1:17" ht="13.8">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4545</v>
      </c>
      <c r="D1397" s="1583"/>
      <c r="E1397" s="1583"/>
      <c r="F1397" s="1583"/>
      <c r="G1397" s="1583"/>
      <c r="H1397" s="1583"/>
      <c r="I1397" s="1647" t="s">
        <v>4120</v>
      </c>
      <c r="J1397" s="1330"/>
      <c r="K1397" s="1846">
        <f>'Part VIII-Threshold Criteria'!K307</f>
        <v>2</v>
      </c>
      <c r="L1397" s="1331" t="str">
        <f>IF(K1397&lt;M1397,"Check!!!","")</f>
        <v/>
      </c>
      <c r="M1397" s="1645">
        <f>'Part VIII-Threshold Criteria'!M307</f>
        <v>2</v>
      </c>
      <c r="N1397" s="1646">
        <f>'DCA Underwriting Assumptions'!$Q$140</f>
        <v>0.4</v>
      </c>
      <c r="O1397" s="1620" t="s">
        <v>2116</v>
      </c>
      <c r="P1397" s="1621" t="str">
        <f>'Part VIII-Threshold Criteria'!P307</f>
        <v>Yes</v>
      </c>
      <c r="Q1397" s="1621">
        <f>'Part VIII-Threshold Criteria'!Q307</f>
        <v>0</v>
      </c>
    </row>
    <row r="1398" spans="1:17" ht="13.8">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1737</v>
      </c>
      <c r="C1399" s="1583" t="s">
        <v>4546</v>
      </c>
      <c r="D1399" s="1583"/>
      <c r="E1399" s="1583"/>
      <c r="F1399" s="1583"/>
      <c r="G1399" s="1583"/>
      <c r="H1399" s="1583"/>
      <c r="I1399" s="457" t="s">
        <v>4121</v>
      </c>
      <c r="J1399" s="1330"/>
      <c r="K1399" s="1846">
        <f>'Part VIII-Threshold Criteria'!K309</f>
        <v>1</v>
      </c>
      <c r="L1399" s="1331" t="str">
        <f>IF(K1399&lt;M1399,"Check!!!","")</f>
        <v/>
      </c>
      <c r="M1399" s="1645">
        <f>'Part VIII-Threshold Criteria'!M309</f>
        <v>1</v>
      </c>
      <c r="N1399" s="1646">
        <f>'DCA Underwriting Assumptions'!$Q$141</f>
        <v>0.02</v>
      </c>
      <c r="O1399" s="1620" t="s">
        <v>1737</v>
      </c>
      <c r="P1399" s="1621" t="str">
        <f>'Part VIII-Threshold Criteria'!P309</f>
        <v>Yes</v>
      </c>
      <c r="Q1399" s="1621">
        <f>'Part VIII-Threshold Criteria'!Q309</f>
        <v>0</v>
      </c>
    </row>
    <row r="1400" spans="1:17" ht="13.8">
      <c r="A1400" s="1333"/>
      <c r="B1400" s="1330"/>
      <c r="C1400" s="1583"/>
      <c r="D1400" s="1583"/>
      <c r="E1400" s="1583"/>
      <c r="F1400" s="1583"/>
      <c r="G1400" s="1583"/>
      <c r="H1400" s="1583"/>
      <c r="I1400" s="1330"/>
      <c r="J1400" s="457"/>
      <c r="K1400" s="457"/>
      <c r="L1400" s="1524"/>
      <c r="M1400" s="1578"/>
      <c r="N1400" s="1330"/>
      <c r="O1400" s="457"/>
      <c r="P1400" s="1578"/>
      <c r="Q1400" s="457"/>
    </row>
    <row r="1401" spans="1:17" ht="13.8">
      <c r="A1401" s="1333"/>
      <c r="B1401" s="1330"/>
      <c r="C1401" s="1583"/>
      <c r="D1401" s="1583"/>
      <c r="E1401" s="1583"/>
      <c r="F1401" s="1583"/>
      <c r="G1401" s="1583"/>
      <c r="H1401" s="1583"/>
      <c r="I1401" s="1330"/>
      <c r="J1401" s="1330"/>
      <c r="K1401" s="1330"/>
      <c r="L1401" s="1330"/>
      <c r="M1401" s="1330"/>
      <c r="N1401" s="1330"/>
      <c r="O1401" s="1524"/>
      <c r="P1401" s="1620"/>
      <c r="Q1401" s="1330"/>
    </row>
    <row r="1402" spans="1:17" ht="13.8">
      <c r="A1402" s="1512" t="s">
        <v>748</v>
      </c>
      <c r="B1402" s="1488" t="s">
        <v>3875</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3638</v>
      </c>
      <c r="C1403" s="1583"/>
      <c r="D1403" s="1583"/>
      <c r="E1403" s="1583"/>
      <c r="F1403" s="1583"/>
      <c r="G1403" s="1583"/>
      <c r="H1403" s="1583"/>
      <c r="I1403" s="1583"/>
      <c r="J1403" s="1583"/>
      <c r="K1403" s="1583"/>
      <c r="L1403" s="1583"/>
      <c r="M1403" s="1583"/>
      <c r="N1403" s="1583"/>
      <c r="O1403" s="1627" t="s">
        <v>748</v>
      </c>
      <c r="P1403" s="1628" t="str">
        <f>'Part VIII-Threshold Criteria'!P313</f>
        <v>Yes</v>
      </c>
      <c r="Q1403" s="1628">
        <f>'Part VIII-Threshold Criteria'!Q313</f>
        <v>0</v>
      </c>
    </row>
    <row r="1404" spans="1:17">
      <c r="A1404" s="1314"/>
      <c r="B1404" s="1604" t="s">
        <v>3639</v>
      </c>
      <c r="C1404" s="1314"/>
      <c r="D1404" s="1604"/>
      <c r="E1404" s="1604"/>
      <c r="F1404" s="1604"/>
      <c r="G1404" s="1604"/>
      <c r="H1404" s="1604"/>
      <c r="I1404" s="1604" t="s">
        <v>3760</v>
      </c>
      <c r="J1404" s="1604"/>
      <c r="K1404" s="1604"/>
      <c r="L1404" s="1604" t="str">
        <f>'Part VIII-Threshold Criteria'!L314</f>
        <v>Terracon- Melissa Middleton</v>
      </c>
      <c r="M1404" s="1604">
        <f>'Part VIII-Threshold Criteria'!M314</f>
        <v>0</v>
      </c>
      <c r="N1404" s="1604">
        <f>'Part VIII-Threshold Criteria'!N314</f>
        <v>0</v>
      </c>
      <c r="O1404" s="1604"/>
      <c r="P1404" s="1604"/>
      <c r="Q1404" s="1604"/>
    </row>
    <row r="1405" spans="1:17" ht="12.75" customHeight="1">
      <c r="A1405" s="1596"/>
      <c r="B1405" s="1627" t="s">
        <v>1736</v>
      </c>
      <c r="C1405" s="1583" t="s">
        <v>3637</v>
      </c>
      <c r="D1405" s="1583"/>
      <c r="E1405" s="1583"/>
      <c r="F1405" s="1583"/>
      <c r="G1405" s="1583"/>
      <c r="H1405" s="1583"/>
      <c r="I1405" s="1583"/>
      <c r="J1405" s="1583"/>
      <c r="K1405" s="1583"/>
      <c r="L1405" s="1583"/>
      <c r="M1405" s="1583"/>
      <c r="N1405" s="1583"/>
      <c r="O1405" s="1627" t="s">
        <v>3642</v>
      </c>
      <c r="P1405" s="1628" t="str">
        <f>'Part VIII-Threshold Criteria'!P315</f>
        <v>Yes</v>
      </c>
      <c r="Q1405" s="1628">
        <f>'Part VIII-Threshold Criteria'!Q315</f>
        <v>0</v>
      </c>
    </row>
    <row r="1406" spans="1:17" ht="12.75" customHeight="1">
      <c r="A1406" s="1596"/>
      <c r="B1406" s="1627" t="s">
        <v>1737</v>
      </c>
      <c r="C1406" s="1583" t="s">
        <v>3682</v>
      </c>
      <c r="D1406" s="1583"/>
      <c r="E1406" s="1583"/>
      <c r="F1406" s="1583"/>
      <c r="G1406" s="1583"/>
      <c r="H1406" s="1583"/>
      <c r="I1406" s="1583"/>
      <c r="J1406" s="1583"/>
      <c r="K1406" s="1583"/>
      <c r="L1406" s="1583"/>
      <c r="M1406" s="1583"/>
      <c r="N1406" s="1583"/>
      <c r="O1406" s="1627" t="s">
        <v>3643</v>
      </c>
      <c r="P1406" s="1628" t="str">
        <f>'Part VIII-Threshold Criteria'!P316</f>
        <v>Yes</v>
      </c>
      <c r="Q1406" s="1628">
        <f>'Part VIII-Threshold Criteria'!Q316</f>
        <v>0</v>
      </c>
    </row>
    <row r="1407" spans="1:17" ht="12.75" customHeight="1">
      <c r="A1407" s="1596"/>
      <c r="B1407" s="1627" t="s">
        <v>1738</v>
      </c>
      <c r="C1407" s="1583" t="s">
        <v>3640</v>
      </c>
      <c r="D1407" s="1583"/>
      <c r="E1407" s="1583"/>
      <c r="F1407" s="1583"/>
      <c r="G1407" s="1583"/>
      <c r="H1407" s="1583"/>
      <c r="I1407" s="1583"/>
      <c r="J1407" s="1583"/>
      <c r="K1407" s="1583"/>
      <c r="L1407" s="1583"/>
      <c r="M1407" s="1583"/>
      <c r="N1407" s="1583"/>
      <c r="O1407" s="1627" t="s">
        <v>3644</v>
      </c>
      <c r="P1407" s="1628" t="str">
        <f>'Part VIII-Threshold Criteria'!P317</f>
        <v>Yes</v>
      </c>
      <c r="Q1407" s="1628">
        <f>'Part VIII-Threshold Criteria'!Q317</f>
        <v>0</v>
      </c>
    </row>
    <row r="1408" spans="1:17" ht="12.75" customHeight="1">
      <c r="A1408" s="1596"/>
      <c r="B1408" s="1627" t="s">
        <v>2364</v>
      </c>
      <c r="C1408" s="1583" t="s">
        <v>3641</v>
      </c>
      <c r="D1408" s="1583"/>
      <c r="E1408" s="1583"/>
      <c r="F1408" s="1583"/>
      <c r="G1408" s="1583"/>
      <c r="H1408" s="1583"/>
      <c r="I1408" s="1583"/>
      <c r="J1408" s="1583"/>
      <c r="K1408" s="1583"/>
      <c r="L1408" s="1583"/>
      <c r="M1408" s="1583"/>
      <c r="N1408" s="1583"/>
      <c r="O1408" s="1627" t="s">
        <v>3645</v>
      </c>
      <c r="P1408" s="1628" t="str">
        <f>'Part VIII-Threshold Criteria'!P318</f>
        <v>Yes</v>
      </c>
      <c r="Q1408" s="1628">
        <f>'Part VIII-Threshold Criteria'!Q318</f>
        <v>0</v>
      </c>
    </row>
    <row r="1409" spans="1:17">
      <c r="B1409" s="1525" t="s">
        <v>3751</v>
      </c>
      <c r="D1409" s="1525"/>
      <c r="E1409" s="1525"/>
      <c r="F1409" s="1525"/>
      <c r="G1409" s="1525"/>
      <c r="H1409" s="1524"/>
      <c r="I1409" s="1578"/>
      <c r="J1409" s="1578"/>
      <c r="K1409" s="1578"/>
      <c r="L1409" s="1495"/>
      <c r="M1409" s="1495"/>
      <c r="N1409" s="1495"/>
      <c r="O1409" s="1495"/>
      <c r="P1409" s="1495"/>
      <c r="Q1409" s="1495"/>
    </row>
    <row r="1410" spans="1:17" ht="224.4">
      <c r="A1410" s="1583" t="str">
        <f>'Part VIII-Threshold Criteria'!A320</f>
        <v>Plans for the rehabilitation of Woodstone Apartments include improvements to all accessibility features. Sidewalks, striping, parking, and equipment within the units will all be improved and updated to meet the highest standard of accessibility.</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1865</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4097</v>
      </c>
      <c r="B1413" s="1312" t="s">
        <v>2665</v>
      </c>
      <c r="C1413" s="1312"/>
      <c r="D1413" s="1312"/>
      <c r="E1413" s="1312"/>
      <c r="F1413" s="1312"/>
      <c r="G1413" s="1312"/>
      <c r="H1413" s="1582"/>
      <c r="I1413" s="1582"/>
      <c r="J1413" s="1582"/>
      <c r="K1413" s="1582"/>
      <c r="L1413" s="1582"/>
      <c r="M1413" s="1582"/>
      <c r="O1413" s="1579" t="s">
        <v>1866</v>
      </c>
      <c r="P1413" s="1503">
        <f>'Part VIII-Threshold Criteria'!P323</f>
        <v>0</v>
      </c>
      <c r="Q1413" s="1503">
        <f>'Part VIII-Threshold Criteria'!Q323</f>
        <v>0</v>
      </c>
    </row>
    <row r="1414" spans="1:17">
      <c r="B1414" s="1051" t="s">
        <v>2251</v>
      </c>
      <c r="P1414" s="1621" t="str">
        <f>'Part VIII-Threshold Criteria'!P324</f>
        <v>Yes</v>
      </c>
      <c r="Q1414" s="1621">
        <f>'Part VIII-Threshold Criteria'!Q324</f>
        <v>0</v>
      </c>
    </row>
    <row r="1415" spans="1:17">
      <c r="B1415" s="1635" t="s">
        <v>2210</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1982</v>
      </c>
      <c r="B1416" s="1612" t="s">
        <v>4547</v>
      </c>
      <c r="D1416" s="1524"/>
      <c r="E1416" s="1524"/>
      <c r="F1416" s="1524"/>
      <c r="G1416" s="1524"/>
      <c r="H1416" s="1524"/>
      <c r="I1416" s="1524"/>
      <c r="J1416" s="1524"/>
      <c r="K1416" s="1524"/>
      <c r="L1416" s="1524"/>
      <c r="M1416" s="1524"/>
      <c r="N1416" s="1627"/>
    </row>
    <row r="1417" spans="1:17" ht="12.75" customHeight="1">
      <c r="B1417" s="1583" t="s">
        <v>2879</v>
      </c>
      <c r="C1417" s="1583"/>
      <c r="D1417" s="1583"/>
      <c r="E1417" s="1583"/>
      <c r="F1417" s="1583"/>
      <c r="G1417" s="1583"/>
      <c r="H1417" s="1583"/>
      <c r="I1417" s="1583"/>
      <c r="J1417" s="1583"/>
      <c r="K1417" s="1583"/>
      <c r="L1417" s="1583"/>
      <c r="M1417" s="1583"/>
      <c r="N1417" s="1583"/>
      <c r="O1417" s="1627" t="s">
        <v>1982</v>
      </c>
      <c r="P1417" s="1628" t="str">
        <f>'Part VIII-Threshold Criteria'!P327</f>
        <v>Yes</v>
      </c>
      <c r="Q1417" s="1628">
        <f>'Part VIII-Threshold Criteria'!Q327</f>
        <v>0</v>
      </c>
    </row>
    <row r="1418" spans="1:17">
      <c r="A1418" s="1616" t="s">
        <v>1984</v>
      </c>
      <c r="B1418" s="1577" t="s">
        <v>460</v>
      </c>
      <c r="D1418" s="1577"/>
      <c r="E1418" s="1577"/>
      <c r="F1418" s="1577"/>
      <c r="G1418" s="1577"/>
      <c r="H1418" s="1577"/>
      <c r="I1418" s="1577"/>
      <c r="J1418" s="1577"/>
      <c r="K1418" s="1577"/>
      <c r="L1418" s="1577"/>
      <c r="M1418" s="1577"/>
      <c r="O1418" s="1627" t="s">
        <v>1984</v>
      </c>
      <c r="P1418" s="1495"/>
      <c r="Q1418" s="1495"/>
    </row>
    <row r="1419" spans="1:17" ht="12.75" customHeight="1">
      <c r="B1419" s="1631" t="s">
        <v>1736</v>
      </c>
      <c r="C1419" s="1604" t="s">
        <v>1130</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1736</v>
      </c>
      <c r="P1419" s="1628" t="str">
        <f>'Part VIII-Threshold Criteria'!P329</f>
        <v>Yes</v>
      </c>
      <c r="Q1419" s="1628">
        <f>'Part VIII-Threshold Criteria'!Q329</f>
        <v>0</v>
      </c>
    </row>
    <row r="1420" spans="1:17" ht="12.75" customHeight="1">
      <c r="B1420" s="1631" t="s">
        <v>1737</v>
      </c>
      <c r="C1420" s="1583" t="s">
        <v>1131</v>
      </c>
      <c r="D1420" s="1583"/>
      <c r="E1420" s="1583"/>
      <c r="F1420" s="1583"/>
      <c r="G1420" s="1583" t="str">
        <f>'Part VIII-Threshold Criteria'!G330</f>
        <v xml:space="preserve">Fiber cement siding or other 30 year warranty product installed on all exterior wall surfaces not already required to be brick </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1737</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748</v>
      </c>
      <c r="B1422" s="1648" t="s">
        <v>4548</v>
      </c>
      <c r="C1422" s="1648"/>
      <c r="D1422" s="1648"/>
      <c r="E1422" s="1648"/>
      <c r="F1422" s="1648"/>
      <c r="G1422" s="1648"/>
      <c r="H1422" s="1648"/>
      <c r="I1422" s="1648"/>
      <c r="J1422" s="1648"/>
      <c r="K1422" s="1648"/>
      <c r="L1422" s="1648"/>
      <c r="M1422" s="1648"/>
      <c r="N1422" s="1648"/>
      <c r="O1422" s="1636" t="s">
        <v>748</v>
      </c>
      <c r="P1422" s="1495"/>
      <c r="Q1422" s="1495"/>
    </row>
    <row r="1423" spans="1:17" ht="61.2">
      <c r="A1423" s="1619"/>
      <c r="B1423" s="1631" t="s">
        <v>1736</v>
      </c>
      <c r="C1423" s="1583" t="str">
        <f>'Part VIII-Threshold Criteria'!C333</f>
        <v>Waiver for minumum countertop frontage: 3 bedroom kitchen</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1736</v>
      </c>
      <c r="P1423" s="1628" t="str">
        <f>'Part VIII-Threshold Criteria'!P333</f>
        <v>Yes</v>
      </c>
      <c r="Q1423" s="1628">
        <f>'Part VIII-Threshold Criteria'!Q333</f>
        <v>0</v>
      </c>
    </row>
    <row r="1424" spans="1:17" ht="61.2">
      <c r="A1424" s="1619"/>
      <c r="B1424" s="1631" t="s">
        <v>1737</v>
      </c>
      <c r="C1424" s="1583" t="str">
        <f>'Part VIII-Threshold Criteria'!C334</f>
        <v>Waiver for minimum bedroom size: 2 and 3 bedroom units</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1737</v>
      </c>
      <c r="P1424" s="1628" t="str">
        <f>'Part VIII-Threshold Criteria'!P334</f>
        <v>Yes</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3751</v>
      </c>
      <c r="D1426" s="1525"/>
      <c r="E1426" s="1525"/>
      <c r="F1426" s="1525"/>
      <c r="G1426" s="1525"/>
      <c r="H1426" s="1524"/>
      <c r="I1426" s="1578"/>
      <c r="J1426" s="1578"/>
      <c r="K1426" s="1578"/>
      <c r="L1426" s="1495"/>
      <c r="M1426" s="1495"/>
      <c r="N1426" s="1495"/>
      <c r="O1426" s="1495"/>
      <c r="P1426" s="1495"/>
      <c r="Q1426" s="1495"/>
    </row>
    <row r="1427" spans="1:17" ht="122.4">
      <c r="A1427" s="1583" t="str">
        <f>'Part VIII-Threshold Criteria'!A337</f>
        <v>An additional waiver for the covering of exposed stairs is also included. All Architectural Standards Waivers have been approved by DCA</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1865</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4100</v>
      </c>
      <c r="B1430" s="1488" t="s">
        <v>4138</v>
      </c>
      <c r="C1430" s="1488"/>
      <c r="D1430" s="1582"/>
      <c r="E1430" s="1582"/>
      <c r="F1430" s="1582"/>
      <c r="G1430" s="1582"/>
      <c r="H1430" s="1582"/>
      <c r="O1430" s="1579" t="s">
        <v>1866</v>
      </c>
      <c r="P1430" s="1503">
        <f>'Part VIII-Threshold Criteria'!P340</f>
        <v>0</v>
      </c>
      <c r="Q1430" s="1503">
        <f>'Part VIII-Threshold Criteria'!Q340</f>
        <v>0</v>
      </c>
    </row>
    <row r="1431" spans="1:17">
      <c r="A1431" s="1618" t="s">
        <v>1982</v>
      </c>
      <c r="B1431" s="1051" t="s">
        <v>3910</v>
      </c>
      <c r="O1431" s="1627" t="s">
        <v>1982</v>
      </c>
      <c r="P1431" s="1621" t="str">
        <f>'Part VIII-Threshold Criteria'!P341</f>
        <v>Yes</v>
      </c>
      <c r="Q1431" s="1621">
        <f>'Part VIII-Threshold Criteria'!Q341</f>
        <v>0</v>
      </c>
    </row>
    <row r="1432" spans="1:17">
      <c r="A1432" s="1616" t="s">
        <v>1984</v>
      </c>
      <c r="B1432" s="1051" t="s">
        <v>4086</v>
      </c>
      <c r="O1432" s="1627" t="s">
        <v>1984</v>
      </c>
      <c r="P1432" s="1621" t="str">
        <f>'Part VIII-Threshold Criteria'!P342</f>
        <v>Yes</v>
      </c>
      <c r="Q1432" s="1621">
        <f>'Part VIII-Threshold Criteria'!Q342</f>
        <v>0</v>
      </c>
    </row>
    <row r="1433" spans="1:17">
      <c r="A1433" s="1616" t="s">
        <v>748</v>
      </c>
      <c r="B1433" s="1051" t="s">
        <v>2349</v>
      </c>
      <c r="O1433" s="1627" t="s">
        <v>748</v>
      </c>
      <c r="P1433" s="1621" t="str">
        <f>'Part VIII-Threshold Criteria'!P343</f>
        <v>No</v>
      </c>
      <c r="Q1433" s="1621">
        <f>'Part VIII-Threshold Criteria'!Q343</f>
        <v>0</v>
      </c>
    </row>
    <row r="1434" spans="1:17">
      <c r="A1434" s="1618" t="s">
        <v>2114</v>
      </c>
      <c r="B1434" s="1051" t="s">
        <v>3839</v>
      </c>
      <c r="O1434" s="1620" t="s">
        <v>2114</v>
      </c>
      <c r="P1434" s="1621" t="str">
        <f>'Part VIII-Threshold Criteria'!P344</f>
        <v>No</v>
      </c>
      <c r="Q1434" s="1621">
        <f>'Part VIII-Threshold Criteria'!Q344</f>
        <v>0</v>
      </c>
    </row>
    <row r="1435" spans="1:17">
      <c r="A1435" s="1616" t="s">
        <v>1734</v>
      </c>
      <c r="B1435" s="1051" t="s">
        <v>2882</v>
      </c>
      <c r="N1435" s="1627" t="s">
        <v>1734</v>
      </c>
      <c r="O1435" s="1534" t="str">
        <f>'Part VIII-Threshold Criteria'!O345</f>
        <v>Certifying Developer</v>
      </c>
      <c r="P1435" s="1534">
        <f>'Part VIII-Threshold Criteria'!P345</f>
        <v>0</v>
      </c>
      <c r="Q1435" s="1534">
        <f>'Part VIII-Threshold Criteria'!Q345</f>
        <v>0</v>
      </c>
    </row>
    <row r="1436" spans="1:17">
      <c r="A1436" s="1616" t="s">
        <v>1735</v>
      </c>
      <c r="B1436" s="1633" t="s">
        <v>2350</v>
      </c>
      <c r="N1436" s="1627" t="s">
        <v>1735</v>
      </c>
      <c r="O1436" s="1534" t="str">
        <f>'Part VIII-Threshold Criteria'!O346</f>
        <v>&lt;&lt; Select Designation &gt;&gt;</v>
      </c>
      <c r="P1436" s="1534">
        <f>'Part VIII-Threshold Criteria'!P346</f>
        <v>0</v>
      </c>
      <c r="Q1436" s="1534">
        <f>'Part VIII-Threshold Criteria'!Q346</f>
        <v>0</v>
      </c>
    </row>
    <row r="1437" spans="1:17">
      <c r="B1437" s="1525" t="s">
        <v>3751</v>
      </c>
      <c r="D1437" s="1525"/>
      <c r="E1437" s="1525"/>
      <c r="F1437" s="1525"/>
      <c r="G1437" s="1525"/>
      <c r="H1437" s="1524"/>
      <c r="I1437" s="1578"/>
      <c r="J1437" s="1578"/>
      <c r="K1437" s="1578"/>
      <c r="L1437" s="1495"/>
      <c r="M1437" s="1495"/>
      <c r="N1437" s="1495"/>
      <c r="O1437" s="1495"/>
      <c r="P1437" s="1495"/>
      <c r="Q1437" s="1495"/>
    </row>
    <row r="1438" spans="1:17" ht="173.4">
      <c r="A1438" s="1583" t="str">
        <f>'Part VIII-Threshold Criteria'!A348</f>
        <v>Olympia Construction, Inc. is the Certifying Entity for the project. The Determination Letter from DCA is included with the application. Olympia is considered qualified and in good standing.</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1865</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4101</v>
      </c>
      <c r="B1441" s="1312" t="s">
        <v>2666</v>
      </c>
      <c r="C1441" s="1312"/>
      <c r="D1441" s="1577"/>
      <c r="E1441" s="1582"/>
      <c r="F1441" s="1582"/>
      <c r="G1441" s="1582"/>
      <c r="H1441" s="1582"/>
      <c r="I1441" s="1582"/>
      <c r="J1441" s="1582"/>
      <c r="K1441" s="1582"/>
      <c r="L1441" s="1582"/>
      <c r="M1441" s="1582"/>
      <c r="O1441" s="1579" t="s">
        <v>1866</v>
      </c>
      <c r="P1441" s="1503">
        <f>'Part VIII-Threshold Criteria'!P351</f>
        <v>0</v>
      </c>
      <c r="Q1441" s="1503">
        <f>'Part VIII-Threshold Criteria'!Q351</f>
        <v>0</v>
      </c>
    </row>
    <row r="1442" spans="1:17">
      <c r="A1442" s="1616" t="s">
        <v>1982</v>
      </c>
      <c r="B1442" s="1604" t="s">
        <v>3654</v>
      </c>
      <c r="D1442" s="1604"/>
      <c r="E1442" s="1604"/>
      <c r="F1442" s="1604"/>
      <c r="G1442" s="1604"/>
      <c r="H1442" s="1604"/>
      <c r="I1442" s="1604"/>
      <c r="J1442" s="1604"/>
      <c r="K1442" s="1604"/>
      <c r="L1442" s="1604"/>
      <c r="M1442" s="1604"/>
      <c r="N1442" s="1604"/>
      <c r="O1442" s="1627" t="s">
        <v>1982</v>
      </c>
      <c r="P1442" s="1621" t="str">
        <f>'Part VIII-Threshold Criteria'!P352</f>
        <v>Yes</v>
      </c>
      <c r="Q1442" s="1621">
        <f>'Part VIII-Threshold Criteria'!Q352</f>
        <v>0</v>
      </c>
    </row>
    <row r="1443" spans="1:17">
      <c r="A1443" s="1616" t="s">
        <v>1984</v>
      </c>
      <c r="B1443" s="1604" t="s">
        <v>3848</v>
      </c>
      <c r="D1443" s="1604"/>
      <c r="E1443" s="1604"/>
      <c r="F1443" s="1604"/>
      <c r="G1443" s="1604"/>
      <c r="H1443" s="1604"/>
      <c r="I1443" s="1604"/>
      <c r="J1443" s="1604"/>
      <c r="K1443" s="1604"/>
      <c r="L1443" s="1604"/>
      <c r="M1443" s="1604"/>
      <c r="N1443" s="1604"/>
      <c r="O1443" s="1627" t="s">
        <v>1984</v>
      </c>
      <c r="P1443" s="1621" t="str">
        <f>'Part VIII-Threshold Criteria'!P353</f>
        <v>No</v>
      </c>
      <c r="Q1443" s="1621">
        <f>'Part VIII-Threshold Criteria'!Q353</f>
        <v>0</v>
      </c>
    </row>
    <row r="1444" spans="1:17" ht="12.75" customHeight="1">
      <c r="A1444" s="1616" t="s">
        <v>748</v>
      </c>
      <c r="B1444" s="1583" t="s">
        <v>4087</v>
      </c>
      <c r="C1444" s="1583"/>
      <c r="D1444" s="1583"/>
      <c r="E1444" s="1583"/>
      <c r="F1444" s="1583"/>
      <c r="G1444" s="1583"/>
      <c r="H1444" s="1583"/>
      <c r="I1444" s="1583"/>
      <c r="J1444" s="1583"/>
      <c r="K1444" s="1583"/>
      <c r="L1444" s="1583"/>
      <c r="M1444" s="1583"/>
      <c r="N1444" s="1583"/>
      <c r="O1444" s="1627" t="s">
        <v>748</v>
      </c>
      <c r="P1444" s="1621" t="str">
        <f>'Part VIII-Threshold Criteria'!P354</f>
        <v>Yes</v>
      </c>
      <c r="Q1444" s="1621">
        <f>'Part VIII-Threshold Criteria'!Q354</f>
        <v>0</v>
      </c>
    </row>
    <row r="1445" spans="1:17">
      <c r="B1445" s="1525" t="s">
        <v>3751</v>
      </c>
      <c r="D1445" s="1525"/>
      <c r="E1445" s="1525"/>
      <c r="F1445" s="1525"/>
      <c r="G1445" s="1525"/>
      <c r="H1445" s="1524"/>
      <c r="I1445" s="1578"/>
      <c r="J1445" s="1578"/>
      <c r="K1445" s="1578"/>
      <c r="L1445" s="1495"/>
      <c r="M1445" s="1495"/>
      <c r="N1445" s="1495"/>
      <c r="O1445" s="1495"/>
      <c r="P1445" s="1495"/>
      <c r="Q1445" s="1495"/>
    </row>
    <row r="1446" spans="1:17" ht="173.4">
      <c r="A1446" s="1583" t="str">
        <f>'Part VIII-Threshold Criteria'!A356</f>
        <v>The Determination for this project is "Qualified" with Olympia Construction, Inc. as the Certifying Developer. No changes have been made to the development ownership/developer structure.</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1865</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4104</v>
      </c>
      <c r="B1450" s="1312" t="s">
        <v>4077</v>
      </c>
      <c r="C1450" s="1312"/>
      <c r="D1450" s="1312"/>
      <c r="E1450" s="1312"/>
      <c r="F1450" s="1312"/>
      <c r="G1450" s="1312"/>
      <c r="H1450" s="1582"/>
      <c r="I1450" s="1582"/>
      <c r="J1450" s="1582"/>
      <c r="K1450" s="1582"/>
      <c r="L1450" s="1582"/>
      <c r="M1450" s="1582"/>
      <c r="O1450" s="1579" t="s">
        <v>1866</v>
      </c>
      <c r="P1450" s="1503">
        <f>'Part VIII-Threshold Criteria'!P360</f>
        <v>0</v>
      </c>
      <c r="Q1450" s="1503">
        <f>'Part VIII-Threshold Criteria'!Q360</f>
        <v>0</v>
      </c>
    </row>
    <row r="1451" spans="1:17">
      <c r="A1451" s="1618" t="s">
        <v>1982</v>
      </c>
      <c r="B1451" s="457" t="s">
        <v>4078</v>
      </c>
      <c r="D1451" s="1319"/>
      <c r="E1451" s="1319"/>
      <c r="F1451" s="1319"/>
      <c r="G1451" s="1319"/>
      <c r="H1451" s="1620" t="s">
        <v>1982</v>
      </c>
      <c r="I1451" s="1577">
        <f>'Part VIII-Threshold Criteria'!I361</f>
        <v>0</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1984</v>
      </c>
      <c r="B1452" s="457" t="s">
        <v>4079</v>
      </c>
      <c r="D1452" s="1319"/>
      <c r="E1452" s="1319"/>
      <c r="F1452" s="1319"/>
      <c r="G1452" s="1319"/>
      <c r="H1452" s="1627" t="s">
        <v>1984</v>
      </c>
      <c r="I1452" s="1577">
        <f>'Part VIII-Threshold Criteria'!I362</f>
        <v>0</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748</v>
      </c>
      <c r="B1453" s="1550" t="s">
        <v>4069</v>
      </c>
      <c r="C1453" s="1550"/>
      <c r="D1453" s="1550"/>
      <c r="E1453" s="1550"/>
      <c r="F1453" s="1550"/>
      <c r="G1453" s="1550"/>
      <c r="H1453" s="1550"/>
      <c r="I1453" s="1550"/>
      <c r="J1453" s="1550"/>
      <c r="K1453" s="1550"/>
      <c r="L1453" s="1550"/>
      <c r="M1453" s="1550"/>
      <c r="N1453" s="1550"/>
      <c r="O1453" s="1627" t="s">
        <v>748</v>
      </c>
      <c r="P1453" s="1628">
        <f>'Part VIII-Threshold Criteria'!P363</f>
        <v>0</v>
      </c>
      <c r="Q1453" s="1628">
        <f>'Part VIII-Threshold Criteria'!Q363</f>
        <v>0</v>
      </c>
    </row>
    <row r="1454" spans="1:17" ht="12.75" customHeight="1">
      <c r="A1454" s="1616" t="s">
        <v>2114</v>
      </c>
      <c r="B1454" s="1583" t="s">
        <v>4070</v>
      </c>
      <c r="C1454" s="1583"/>
      <c r="D1454" s="1583"/>
      <c r="E1454" s="1583"/>
      <c r="F1454" s="1583"/>
      <c r="G1454" s="1583"/>
      <c r="H1454" s="1583"/>
      <c r="I1454" s="1583"/>
      <c r="J1454" s="1583"/>
      <c r="K1454" s="1583"/>
      <c r="L1454" s="1583"/>
      <c r="M1454" s="1583"/>
      <c r="N1454" s="1583"/>
      <c r="O1454" s="1620" t="s">
        <v>2114</v>
      </c>
      <c r="P1454" s="1628">
        <f>'Part VIII-Threshold Criteria'!P364</f>
        <v>0</v>
      </c>
      <c r="Q1454" s="1628">
        <f>'Part VIII-Threshold Criteria'!Q364</f>
        <v>0</v>
      </c>
    </row>
    <row r="1455" spans="1:17">
      <c r="A1455" s="1616" t="s">
        <v>1734</v>
      </c>
      <c r="B1455" s="457" t="s">
        <v>4071</v>
      </c>
      <c r="D1455" s="457"/>
      <c r="E1455" s="457"/>
      <c r="F1455" s="457"/>
      <c r="G1455" s="457"/>
      <c r="H1455" s="457"/>
      <c r="I1455" s="457"/>
      <c r="J1455" s="457"/>
      <c r="K1455" s="457"/>
      <c r="L1455" s="457"/>
      <c r="M1455" s="457"/>
      <c r="O1455" s="1627" t="s">
        <v>1734</v>
      </c>
      <c r="P1455" s="1621">
        <f>'Part VIII-Threshold Criteria'!P365</f>
        <v>0</v>
      </c>
      <c r="Q1455" s="1621">
        <f>'Part VIII-Threshold Criteria'!Q365</f>
        <v>0</v>
      </c>
    </row>
    <row r="1456" spans="1:17" ht="12.75" customHeight="1">
      <c r="A1456" s="1616" t="s">
        <v>1735</v>
      </c>
      <c r="B1456" s="1583" t="s">
        <v>4072</v>
      </c>
      <c r="C1456" s="1583"/>
      <c r="D1456" s="1583"/>
      <c r="E1456" s="1583"/>
      <c r="F1456" s="1583"/>
      <c r="G1456" s="1583"/>
      <c r="H1456" s="1583"/>
      <c r="I1456" s="1583"/>
      <c r="J1456" s="1583"/>
      <c r="K1456" s="1583"/>
      <c r="L1456" s="1583"/>
      <c r="M1456" s="1583"/>
      <c r="N1456" s="1583"/>
      <c r="O1456" s="1627" t="s">
        <v>1735</v>
      </c>
      <c r="P1456" s="1628">
        <f>'Part VIII-Threshold Criteria'!P366</f>
        <v>0</v>
      </c>
      <c r="Q1456" s="1628">
        <f>'Part VIII-Threshold Criteria'!Q366</f>
        <v>0</v>
      </c>
    </row>
    <row r="1457" spans="1:17">
      <c r="A1457" s="1616" t="s">
        <v>1946</v>
      </c>
      <c r="B1457" s="1604" t="s">
        <v>4073</v>
      </c>
      <c r="C1457" s="1596"/>
      <c r="D1457" s="1583"/>
      <c r="E1457" s="1583"/>
      <c r="F1457" s="1583"/>
      <c r="G1457" s="1583"/>
      <c r="H1457" s="1583"/>
      <c r="I1457" s="1583"/>
      <c r="J1457" s="1583"/>
      <c r="K1457" s="1583"/>
      <c r="L1457" s="1583"/>
      <c r="M1457" s="1583"/>
      <c r="N1457" s="1583"/>
      <c r="O1457" s="1627" t="s">
        <v>1946</v>
      </c>
      <c r="P1457" s="1628">
        <f>'Part VIII-Threshold Criteria'!P367</f>
        <v>0</v>
      </c>
      <c r="Q1457" s="1628">
        <f>'Part VIII-Threshold Criteria'!Q367</f>
        <v>0</v>
      </c>
    </row>
    <row r="1458" spans="1:17">
      <c r="A1458" s="1596"/>
      <c r="B1458" s="1596"/>
      <c r="C1458" s="1635" t="s">
        <v>4549</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3368</v>
      </c>
      <c r="B1459" s="1583" t="s">
        <v>4074</v>
      </c>
      <c r="C1459" s="1583"/>
      <c r="D1459" s="1583"/>
      <c r="E1459" s="1583"/>
      <c r="F1459" s="1583"/>
      <c r="G1459" s="1583"/>
      <c r="H1459" s="1583"/>
      <c r="I1459" s="1583"/>
      <c r="J1459" s="1583"/>
      <c r="K1459" s="1583"/>
      <c r="L1459" s="1583"/>
      <c r="M1459" s="1583"/>
      <c r="N1459" s="1583"/>
      <c r="O1459" s="1627" t="s">
        <v>3368</v>
      </c>
      <c r="P1459" s="1628">
        <f>'Part VIII-Threshold Criteria'!P369</f>
        <v>0</v>
      </c>
      <c r="Q1459" s="1628">
        <f>'Part VIII-Threshold Criteria'!Q369</f>
        <v>0</v>
      </c>
    </row>
    <row r="1460" spans="1:17" ht="12.75" customHeight="1">
      <c r="A1460" s="1616" t="s">
        <v>615</v>
      </c>
      <c r="B1460" s="1583" t="s">
        <v>4075</v>
      </c>
      <c r="C1460" s="1583"/>
      <c r="D1460" s="1583"/>
      <c r="E1460" s="1583"/>
      <c r="F1460" s="1583"/>
      <c r="G1460" s="1583"/>
      <c r="H1460" s="1583"/>
      <c r="I1460" s="1583"/>
      <c r="J1460" s="1583"/>
      <c r="K1460" s="1583"/>
      <c r="L1460" s="1583"/>
      <c r="M1460" s="1583"/>
      <c r="N1460" s="1583"/>
      <c r="O1460" s="1627" t="s">
        <v>615</v>
      </c>
      <c r="P1460" s="1628">
        <f>'Part VIII-Threshold Criteria'!P370</f>
        <v>0</v>
      </c>
      <c r="Q1460" s="1628">
        <f>'Part VIII-Threshold Criteria'!Q370</f>
        <v>0</v>
      </c>
    </row>
    <row r="1461" spans="1:17">
      <c r="B1461" s="1525" t="s">
        <v>3751</v>
      </c>
      <c r="D1461" s="1525"/>
      <c r="E1461" s="1525"/>
      <c r="F1461" s="1525"/>
      <c r="G1461" s="1525"/>
      <c r="H1461" s="1524"/>
      <c r="I1461" s="1578"/>
      <c r="J1461" s="1578"/>
      <c r="K1461" s="1578"/>
      <c r="L1461" s="1495"/>
      <c r="M1461" s="1495"/>
      <c r="N1461" s="1495"/>
      <c r="O1461" s="1495"/>
      <c r="P1461" s="1495"/>
      <c r="Q1461" s="1495"/>
    </row>
    <row r="1462" spans="1:17" ht="71.400000000000006">
      <c r="A1462" s="1583" t="str">
        <f>'Part VIII-Threshold Criteria'!A372</f>
        <v xml:space="preserve">All entities are considered for-profit entities. This section does not apply. </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1865</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4105</v>
      </c>
      <c r="B1466" s="1312" t="s">
        <v>3911</v>
      </c>
      <c r="C1466" s="1312"/>
      <c r="D1466" s="1312"/>
      <c r="E1466" s="1312"/>
      <c r="F1466" s="1312"/>
      <c r="G1466" s="1312"/>
      <c r="H1466" s="1582"/>
      <c r="I1466" s="1582"/>
      <c r="J1466" s="1582"/>
      <c r="O1466" s="1579" t="s">
        <v>1866</v>
      </c>
      <c r="P1466" s="1503">
        <f>'Part VIII-Threshold Criteria'!P376</f>
        <v>0</v>
      </c>
      <c r="Q1466" s="1503">
        <f>'Part VIII-Threshold Criteria'!Q376</f>
        <v>0</v>
      </c>
    </row>
    <row r="1467" spans="1:17">
      <c r="A1467" s="1618" t="s">
        <v>1982</v>
      </c>
      <c r="B1467" s="1577" t="s">
        <v>3913</v>
      </c>
      <c r="C1467" s="1314"/>
      <c r="D1467" s="457"/>
      <c r="E1467" s="457"/>
      <c r="F1467" s="457"/>
      <c r="G1467" s="457"/>
      <c r="H1467" s="457"/>
      <c r="I1467" s="457"/>
      <c r="J1467" s="457"/>
      <c r="K1467" s="457"/>
      <c r="L1467" s="457"/>
      <c r="M1467" s="457"/>
      <c r="N1467" s="457"/>
      <c r="O1467" s="457"/>
      <c r="P1467" s="457"/>
      <c r="Q1467" s="457"/>
    </row>
    <row r="1468" spans="1:17">
      <c r="A1468" s="1618"/>
      <c r="B1468" s="457" t="s">
        <v>1736</v>
      </c>
      <c r="C1468" s="457" t="s">
        <v>4122</v>
      </c>
      <c r="D1468" s="457"/>
      <c r="E1468" s="457"/>
      <c r="F1468" s="457"/>
      <c r="G1468" s="1577" t="str">
        <f>'Part VIII-Threshold Criteria'!J378</f>
        <v>Woodstone Apartments</v>
      </c>
      <c r="H1468" s="1577">
        <f>'Part VIII-Threshold Criteria'!K378</f>
        <v>0</v>
      </c>
      <c r="I1468" s="1577">
        <f>'Part VIII-Threshold Criteria'!L378</f>
        <v>0</v>
      </c>
      <c r="J1468" s="1578" t="s">
        <v>3920</v>
      </c>
      <c r="K1468" s="1577" t="str">
        <f>'Part VIII-Threshold Criteria'!J379</f>
        <v>n/a</v>
      </c>
      <c r="L1468" s="1577">
        <f>'Part VIII-Threshold Criteria'!K379</f>
        <v>0</v>
      </c>
      <c r="M1468" s="1577">
        <f>'Part VIII-Threshold Criteria'!L379</f>
        <v>0</v>
      </c>
      <c r="N1468" s="457" t="s">
        <v>3912</v>
      </c>
      <c r="O1468" s="457"/>
      <c r="P1468" s="1577" t="str">
        <f>'Part VIII-Threshold Criteria'!P378</f>
        <v>96-091</v>
      </c>
      <c r="Q1468" s="1577">
        <f>'Part VIII-Threshold Criteria'!Q378</f>
        <v>0</v>
      </c>
    </row>
    <row r="1469" spans="1:17">
      <c r="A1469" s="1314"/>
      <c r="B1469" s="457" t="s">
        <v>1737</v>
      </c>
      <c r="C1469" s="457" t="s">
        <v>3914</v>
      </c>
      <c r="D1469" s="1314"/>
      <c r="E1469" s="1314"/>
      <c r="F1469" s="1314"/>
      <c r="G1469" s="1314"/>
      <c r="H1469" s="1314"/>
      <c r="I1469" s="1620" t="s">
        <v>1737</v>
      </c>
      <c r="J1469" s="1847">
        <f>'Part VIII-Threshold Criteria'!J380</f>
        <v>36109</v>
      </c>
      <c r="K1469" s="1847">
        <f>'Part VIII-Threshold Criteria'!K380</f>
        <v>0</v>
      </c>
      <c r="L1469" s="1314"/>
      <c r="M1469" s="1314"/>
      <c r="N1469" s="1314"/>
      <c r="O1469" s="1314"/>
      <c r="P1469" s="1314"/>
      <c r="Q1469" s="1314"/>
    </row>
    <row r="1470" spans="1:17">
      <c r="A1470" s="1618"/>
      <c r="B1470" s="457" t="s">
        <v>1738</v>
      </c>
      <c r="C1470" s="457" t="s">
        <v>3915</v>
      </c>
      <c r="D1470" s="1313"/>
      <c r="E1470" s="1550"/>
      <c r="F1470" s="1649" t="str">
        <f>'Part VIII-Threshold Criteria'!J381</f>
        <v>Rural</v>
      </c>
      <c r="G1470" s="1649">
        <f>'Part VIII-Threshold Criteria'!K381</f>
        <v>0</v>
      </c>
      <c r="H1470" s="1517" t="s">
        <v>3916</v>
      </c>
      <c r="I1470" s="1550"/>
      <c r="J1470" s="1550"/>
      <c r="K1470" s="1550"/>
      <c r="L1470" s="1550"/>
      <c r="M1470" s="1550"/>
      <c r="N1470" s="1550"/>
      <c r="O1470" s="1620" t="s">
        <v>1738</v>
      </c>
      <c r="P1470" s="1621" t="str">
        <f>'Part VIII-Threshold Criteria'!P381</f>
        <v>Yes</v>
      </c>
      <c r="Q1470" s="1621">
        <f>'Part VIII-Threshold Criteria'!Q381</f>
        <v>0</v>
      </c>
    </row>
    <row r="1471" spans="1:17">
      <c r="A1471" s="1618"/>
      <c r="B1471" s="457" t="s">
        <v>2364</v>
      </c>
      <c r="C1471" s="457" t="s">
        <v>3917</v>
      </c>
      <c r="D1471" s="1314"/>
      <c r="E1471" s="1550"/>
      <c r="F1471" s="1550"/>
      <c r="G1471" s="1550"/>
      <c r="H1471" s="1550"/>
      <c r="I1471" s="1550"/>
      <c r="J1471" s="1650">
        <f>'Part VIII-Threshold Criteria'!J382</f>
        <v>752783</v>
      </c>
      <c r="K1471" s="1650">
        <f>'Part VIII-Threshold Criteria'!K382</f>
        <v>0</v>
      </c>
      <c r="L1471" s="1650">
        <f>'Part VIII-Threshold Criteria'!L382</f>
        <v>0</v>
      </c>
      <c r="M1471" s="1650">
        <f>'Part VIII-Threshold Criteria'!M382</f>
        <v>0</v>
      </c>
      <c r="N1471" s="457" t="s">
        <v>3927</v>
      </c>
      <c r="O1471" s="1620"/>
      <c r="P1471" s="1621" t="str">
        <f>'Part VIII-Threshold Criteria'!J383</f>
        <v>Yes</v>
      </c>
      <c r="Q1471" s="1621">
        <f>'Part VIII-Threshold Criteria'!L383</f>
        <v>0</v>
      </c>
    </row>
    <row r="1472" spans="1:17">
      <c r="A1472" s="1618"/>
      <c r="B1472" s="457" t="s">
        <v>1548</v>
      </c>
      <c r="C1472" s="457" t="s">
        <v>3918</v>
      </c>
      <c r="D1472" s="1314"/>
      <c r="E1472" s="457"/>
      <c r="F1472" s="1650">
        <f>'Part VIII-Threshold Criteria'!F384</f>
        <v>369181</v>
      </c>
      <c r="G1472" s="1650">
        <f>'Part VIII-Threshold Criteria'!G384</f>
        <v>0</v>
      </c>
      <c r="H1472" s="457" t="s">
        <v>3919</v>
      </c>
      <c r="I1472" s="457"/>
      <c r="J1472" s="1577" t="str">
        <f>IF(F1472&gt;'DCA Underwriting Assumptions'!$Q$131, "Request exceeds DCA per project maximum for set aside!!!","")</f>
        <v/>
      </c>
      <c r="K1472" s="457"/>
      <c r="L1472" s="457"/>
      <c r="M1472" s="1314"/>
      <c r="N1472" s="1314"/>
      <c r="O1472" s="1620" t="s">
        <v>1548</v>
      </c>
      <c r="P1472" s="1621" t="str">
        <f>'Part VIII-Threshold Criteria'!P384</f>
        <v>Yes</v>
      </c>
      <c r="Q1472" s="1621">
        <f>'Part VIII-Threshold Criteria'!Q384</f>
        <v>0</v>
      </c>
    </row>
    <row r="1473" spans="1:17">
      <c r="A1473" s="1618"/>
      <c r="B1473" s="457" t="s">
        <v>1549</v>
      </c>
      <c r="C1473" s="457" t="s">
        <v>3921</v>
      </c>
      <c r="D1473" s="1314"/>
      <c r="E1473" s="457"/>
      <c r="F1473" s="457"/>
      <c r="G1473" s="457"/>
      <c r="H1473" s="457" t="s">
        <v>3590</v>
      </c>
      <c r="I1473" s="457"/>
      <c r="J1473" s="1650">
        <f>'Part VIII-Threshold Criteria'!J385</f>
        <v>368040</v>
      </c>
      <c r="K1473" s="1650">
        <f>'Part VIII-Threshold Criteria'!K385</f>
        <v>0</v>
      </c>
      <c r="L1473" s="457" t="s">
        <v>3922</v>
      </c>
      <c r="M1473" s="1650">
        <f>'Part VIII-Threshold Criteria'!L385</f>
        <v>0</v>
      </c>
      <c r="N1473" s="1650">
        <f>'Part VIII-Threshold Criteria'!M385</f>
        <v>0</v>
      </c>
      <c r="O1473" s="1314"/>
      <c r="P1473" s="1314"/>
      <c r="Q1473" s="1314"/>
    </row>
    <row r="1474" spans="1:17">
      <c r="A1474" s="1314"/>
      <c r="B1474" s="457" t="s">
        <v>98</v>
      </c>
      <c r="C1474" s="457" t="s">
        <v>3923</v>
      </c>
      <c r="D1474" s="1314"/>
      <c r="E1474" s="1550"/>
      <c r="F1474" s="1550"/>
      <c r="G1474" s="1550"/>
      <c r="H1474" s="1550"/>
      <c r="I1474" s="1550"/>
      <c r="J1474" s="1550"/>
      <c r="K1474" s="1550"/>
      <c r="L1474" s="1550"/>
      <c r="M1474" s="1550"/>
      <c r="N1474" s="1550"/>
      <c r="O1474" s="1620" t="s">
        <v>98</v>
      </c>
      <c r="P1474" s="1621" t="str">
        <f>'Part VIII-Threshold Criteria'!P386</f>
        <v>Yes</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1984</v>
      </c>
      <c r="B1476" s="1577" t="s">
        <v>3924</v>
      </c>
      <c r="C1476" s="1314"/>
      <c r="D1476" s="1550"/>
      <c r="E1476" s="1550"/>
      <c r="F1476" s="1550"/>
      <c r="G1476" s="1550"/>
      <c r="H1476" s="1550"/>
      <c r="I1476" s="1314"/>
      <c r="J1476" s="457" t="s">
        <v>3929</v>
      </c>
      <c r="K1476" s="457"/>
      <c r="L1476" s="457"/>
      <c r="M1476" s="457"/>
      <c r="N1476" s="1550" t="s">
        <v>3926</v>
      </c>
      <c r="O1476" s="1550"/>
      <c r="P1476" s="1550"/>
      <c r="Q1476" s="1550"/>
    </row>
    <row r="1477" spans="1:17">
      <c r="A1477" s="1314"/>
      <c r="B1477" s="457" t="s">
        <v>1736</v>
      </c>
      <c r="C1477" s="1524" t="s">
        <v>3925</v>
      </c>
      <c r="D1477" s="1314"/>
      <c r="E1477" s="1517"/>
      <c r="F1477" s="1517"/>
      <c r="G1477" s="1517"/>
      <c r="H1477" s="1517"/>
      <c r="I1477" s="1314"/>
      <c r="J1477" s="1650">
        <f>'Part VIII-Threshold Criteria'!J390</f>
        <v>1038000</v>
      </c>
      <c r="K1477" s="1650">
        <f>'Part VIII-Threshold Criteria'!K390</f>
        <v>0</v>
      </c>
      <c r="L1477" s="1650">
        <f>'Part VIII-Threshold Criteria'!L390</f>
        <v>0</v>
      </c>
      <c r="M1477" s="1650">
        <f>'Part VIII-Threshold Criteria'!M390</f>
        <v>0</v>
      </c>
      <c r="N1477" s="1651">
        <f>IF(J1477="","",J1471/J1477)</f>
        <v>0.72522447013487479</v>
      </c>
      <c r="O1477" s="1651" t="e">
        <f>IF(L1477="","",L1471/L1477)</f>
        <v>#DIV/0!</v>
      </c>
      <c r="P1477" s="1621" t="str">
        <f>'Part VIII-Threshold Criteria'!P388</f>
        <v>Yes</v>
      </c>
      <c r="Q1477" s="1621">
        <f>'Part VIII-Threshold Criteria'!Q388</f>
        <v>0</v>
      </c>
    </row>
    <row r="1478" spans="1:17">
      <c r="A1478" s="1314"/>
      <c r="B1478" s="457" t="s">
        <v>1737</v>
      </c>
      <c r="C1478" s="457" t="s">
        <v>3928</v>
      </c>
      <c r="D1478" s="1314"/>
      <c r="E1478" s="1550"/>
      <c r="F1478" s="1550"/>
      <c r="G1478" s="1550"/>
      <c r="H1478" s="1550"/>
      <c r="I1478" s="1314"/>
      <c r="J1478" s="1314"/>
      <c r="K1478" s="1314"/>
      <c r="L1478" s="1314"/>
      <c r="M1478" s="1314"/>
      <c r="N1478" s="1550"/>
      <c r="O1478" s="1620" t="s">
        <v>1737</v>
      </c>
      <c r="P1478" s="1652">
        <f>'Part VIII-Threshold Criteria'!P390</f>
        <v>27.5</v>
      </c>
      <c r="Q1478" s="1652">
        <f>'Part VIII-Threshold Criteria'!Q390</f>
        <v>0</v>
      </c>
    </row>
    <row r="1479" spans="1:17">
      <c r="A1479" s="1314"/>
      <c r="B1479" s="457" t="s">
        <v>1738</v>
      </c>
      <c r="C1479" s="457" t="s">
        <v>3930</v>
      </c>
      <c r="D1479" s="1314"/>
      <c r="E1479" s="1550"/>
      <c r="F1479" s="1550"/>
      <c r="G1479" s="1550"/>
      <c r="H1479" s="1550"/>
      <c r="I1479" s="1314"/>
      <c r="J1479" s="1314"/>
      <c r="K1479" s="1314"/>
      <c r="L1479" s="1314"/>
      <c r="M1479" s="1550"/>
      <c r="N1479" s="1550"/>
      <c r="O1479" s="1620" t="s">
        <v>1738</v>
      </c>
      <c r="P1479" s="1621" t="str">
        <f>'Part VIII-Threshold Criteria'!P392</f>
        <v>Yes</v>
      </c>
      <c r="Q1479" s="1621">
        <f>'Part VIII-Threshold Criteria'!Q392</f>
        <v>0</v>
      </c>
    </row>
    <row r="1480" spans="1:17">
      <c r="B1480" s="1525" t="s">
        <v>3751</v>
      </c>
      <c r="D1480" s="1525"/>
      <c r="E1480" s="1525"/>
      <c r="F1480" s="1525"/>
      <c r="G1480" s="1525"/>
      <c r="H1480" s="1524"/>
      <c r="I1480" s="1578"/>
      <c r="J1480" s="1578"/>
      <c r="K1480" s="1578"/>
      <c r="L1480" s="1495"/>
      <c r="M1480" s="1495"/>
      <c r="N1480" s="1495"/>
      <c r="O1480" s="1495"/>
      <c r="P1480" s="1495"/>
      <c r="Q1480" s="1495"/>
    </row>
    <row r="1481" spans="1:17" ht="409.6">
      <c r="A1481" s="1583" t="str">
        <f>'Part VIII-Threshold Criteria'!A394</f>
        <v xml:space="preserve">In a letter from DCA: "The request for a Pre-Application Designation of the Rural HOME Preservation Set Aside by [Woodstone Apartments II] is Granted"
XXII. B. 3): The Project Team has only completed one successful deal under the Rural HOME Preservation Set Aside; however the Project Team has completed numerous successful Tax Credit deals with DCA as well as other state housing agencies. Applicant is unsure which number DCA requires for this item.  </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1865</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4106</v>
      </c>
      <c r="B1486" s="1312" t="s">
        <v>2683</v>
      </c>
      <c r="C1486" s="1312"/>
      <c r="D1486" s="1312"/>
      <c r="E1486" s="1312"/>
      <c r="F1486" s="1312"/>
      <c r="G1486" s="1312"/>
      <c r="H1486" s="1582"/>
      <c r="I1486" s="1582"/>
      <c r="J1486" s="1582"/>
      <c r="O1486" s="1579" t="s">
        <v>1866</v>
      </c>
      <c r="P1486" s="1503">
        <f>'Part VIII-Threshold Criteria'!P399</f>
        <v>0</v>
      </c>
      <c r="Q1486" s="1503">
        <f>'Part VIII-Threshold Criteria'!Q399</f>
        <v>0</v>
      </c>
    </row>
    <row r="1487" spans="1:17">
      <c r="A1487" s="1618" t="s">
        <v>1982</v>
      </c>
      <c r="B1487" s="457" t="s">
        <v>1033</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2670</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1984</v>
      </c>
      <c r="B1488" s="457" t="s">
        <v>3462</v>
      </c>
      <c r="D1488" s="457"/>
      <c r="E1488" s="457"/>
      <c r="F1488" s="457"/>
      <c r="G1488" s="457"/>
      <c r="H1488" s="457"/>
      <c r="I1488" s="457"/>
      <c r="J1488" s="457"/>
      <c r="K1488" s="457"/>
      <c r="L1488" s="1524"/>
      <c r="M1488" s="1524"/>
      <c r="O1488" s="1620" t="s">
        <v>1984</v>
      </c>
      <c r="P1488" s="1621">
        <f>'Part VIII-Threshold Criteria'!P401</f>
        <v>0</v>
      </c>
      <c r="Q1488" s="1621">
        <f>'Part VIII-Threshold Criteria'!Q401</f>
        <v>0</v>
      </c>
    </row>
    <row r="1489" spans="1:17" ht="12.75" customHeight="1">
      <c r="A1489" s="1616" t="s">
        <v>748</v>
      </c>
      <c r="B1489" s="1583" t="s">
        <v>3472</v>
      </c>
      <c r="C1489" s="1583"/>
      <c r="D1489" s="1583"/>
      <c r="E1489" s="1583"/>
      <c r="F1489" s="1583"/>
      <c r="G1489" s="1583"/>
      <c r="H1489" s="1583"/>
      <c r="I1489" s="1583"/>
      <c r="J1489" s="1583"/>
      <c r="K1489" s="1583"/>
      <c r="L1489" s="1583"/>
      <c r="M1489" s="1583"/>
      <c r="N1489" s="1583"/>
      <c r="O1489" s="1627" t="s">
        <v>748</v>
      </c>
      <c r="P1489" s="1628">
        <f>'Part VIII-Threshold Criteria'!P402</f>
        <v>0</v>
      </c>
      <c r="Q1489" s="1628">
        <f>'Part VIII-Threshold Criteria'!Q402</f>
        <v>0</v>
      </c>
    </row>
    <row r="1490" spans="1:17">
      <c r="A1490" s="1618" t="s">
        <v>2114</v>
      </c>
      <c r="B1490" s="1051" t="s">
        <v>3695</v>
      </c>
      <c r="G1490" s="1517"/>
      <c r="H1490" s="1517"/>
      <c r="I1490" s="1517"/>
      <c r="J1490" s="1524" t="s">
        <v>3696</v>
      </c>
      <c r="L1490" s="1517"/>
      <c r="M1490" s="1653">
        <f>'Part III-Sources of Funds'!E1105</f>
        <v>0</v>
      </c>
      <c r="N1490" s="1653"/>
      <c r="O1490" s="1620" t="s">
        <v>2114</v>
      </c>
      <c r="P1490" s="1621">
        <f>'Part VIII-Threshold Criteria'!P403</f>
        <v>0</v>
      </c>
      <c r="Q1490" s="1621">
        <f>'Part VIII-Threshold Criteria'!Q403</f>
        <v>0</v>
      </c>
    </row>
    <row r="1491" spans="1:17">
      <c r="B1491" s="1525" t="s">
        <v>3751</v>
      </c>
      <c r="D1491" s="1525"/>
      <c r="E1491" s="1525"/>
      <c r="F1491" s="1525"/>
      <c r="G1491" s="1525"/>
      <c r="H1491" s="1524"/>
      <c r="I1491" s="1578"/>
      <c r="J1491" s="1578"/>
      <c r="K1491" s="1578"/>
      <c r="L1491" s="1495"/>
      <c r="M1491" s="1495"/>
      <c r="N1491" s="1495"/>
      <c r="O1491" s="1495"/>
      <c r="P1491" s="1495"/>
      <c r="Q1491" s="1495"/>
    </row>
    <row r="1492" spans="1:17" ht="51">
      <c r="A1492" s="1583" t="str">
        <f>'Part VIII-Threshold Criteria'!A405</f>
        <v>Applicant is not applying under the CHDO Set Aside</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1865</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4107</v>
      </c>
      <c r="B1496" s="1312" t="s">
        <v>2667</v>
      </c>
      <c r="C1496" s="1312"/>
      <c r="D1496" s="1312"/>
      <c r="E1496" s="1582"/>
      <c r="G1496" s="1604" t="s">
        <v>700</v>
      </c>
      <c r="H1496" s="1582"/>
      <c r="I1496" s="1582"/>
      <c r="J1496" s="1582"/>
      <c r="K1496" s="1582"/>
      <c r="L1496" s="1582"/>
      <c r="M1496" s="1582"/>
      <c r="O1496" s="1579" t="s">
        <v>1866</v>
      </c>
      <c r="P1496" s="1503">
        <f>'Part VIII-Threshold Criteria'!P409</f>
        <v>0</v>
      </c>
      <c r="Q1496" s="1503">
        <f>'Part VIII-Threshold Criteria'!Q409</f>
        <v>0</v>
      </c>
    </row>
    <row r="1497" spans="1:17">
      <c r="A1497" s="1618" t="s">
        <v>1982</v>
      </c>
      <c r="B1497" s="457" t="s">
        <v>2672</v>
      </c>
      <c r="D1497" s="1583"/>
      <c r="E1497" s="1583"/>
      <c r="H1497" s="1604"/>
      <c r="O1497" s="1620" t="s">
        <v>1982</v>
      </c>
      <c r="P1497" s="1621" t="str">
        <f>'Part VIII-Threshold Criteria'!P410</f>
        <v>Yes</v>
      </c>
      <c r="Q1497" s="1621">
        <f>'Part VIII-Threshold Criteria'!Q410</f>
        <v>0</v>
      </c>
    </row>
    <row r="1498" spans="1:17">
      <c r="A1498" s="1618" t="s">
        <v>1984</v>
      </c>
      <c r="B1498" s="457" t="s">
        <v>3580</v>
      </c>
      <c r="D1498" s="1583"/>
      <c r="E1498" s="1583"/>
      <c r="O1498" s="1620" t="s">
        <v>1984</v>
      </c>
      <c r="P1498" s="1621" t="str">
        <f>'Part VIII-Threshold Criteria'!P411</f>
        <v>No</v>
      </c>
      <c r="Q1498" s="1621">
        <f>'Part VIII-Threshold Criteria'!Q411</f>
        <v>0</v>
      </c>
    </row>
    <row r="1499" spans="1:17">
      <c r="A1499" s="1618" t="s">
        <v>748</v>
      </c>
      <c r="B1499" s="457" t="s">
        <v>4076</v>
      </c>
      <c r="D1499" s="1583"/>
      <c r="E1499" s="1583"/>
      <c r="O1499" s="1620" t="s">
        <v>748</v>
      </c>
      <c r="P1499" s="1621" t="str">
        <f>'Part VIII-Threshold Criteria'!P412</f>
        <v>No</v>
      </c>
      <c r="Q1499" s="1621">
        <f>'Part VIII-Threshold Criteria'!Q412</f>
        <v>0</v>
      </c>
    </row>
    <row r="1500" spans="1:17">
      <c r="A1500" s="1618" t="s">
        <v>2114</v>
      </c>
      <c r="B1500" s="457" t="s">
        <v>3581</v>
      </c>
      <c r="E1500" s="1604"/>
      <c r="O1500" s="1620" t="s">
        <v>2114</v>
      </c>
      <c r="P1500" s="1621" t="str">
        <f>'Part VIII-Threshold Criteria'!P413</f>
        <v>No</v>
      </c>
      <c r="Q1500" s="1621">
        <f>'Part VIII-Threshold Criteria'!Q413</f>
        <v>0</v>
      </c>
    </row>
    <row r="1501" spans="1:17">
      <c r="A1501" s="1618" t="s">
        <v>1734</v>
      </c>
      <c r="B1501" s="457" t="s">
        <v>2078</v>
      </c>
      <c r="E1501" s="1604"/>
      <c r="G1501" s="1620" t="s">
        <v>1734</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t="str">
        <f>'Part VIII-Threshold Criteria'!P414</f>
        <v>No</v>
      </c>
      <c r="Q1501" s="1621">
        <f>'Part VIII-Threshold Criteria'!Q414</f>
        <v>0</v>
      </c>
    </row>
    <row r="1502" spans="1:17">
      <c r="B1502" s="1525" t="s">
        <v>3751</v>
      </c>
      <c r="D1502" s="1525"/>
      <c r="E1502" s="1525"/>
      <c r="F1502" s="1525"/>
      <c r="G1502" s="1525"/>
      <c r="H1502" s="1524"/>
      <c r="I1502" s="1578"/>
      <c r="J1502" s="1578"/>
      <c r="K1502" s="1578"/>
      <c r="L1502" s="1495"/>
      <c r="M1502" s="1495"/>
      <c r="N1502" s="1495"/>
      <c r="O1502" s="1495"/>
      <c r="P1502" s="1495"/>
      <c r="Q1502" s="1495"/>
    </row>
    <row r="1503" spans="1:17" ht="183.6">
      <c r="A1503" s="1583" t="str">
        <f>'Part VIII-Threshold Criteria'!A416</f>
        <v xml:space="preserve">Evidence of Credit Eligibility for Acquisition can be found in the application. The applicant and all members of the ownership structure are qualified to participate in the Tax Credit Program. </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1865</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4108</v>
      </c>
      <c r="B1507" s="1312" t="s">
        <v>2668</v>
      </c>
      <c r="C1507" s="1312"/>
      <c r="D1507" s="1312"/>
      <c r="E1507" s="1312"/>
      <c r="F1507" s="1312"/>
      <c r="G1507" s="1312"/>
      <c r="H1507" s="1582"/>
      <c r="I1507" s="1582"/>
      <c r="J1507" s="1582"/>
      <c r="K1507" s="1582"/>
      <c r="L1507" s="1582"/>
      <c r="M1507" s="1582"/>
      <c r="O1507" s="1579" t="s">
        <v>1866</v>
      </c>
      <c r="P1507" s="1503">
        <f>'Part VIII-Threshold Criteria'!P420</f>
        <v>0</v>
      </c>
      <c r="Q1507" s="1503">
        <f>'Part VIII-Threshold Criteria'!Q420</f>
        <v>0</v>
      </c>
    </row>
    <row r="1508" spans="1:17">
      <c r="A1508" s="1618" t="s">
        <v>1982</v>
      </c>
      <c r="B1508" s="457" t="s">
        <v>751</v>
      </c>
      <c r="D1508" s="1314"/>
      <c r="E1508" s="1314"/>
      <c r="F1508" s="1314"/>
      <c r="G1508" s="1314"/>
      <c r="H1508" s="1314"/>
      <c r="I1508" s="1314"/>
      <c r="J1508" s="1314"/>
      <c r="K1508" s="1314"/>
      <c r="L1508" s="1314"/>
      <c r="M1508" s="1314"/>
      <c r="N1508" s="1314"/>
      <c r="O1508" s="1620" t="s">
        <v>1982</v>
      </c>
      <c r="P1508" s="1621" t="str">
        <f>'Part VIII-Threshold Criteria'!P421</f>
        <v>Yes</v>
      </c>
      <c r="Q1508" s="1621">
        <f>'Part VIII-Threshold Criteria'!Q421</f>
        <v>0</v>
      </c>
    </row>
    <row r="1509" spans="1:17">
      <c r="A1509" s="1618" t="s">
        <v>1984</v>
      </c>
      <c r="B1509" s="457" t="s">
        <v>3474</v>
      </c>
      <c r="D1509" s="1314"/>
      <c r="E1509" s="1314"/>
      <c r="F1509" s="1314"/>
      <c r="G1509" s="1314"/>
      <c r="H1509" s="1314"/>
      <c r="I1509" s="1314"/>
      <c r="J1509" s="1314"/>
      <c r="K1509" s="1314"/>
      <c r="L1509" s="1314"/>
      <c r="M1509" s="1314"/>
      <c r="N1509" s="1314"/>
      <c r="O1509" s="1620" t="s">
        <v>1445</v>
      </c>
      <c r="P1509" s="1621" t="str">
        <f>'Part VIII-Threshold Criteria'!P422</f>
        <v>No</v>
      </c>
      <c r="Q1509" s="1621">
        <f>'Part VIII-Threshold Criteria'!Q422</f>
        <v>0</v>
      </c>
    </row>
    <row r="1510" spans="1:17">
      <c r="A1510" s="1618"/>
      <c r="B1510" s="457" t="s">
        <v>1482</v>
      </c>
      <c r="D1510" s="457"/>
      <c r="E1510" s="457"/>
      <c r="F1510" s="457"/>
      <c r="G1510" s="457"/>
      <c r="H1510" s="457"/>
      <c r="I1510" s="457"/>
      <c r="J1510" s="457"/>
      <c r="K1510" s="457"/>
      <c r="L1510" s="457"/>
      <c r="M1510" s="457"/>
      <c r="N1510" s="1314"/>
    </row>
    <row r="1511" spans="1:17">
      <c r="A1511" s="1618"/>
      <c r="B1511" s="457" t="s">
        <v>1737</v>
      </c>
      <c r="C1511" s="457" t="s">
        <v>3473</v>
      </c>
      <c r="E1511" s="457"/>
      <c r="F1511" s="457"/>
      <c r="G1511" s="457"/>
      <c r="H1511" s="457"/>
      <c r="I1511" s="457"/>
      <c r="J1511" s="457"/>
      <c r="K1511" s="457"/>
      <c r="L1511" s="457"/>
      <c r="M1511" s="457"/>
      <c r="N1511" s="1314"/>
      <c r="O1511" s="1620" t="s">
        <v>1737</v>
      </c>
      <c r="P1511" s="1621">
        <f>'Part VIII-Threshold Criteria'!P424</f>
        <v>0</v>
      </c>
      <c r="Q1511" s="1621">
        <f>'Part VIII-Threshold Criteria'!Q424</f>
        <v>0</v>
      </c>
    </row>
    <row r="1512" spans="1:17">
      <c r="A1512" s="1618"/>
      <c r="B1512" s="457" t="s">
        <v>3569</v>
      </c>
      <c r="C1512" s="457" t="s">
        <v>3570</v>
      </c>
      <c r="E1512" s="457"/>
      <c r="F1512" s="457"/>
      <c r="G1512" s="457"/>
      <c r="H1512" s="457"/>
      <c r="I1512" s="457"/>
      <c r="J1512" s="457"/>
      <c r="K1512" s="457"/>
      <c r="L1512" s="457"/>
      <c r="M1512" s="457"/>
      <c r="N1512" s="1314"/>
      <c r="O1512" s="1620" t="s">
        <v>1738</v>
      </c>
      <c r="P1512" s="1621" t="str">
        <f>'Part VIII-Threshold Criteria'!P425</f>
        <v>No</v>
      </c>
      <c r="Q1512" s="1621">
        <f>'Part VIII-Threshold Criteria'!Q425</f>
        <v>0</v>
      </c>
    </row>
    <row r="1513" spans="1:17">
      <c r="A1513" s="1618" t="s">
        <v>748</v>
      </c>
      <c r="B1513" s="457" t="s">
        <v>2200</v>
      </c>
      <c r="C1513" s="457"/>
      <c r="E1513" s="457"/>
      <c r="F1513" s="457"/>
      <c r="G1513" s="457"/>
      <c r="H1513" s="457"/>
      <c r="I1513" s="457"/>
      <c r="J1513" s="457"/>
      <c r="K1513" s="457"/>
      <c r="L1513" s="457"/>
      <c r="M1513" s="457"/>
      <c r="N1513" s="457"/>
      <c r="O1513" s="1620" t="s">
        <v>748</v>
      </c>
      <c r="P1513" s="1621" t="str">
        <f>'Part VIII-Threshold Criteria'!P426</f>
        <v>Yes</v>
      </c>
      <c r="Q1513" s="1621">
        <f>'Part VIII-Threshold Criteria'!Q426</f>
        <v>0</v>
      </c>
    </row>
    <row r="1514" spans="1:17">
      <c r="A1514" s="1618" t="s">
        <v>2114</v>
      </c>
      <c r="B1514" s="1524" t="s">
        <v>2813</v>
      </c>
      <c r="C1514" s="1524"/>
      <c r="E1514" s="1524"/>
      <c r="F1514" s="1524"/>
      <c r="G1514" s="1524"/>
      <c r="H1514" s="1524"/>
      <c r="I1514" s="1524"/>
      <c r="J1514" s="1524"/>
      <c r="K1514" s="1524"/>
      <c r="L1514" s="1524"/>
      <c r="M1514" s="1524"/>
      <c r="N1514" s="1314"/>
      <c r="O1514" s="1620"/>
      <c r="P1514" s="1314"/>
      <c r="Q1514" s="1314"/>
    </row>
    <row r="1515" spans="1:17">
      <c r="A1515" s="1618"/>
      <c r="B1515" s="457" t="s">
        <v>2201</v>
      </c>
      <c r="C1515" s="457"/>
      <c r="E1515" s="1314"/>
      <c r="F1515" s="1524"/>
      <c r="G1515" s="1495">
        <f>'Part VIII-Threshold Criteria'!J427</f>
        <v>0</v>
      </c>
      <c r="H1515" s="1316">
        <f>'Part VIII-Threshold Criteria'!K427</f>
        <v>0</v>
      </c>
      <c r="J1515" s="457" t="s">
        <v>2204</v>
      </c>
      <c r="K1515" s="1524"/>
      <c r="N1515" s="1495">
        <f>'Part VIII-Threshold Criteria'!P427</f>
        <v>0</v>
      </c>
      <c r="O1515" s="1316">
        <f>'Part VIII-Threshold Criteria'!Q427</f>
        <v>0</v>
      </c>
    </row>
    <row r="1516" spans="1:17">
      <c r="A1516" s="1618"/>
      <c r="B1516" s="457" t="s">
        <v>2202</v>
      </c>
      <c r="C1516" s="457"/>
      <c r="E1516" s="1314"/>
      <c r="F1516" s="1524"/>
      <c r="G1516" s="1495">
        <f>'Part VIII-Threshold Criteria'!J428</f>
        <v>0</v>
      </c>
      <c r="H1516" s="1316">
        <f>'Part VIII-Threshold Criteria'!K428</f>
        <v>0</v>
      </c>
      <c r="J1516" s="457" t="s">
        <v>2205</v>
      </c>
      <c r="K1516" s="1524"/>
      <c r="N1516" s="1495">
        <f>'Part VIII-Threshold Criteria'!P428</f>
        <v>0</v>
      </c>
      <c r="O1516" s="1316">
        <f>'Part VIII-Threshold Criteria'!Q428</f>
        <v>0</v>
      </c>
    </row>
    <row r="1517" spans="1:17">
      <c r="A1517" s="1618"/>
      <c r="B1517" s="457" t="s">
        <v>2203</v>
      </c>
      <c r="C1517" s="457"/>
      <c r="E1517" s="1314"/>
      <c r="F1517" s="1524"/>
      <c r="G1517" s="1495">
        <f>'Part VIII-Threshold Criteria'!J429</f>
        <v>10</v>
      </c>
      <c r="H1517" s="1316">
        <f>'Part VIII-Threshold Criteria'!K429</f>
        <v>0</v>
      </c>
      <c r="K1517" s="1524"/>
      <c r="L1517" s="1524"/>
      <c r="M1517" s="1524"/>
      <c r="N1517" s="1314"/>
      <c r="O1517" s="1620"/>
    </row>
    <row r="1518" spans="1:17">
      <c r="A1518" s="1618" t="s">
        <v>1734</v>
      </c>
      <c r="B1518" s="1524" t="s">
        <v>2384</v>
      </c>
      <c r="C1518" s="1524"/>
      <c r="E1518" s="1524"/>
      <c r="F1518" s="1524"/>
      <c r="G1518" s="1524"/>
      <c r="J1518" s="1314"/>
      <c r="K1518" s="1524"/>
      <c r="L1518" s="1524"/>
      <c r="M1518" s="1524"/>
      <c r="N1518" s="1314"/>
      <c r="O1518" s="1620"/>
      <c r="P1518" s="1620"/>
      <c r="Q1518" s="1620"/>
    </row>
    <row r="1519" spans="1:17">
      <c r="A1519" s="1314"/>
      <c r="B1519" s="1051" t="s">
        <v>2206</v>
      </c>
      <c r="C1519" s="1524"/>
      <c r="E1519" s="1524"/>
      <c r="F1519" s="1524"/>
      <c r="G1519" s="1621" t="str">
        <f>'Part VIII-Threshold Criteria'!J431</f>
        <v>Yes</v>
      </c>
      <c r="H1519" s="1621">
        <f>'Part VIII-Threshold Criteria'!K431</f>
        <v>0</v>
      </c>
      <c r="J1519" s="1051" t="s">
        <v>1181</v>
      </c>
      <c r="K1519" s="1524"/>
      <c r="N1519" s="1621" t="str">
        <f>'Part VIII-Threshold Criteria'!J433</f>
        <v>Yes</v>
      </c>
      <c r="O1519" s="1621">
        <f>'Part VIII-Threshold Criteria'!K433</f>
        <v>0</v>
      </c>
    </row>
    <row r="1520" spans="1:17">
      <c r="A1520" s="1314"/>
      <c r="B1520" s="1051" t="s">
        <v>1180</v>
      </c>
      <c r="C1520" s="1524"/>
      <c r="E1520" s="1524"/>
      <c r="F1520" s="1524"/>
      <c r="G1520" s="1621" t="str">
        <f>'Part VIII-Threshold Criteria'!J432</f>
        <v>Yes</v>
      </c>
      <c r="H1520" s="1621">
        <f>'Part VIII-Threshold Criteria'!K432</f>
        <v>0</v>
      </c>
      <c r="J1520" s="1051" t="s">
        <v>2252</v>
      </c>
      <c r="N1520" s="1543">
        <f>'Part VIII-Threshold Criteria'!M432</f>
        <v>0</v>
      </c>
      <c r="O1520" s="1543">
        <f>'Part VIII-Threshold Criteria'!N432</f>
        <v>0</v>
      </c>
      <c r="P1520" s="1543">
        <f>'Part VIII-Threshold Criteria'!O432</f>
        <v>0</v>
      </c>
      <c r="Q1520" s="1543">
        <f>'Part VIII-Threshold Criteria'!P432</f>
        <v>0</v>
      </c>
    </row>
    <row r="1521" spans="1:17">
      <c r="B1521" s="1525" t="s">
        <v>3751</v>
      </c>
      <c r="D1521" s="1525"/>
      <c r="E1521" s="1525"/>
      <c r="F1521" s="1525"/>
      <c r="G1521" s="1525"/>
      <c r="H1521" s="1524"/>
      <c r="I1521" s="1578"/>
      <c r="J1521" s="1578"/>
      <c r="K1521" s="1578"/>
      <c r="P1521" s="1495"/>
      <c r="Q1521" s="1495"/>
    </row>
    <row r="1522" spans="1:17" ht="193.8">
      <c r="A1522" s="1583" t="str">
        <f>'Part VIII-Threshold Criteria'!A440</f>
        <v>Temporary relocation will occur, but there will be no displacement of tenants. There are several vacancies at Woodstone Apartments II which will be utilized for relocating residents during the substantial rehabilitation.</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1865</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4109</v>
      </c>
      <c r="B1526" s="1312" t="s">
        <v>2814</v>
      </c>
      <c r="C1526" s="1312"/>
      <c r="D1526" s="1577"/>
      <c r="E1526" s="1582"/>
      <c r="F1526" s="1582"/>
      <c r="G1526" s="1582"/>
      <c r="H1526" s="1582"/>
      <c r="O1526" s="1579" t="s">
        <v>1866</v>
      </c>
      <c r="P1526" s="1503">
        <f>'Part VIII-Threshold Criteria'!P444</f>
        <v>0</v>
      </c>
      <c r="Q1526" s="1503">
        <f>'Part VIII-Threshold Criteria'!Q444</f>
        <v>0</v>
      </c>
    </row>
    <row r="1527" spans="1:17">
      <c r="B1527" s="1577" t="s">
        <v>3931</v>
      </c>
      <c r="C1527" s="1312"/>
      <c r="D1527" s="1577"/>
      <c r="E1527" s="1582"/>
      <c r="F1527" s="1582"/>
      <c r="G1527" s="1582"/>
      <c r="H1527" s="1582"/>
    </row>
    <row r="1528" spans="1:17" ht="12.75" customHeight="1">
      <c r="A1528" s="1616" t="s">
        <v>1982</v>
      </c>
      <c r="B1528" s="1583" t="s">
        <v>3934</v>
      </c>
      <c r="C1528" s="1583"/>
      <c r="D1528" s="1583"/>
      <c r="E1528" s="1583"/>
      <c r="F1528" s="1583"/>
      <c r="G1528" s="1583"/>
      <c r="H1528" s="1583"/>
      <c r="I1528" s="1583"/>
      <c r="J1528" s="1583"/>
      <c r="K1528" s="1583"/>
      <c r="L1528" s="1583"/>
      <c r="M1528" s="1583"/>
      <c r="N1528" s="1583"/>
      <c r="O1528" s="1627" t="s">
        <v>1982</v>
      </c>
      <c r="P1528" s="1628" t="str">
        <f>'Part VIII-Threshold Criteria'!P446</f>
        <v>Agree</v>
      </c>
      <c r="Q1528" s="1628">
        <f>'Part VIII-Threshold Criteria'!Q446</f>
        <v>0</v>
      </c>
    </row>
    <row r="1529" spans="1:17" ht="12.75" customHeight="1">
      <c r="A1529" s="1616" t="s">
        <v>1984</v>
      </c>
      <c r="B1529" s="1583" t="s">
        <v>3932</v>
      </c>
      <c r="C1529" s="1583"/>
      <c r="D1529" s="1583"/>
      <c r="E1529" s="1583"/>
      <c r="F1529" s="1583"/>
      <c r="G1529" s="1583"/>
      <c r="H1529" s="1583"/>
      <c r="I1529" s="1583"/>
      <c r="J1529" s="1583"/>
      <c r="K1529" s="1583"/>
      <c r="L1529" s="1583"/>
      <c r="M1529" s="1583"/>
      <c r="N1529" s="1583"/>
      <c r="O1529" s="1627" t="s">
        <v>1984</v>
      </c>
      <c r="P1529" s="1628" t="str">
        <f>'Part VIII-Threshold Criteria'!P447</f>
        <v>Agree</v>
      </c>
      <c r="Q1529" s="1628">
        <f>'Part VIII-Threshold Criteria'!Q447</f>
        <v>0</v>
      </c>
    </row>
    <row r="1530" spans="1:17" ht="12.75" customHeight="1">
      <c r="A1530" s="1596"/>
      <c r="B1530" s="1583" t="s">
        <v>3933</v>
      </c>
      <c r="C1530" s="1583"/>
      <c r="D1530" s="1583"/>
      <c r="E1530" s="1583"/>
      <c r="F1530" s="1583"/>
      <c r="G1530" s="1583"/>
      <c r="H1530" s="1583"/>
      <c r="I1530" s="1583"/>
      <c r="J1530" s="1583"/>
      <c r="K1530" s="1583"/>
      <c r="L1530" s="1583"/>
      <c r="M1530" s="1583"/>
      <c r="N1530" s="1583"/>
      <c r="O1530" s="1627" t="s">
        <v>1736</v>
      </c>
      <c r="P1530" s="1628" t="str">
        <f>'Part VIII-Threshold Criteria'!P448</f>
        <v>Agree</v>
      </c>
      <c r="Q1530" s="1628">
        <f>'Part VIII-Threshold Criteria'!Q448</f>
        <v>0</v>
      </c>
    </row>
    <row r="1531" spans="1:17">
      <c r="A1531" s="1596"/>
      <c r="B1531" s="1604" t="s">
        <v>3935</v>
      </c>
      <c r="C1531" s="1596"/>
      <c r="D1531" s="1583"/>
      <c r="E1531" s="1583"/>
      <c r="F1531" s="1583"/>
      <c r="G1531" s="1583"/>
      <c r="H1531" s="1583"/>
      <c r="I1531" s="1583"/>
      <c r="J1531" s="1583"/>
      <c r="K1531" s="1583"/>
      <c r="L1531" s="1583"/>
      <c r="M1531" s="1583"/>
      <c r="N1531" s="1583"/>
      <c r="O1531" s="1627" t="s">
        <v>1737</v>
      </c>
      <c r="P1531" s="1628" t="str">
        <f>'Part VIII-Threshold Criteria'!P449</f>
        <v>Agree</v>
      </c>
      <c r="Q1531" s="1628">
        <f>'Part VIII-Threshold Criteria'!Q449</f>
        <v>0</v>
      </c>
    </row>
    <row r="1532" spans="1:17" ht="12.75" customHeight="1">
      <c r="A1532" s="1596"/>
      <c r="B1532" s="1583" t="s">
        <v>3936</v>
      </c>
      <c r="C1532" s="1583"/>
      <c r="D1532" s="1583"/>
      <c r="E1532" s="1583"/>
      <c r="F1532" s="1583"/>
      <c r="G1532" s="1583"/>
      <c r="H1532" s="1583"/>
      <c r="I1532" s="1583"/>
      <c r="J1532" s="1583"/>
      <c r="K1532" s="1583"/>
      <c r="L1532" s="1583"/>
      <c r="M1532" s="1583"/>
      <c r="N1532" s="1583"/>
      <c r="O1532" s="1627" t="s">
        <v>1738</v>
      </c>
      <c r="P1532" s="1628" t="str">
        <f>'Part VIII-Threshold Criteria'!P450</f>
        <v>Agree</v>
      </c>
      <c r="Q1532" s="1628">
        <f>'Part VIII-Threshold Criteria'!Q450</f>
        <v>0</v>
      </c>
    </row>
    <row r="1533" spans="1:17" ht="12.75" customHeight="1">
      <c r="A1533" s="1596"/>
      <c r="B1533" s="1583" t="s">
        <v>3937</v>
      </c>
      <c r="C1533" s="1583"/>
      <c r="D1533" s="1583"/>
      <c r="E1533" s="1583"/>
      <c r="F1533" s="1583"/>
      <c r="G1533" s="1583"/>
      <c r="H1533" s="1583"/>
      <c r="I1533" s="1583"/>
      <c r="J1533" s="1583"/>
      <c r="K1533" s="1583"/>
      <c r="L1533" s="1583"/>
      <c r="M1533" s="1583"/>
      <c r="N1533" s="1583"/>
      <c r="O1533" s="1627" t="s">
        <v>2364</v>
      </c>
      <c r="P1533" s="1628" t="str">
        <f>'Part VIII-Threshold Criteria'!P451</f>
        <v>Agree</v>
      </c>
      <c r="Q1533" s="1628">
        <f>'Part VIII-Threshold Criteria'!Q451</f>
        <v>0</v>
      </c>
    </row>
    <row r="1534" spans="1:17" ht="12.75" customHeight="1">
      <c r="A1534" s="1616" t="s">
        <v>748</v>
      </c>
      <c r="B1534" s="1583" t="s">
        <v>3938</v>
      </c>
      <c r="C1534" s="1583"/>
      <c r="D1534" s="1583"/>
      <c r="E1534" s="1583"/>
      <c r="F1534" s="1583"/>
      <c r="G1534" s="1583"/>
      <c r="H1534" s="1583"/>
      <c r="I1534" s="1583"/>
      <c r="J1534" s="1583"/>
      <c r="K1534" s="1583"/>
      <c r="L1534" s="1583"/>
      <c r="M1534" s="1583"/>
      <c r="N1534" s="1583"/>
      <c r="O1534" s="1627" t="s">
        <v>748</v>
      </c>
      <c r="P1534" s="1628" t="str">
        <f>'Part VIII-Threshold Criteria'!P452</f>
        <v>Agree</v>
      </c>
      <c r="Q1534" s="1628">
        <f>'Part VIII-Threshold Criteria'!Q452</f>
        <v>0</v>
      </c>
    </row>
    <row r="1535" spans="1:17" ht="12.75" customHeight="1">
      <c r="A1535" s="1616" t="s">
        <v>2114</v>
      </c>
      <c r="B1535" s="1583" t="s">
        <v>3939</v>
      </c>
      <c r="C1535" s="1583"/>
      <c r="D1535" s="1583"/>
      <c r="E1535" s="1583"/>
      <c r="F1535" s="1583"/>
      <c r="G1535" s="1583"/>
      <c r="H1535" s="1583"/>
      <c r="I1535" s="1583"/>
      <c r="J1535" s="1583"/>
      <c r="K1535" s="1583"/>
      <c r="L1535" s="1583"/>
      <c r="M1535" s="1583"/>
      <c r="N1535" s="1583"/>
      <c r="O1535" s="1627" t="s">
        <v>2114</v>
      </c>
      <c r="P1535" s="1628" t="str">
        <f>'Part VIII-Threshold Criteria'!P453</f>
        <v>Agree</v>
      </c>
      <c r="Q1535" s="1628">
        <f>'Part VIII-Threshold Criteria'!Q453</f>
        <v>0</v>
      </c>
    </row>
    <row r="1536" spans="1:17" ht="12.75" customHeight="1">
      <c r="A1536" s="1616" t="s">
        <v>1734</v>
      </c>
      <c r="B1536" s="1583" t="s">
        <v>3940</v>
      </c>
      <c r="C1536" s="1583"/>
      <c r="D1536" s="1583"/>
      <c r="E1536" s="1583"/>
      <c r="F1536" s="1583"/>
      <c r="G1536" s="1583"/>
      <c r="H1536" s="1583"/>
      <c r="I1536" s="1583"/>
      <c r="J1536" s="1583"/>
      <c r="K1536" s="1583"/>
      <c r="L1536" s="1583"/>
      <c r="M1536" s="1583"/>
      <c r="N1536" s="1583"/>
      <c r="O1536" s="1627" t="s">
        <v>1734</v>
      </c>
      <c r="P1536" s="1628" t="str">
        <f>'Part VIII-Threshold Criteria'!P454</f>
        <v>Agree</v>
      </c>
      <c r="Q1536" s="1628">
        <f>'Part VIII-Threshold Criteria'!Q454</f>
        <v>0</v>
      </c>
    </row>
    <row r="1537" spans="1:17" ht="12.75" customHeight="1">
      <c r="A1537" s="1616" t="s">
        <v>1735</v>
      </c>
      <c r="B1537" s="1583" t="s">
        <v>3475</v>
      </c>
      <c r="C1537" s="1583"/>
      <c r="D1537" s="1583"/>
      <c r="E1537" s="1583"/>
      <c r="F1537" s="1583"/>
      <c r="G1537" s="1583"/>
      <c r="H1537" s="1583"/>
      <c r="I1537" s="1583"/>
      <c r="J1537" s="1583"/>
      <c r="K1537" s="1583"/>
      <c r="L1537" s="1583"/>
      <c r="M1537" s="1583"/>
      <c r="N1537" s="1583"/>
      <c r="O1537" s="1627" t="s">
        <v>1735</v>
      </c>
      <c r="P1537" s="1628" t="str">
        <f>'Part VIII-Threshold Criteria'!P455</f>
        <v>Agree</v>
      </c>
      <c r="Q1537" s="1628">
        <f>'Part VIII-Threshold Criteria'!Q455</f>
        <v>0</v>
      </c>
    </row>
    <row r="1538" spans="1:17">
      <c r="B1538" s="1525" t="s">
        <v>3751</v>
      </c>
      <c r="D1538" s="1525"/>
      <c r="E1538" s="1525"/>
      <c r="F1538" s="1525"/>
      <c r="G1538" s="1525"/>
      <c r="H1538" s="1524"/>
      <c r="I1538" s="1578"/>
      <c r="J1538" s="1578"/>
      <c r="K1538" s="1578"/>
      <c r="L1538" s="1495"/>
      <c r="M1538" s="1495"/>
      <c r="N1538" s="1495"/>
      <c r="O1538" s="1495"/>
      <c r="P1538" s="1495"/>
      <c r="Q1538" s="1495"/>
    </row>
    <row r="1539" spans="1:17" ht="326.39999999999998">
      <c r="A1539" s="1583" t="str">
        <f>'Part VIII-Threshold Criteria'!A457</f>
        <v>The Management Agent has highly trained individuals in its employ who regulate more than 90 properties throughout the southeast. Olympia Management, Inc. is more than qualified and experienced in the AFFH policies and requirements. Applicant will provide all above listed documentation as well as any additional documentation DCA requests.</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1865</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4110</v>
      </c>
      <c r="B1543" s="1312" t="s">
        <v>2669</v>
      </c>
      <c r="C1543" s="1312"/>
      <c r="D1543" s="1577"/>
      <c r="E1543" s="1582"/>
      <c r="F1543" s="1582"/>
      <c r="G1543" s="1582"/>
      <c r="H1543" s="1582"/>
      <c r="I1543" s="1582"/>
      <c r="J1543" s="1582"/>
      <c r="K1543" s="1582"/>
      <c r="L1543" s="1582"/>
      <c r="M1543" s="1582"/>
      <c r="O1543" s="1579" t="s">
        <v>1866</v>
      </c>
      <c r="P1543" s="1503">
        <f>'Part VIII-Threshold Criteria'!P478</f>
        <v>0</v>
      </c>
      <c r="Q1543" s="1503">
        <f>'Part VIII-Threshold Criteria'!Q478</f>
        <v>0</v>
      </c>
    </row>
    <row r="1544" spans="1:17">
      <c r="A1544" s="1488"/>
      <c r="B1544" s="1525" t="s">
        <v>3751</v>
      </c>
      <c r="D1544" s="1525"/>
      <c r="E1544" s="1525"/>
      <c r="F1544" s="1525"/>
      <c r="G1544" s="1525"/>
      <c r="H1544" s="1524"/>
      <c r="I1544" s="1578"/>
      <c r="J1544" s="1578"/>
      <c r="K1544" s="1578"/>
      <c r="L1544" s="1495"/>
      <c r="M1544" s="1495"/>
      <c r="N1544" s="1495"/>
      <c r="O1544" s="1495"/>
      <c r="P1544" s="1495"/>
      <c r="Q1544" s="1495"/>
    </row>
    <row r="1545" spans="1:17" ht="409.6">
      <c r="A1545" s="1583" t="str">
        <f>'Part VIII-Threshold Criteria'!A480</f>
        <v xml:space="preserve">All members of the Development Team are committed to producing the most quality, energy-efficient, and economical project possible. Costs are kept to a minimum as each part of the development is reviewed for cost-effectiveness. After a stringent review of available products, materials and services are selected based on their superior quality, durability, and economic properties. Members of the Development Team have extensive experience in providing quality, safe, energy-efficient, affordable housing for communities throughout the southeast. </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1865</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2019-049 Woodstone Apartments II,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4550</v>
      </c>
      <c r="B1557" s="1513"/>
      <c r="C1557" s="1513"/>
      <c r="D1557" s="1513"/>
      <c r="E1557" s="1513"/>
      <c r="F1557" s="1513"/>
      <c r="G1557" s="1513"/>
      <c r="H1557" s="1513"/>
      <c r="I1557" s="1513"/>
      <c r="J1557" s="1513"/>
      <c r="K1557" s="1513"/>
      <c r="L1557" s="1513"/>
      <c r="M1557" s="1501" t="s">
        <v>2218</v>
      </c>
      <c r="N1557" s="1313"/>
      <c r="O1557" s="1496" t="s">
        <v>2217</v>
      </c>
      <c r="P1557" s="1496" t="s">
        <v>256</v>
      </c>
      <c r="Q1557" s="1314"/>
      <c r="R1557" s="1314"/>
      <c r="S1557" s="1314"/>
      <c r="T1557" s="1314"/>
      <c r="U1557" s="1314"/>
      <c r="V1557" s="1314"/>
      <c r="W1557" s="1314"/>
      <c r="X1557" s="1314"/>
      <c r="Y1557" s="1314"/>
      <c r="Z1557" s="1314"/>
    </row>
    <row r="1558" spans="1:26" ht="13.8">
      <c r="A1558" s="1513"/>
      <c r="B1558" s="1513"/>
      <c r="C1558" s="1513"/>
      <c r="D1558" s="1513"/>
      <c r="E1558" s="1513"/>
      <c r="F1558" s="1513"/>
      <c r="G1558" s="1513"/>
      <c r="H1558" s="1513"/>
      <c r="I1558" s="1513"/>
      <c r="J1558" s="1513"/>
      <c r="K1558" s="1513"/>
      <c r="L1558" s="1513"/>
      <c r="M1558" s="1501" t="s">
        <v>93</v>
      </c>
      <c r="N1558" s="1312"/>
      <c r="O1558" s="1496" t="s">
        <v>2218</v>
      </c>
      <c r="P1558" s="1496" t="s">
        <v>2218</v>
      </c>
      <c r="Q1558" s="1655"/>
      <c r="R1558" s="1314"/>
      <c r="S1558" s="1314"/>
      <c r="T1558" s="1314"/>
      <c r="U1558" s="1314"/>
      <c r="V1558" s="1314"/>
      <c r="W1558" s="1655"/>
      <c r="X1558" s="1655"/>
      <c r="Y1558" s="1655"/>
      <c r="Z1558" s="1655"/>
    </row>
    <row r="1559" spans="1:26" ht="13.8">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6">
      <c r="A1560" s="1314"/>
      <c r="B1560" s="1314"/>
      <c r="C1560" s="1314"/>
      <c r="D1560" s="1314"/>
      <c r="E1560" s="1314"/>
      <c r="F1560" s="1314"/>
      <c r="G1560" s="1314"/>
      <c r="H1560" s="1314"/>
      <c r="I1560" s="1314"/>
      <c r="J1560" s="1314"/>
      <c r="K1560" s="1655"/>
      <c r="L1560" s="1657" t="s">
        <v>1225</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4.4">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615</v>
      </c>
      <c r="B1562" s="1661" t="s">
        <v>2782</v>
      </c>
      <c r="C1562" s="1312"/>
      <c r="D1562" s="1312"/>
      <c r="E1562" s="1312"/>
      <c r="F1562" s="1578"/>
      <c r="G1562" s="1314"/>
      <c r="H1562" s="1549" t="s">
        <v>4551</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4.4">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1982</v>
      </c>
      <c r="B1564" s="1503" t="s">
        <v>1867</v>
      </c>
      <c r="C1564" s="1314"/>
      <c r="D1564" s="1317"/>
      <c r="E1564" s="1317"/>
      <c r="F1564" s="1578"/>
      <c r="G1564" s="1314"/>
      <c r="H1564" s="1335" t="s">
        <v>3646</v>
      </c>
      <c r="I1564" s="1314"/>
      <c r="J1564" s="1314"/>
      <c r="K1564" s="1314"/>
      <c r="L1564" s="1314"/>
      <c r="M1564" s="1313"/>
      <c r="N1564" s="1620" t="s">
        <v>1982</v>
      </c>
      <c r="O1564" s="1499">
        <f>'Part IX Scoring Criteria'!O25</f>
        <v>0</v>
      </c>
      <c r="P1564" s="1499">
        <f>F1569</f>
        <v>0</v>
      </c>
      <c r="Q1564" s="1314"/>
      <c r="R1564" s="1314"/>
      <c r="S1564" s="1314"/>
      <c r="T1564" s="1314"/>
      <c r="U1564" s="1314"/>
      <c r="V1564" s="1314"/>
      <c r="W1564" s="1314"/>
      <c r="X1564" s="1314"/>
      <c r="Y1564" s="1314"/>
      <c r="Z1564" s="1314"/>
    </row>
    <row r="1565" spans="1:26" ht="14.4">
      <c r="A1565" s="1508"/>
      <c r="B1565" s="1659"/>
      <c r="C1565" s="1317" t="s">
        <v>2112</v>
      </c>
      <c r="D1565" s="1317"/>
      <c r="E1565" s="1317"/>
      <c r="F1565" s="1578"/>
      <c r="G1565" s="1659"/>
      <c r="H1565" s="1335" t="s">
        <v>2763</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1984</v>
      </c>
      <c r="B1566" s="1503" t="s">
        <v>725</v>
      </c>
      <c r="C1566" s="1314"/>
      <c r="D1566" s="1317"/>
      <c r="E1566" s="1317"/>
      <c r="F1566" s="1578"/>
      <c r="G1566" s="1314"/>
      <c r="H1566" s="1335" t="s">
        <v>4552</v>
      </c>
      <c r="I1566" s="1314"/>
      <c r="J1566" s="1549"/>
      <c r="K1566" s="1314"/>
      <c r="L1566" s="1314"/>
      <c r="M1566" s="1313"/>
      <c r="N1566" s="1620" t="s">
        <v>1984</v>
      </c>
      <c r="O1566" s="1499">
        <f>'Part IX Scoring Criteria'!O30</f>
        <v>0</v>
      </c>
      <c r="P1566" s="1499">
        <f>O1569</f>
        <v>0</v>
      </c>
      <c r="Q1566" s="1314"/>
      <c r="R1566" s="1314"/>
      <c r="S1566" s="1314"/>
      <c r="T1566" s="1314"/>
      <c r="U1566" s="1314"/>
      <c r="V1566" s="1314"/>
      <c r="W1566" s="1314"/>
      <c r="X1566" s="1314"/>
      <c r="Y1566" s="1314"/>
      <c r="Z1566" s="1314"/>
    </row>
    <row r="1567" spans="1:26" ht="21">
      <c r="A1567" s="1549"/>
      <c r="B1567" s="1314"/>
      <c r="C1567" s="1317" t="s">
        <v>4140</v>
      </c>
      <c r="D1567" s="457"/>
      <c r="E1567" s="457"/>
      <c r="F1567" s="457"/>
      <c r="G1567" s="1549"/>
      <c r="H1567" s="1335" t="s">
        <v>4552</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3840</v>
      </c>
      <c r="B1568" s="1513"/>
      <c r="C1568" s="1513"/>
      <c r="D1568" s="1513"/>
      <c r="E1568" s="1513"/>
      <c r="F1568" s="1578" t="s">
        <v>4142</v>
      </c>
      <c r="G1568" s="1314"/>
      <c r="H1568" s="1314"/>
      <c r="I1568" s="1314"/>
      <c r="J1568" s="1578" t="s">
        <v>4142</v>
      </c>
      <c r="K1568" s="1578"/>
      <c r="L1568" s="1314"/>
      <c r="M1568" s="1314"/>
      <c r="N1568" s="1314"/>
      <c r="O1568" s="457" t="s">
        <v>4142</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3582</v>
      </c>
      <c r="H1569" s="1649"/>
      <c r="I1569" s="1649"/>
      <c r="J1569" s="1496">
        <f>SUM(J1570:J1581)</f>
        <v>0</v>
      </c>
      <c r="K1569" s="1577" t="s">
        <v>3370</v>
      </c>
      <c r="L1569" s="1577"/>
      <c r="M1569" s="1577"/>
      <c r="N1569" s="1577"/>
      <c r="O1569" s="1312">
        <f>SUM(O1570:O1581)</f>
        <v>0</v>
      </c>
      <c r="P1569" s="1312"/>
      <c r="Q1569" s="1663"/>
      <c r="R1569" s="1664"/>
      <c r="S1569" s="1314"/>
      <c r="T1569" s="1314"/>
      <c r="U1569" s="1314"/>
      <c r="V1569" s="1314"/>
      <c r="W1569" s="1314"/>
      <c r="X1569" s="1314"/>
      <c r="Y1569" s="1314"/>
      <c r="Z1569" s="1314"/>
    </row>
    <row r="1570" spans="1:26" ht="21">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1732</v>
      </c>
      <c r="K1570" s="1573">
        <f>'Part IX Scoring Criteria'!K34</f>
        <v>1</v>
      </c>
      <c r="L1570" s="1573">
        <f>'Part IX Scoring Criteria'!L34</f>
        <v>0</v>
      </c>
      <c r="M1570" s="1573">
        <f>'Part IX Scoring Criteria'!M34</f>
        <v>0</v>
      </c>
      <c r="N1570" s="1573">
        <f>'Part IX Scoring Criteria'!N34</f>
        <v>0</v>
      </c>
      <c r="O1570" s="1648" t="s">
        <v>1732</v>
      </c>
      <c r="P1570" s="1648"/>
      <c r="Q1570" s="1667"/>
      <c r="R1570" s="1664"/>
      <c r="S1570" s="1314"/>
      <c r="T1570" s="1314"/>
      <c r="U1570" s="1314"/>
      <c r="V1570" s="1314"/>
      <c r="W1570" s="1314"/>
      <c r="X1570" s="1314"/>
      <c r="Y1570" s="1314"/>
      <c r="Z1570" s="1314"/>
    </row>
    <row r="1571" spans="1:26" ht="21">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1">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2903</v>
      </c>
      <c r="K1572" s="1573">
        <f>'Part IX Scoring Criteria'!K36</f>
        <v>3</v>
      </c>
      <c r="L1572" s="1573">
        <f>'Part IX Scoring Criteria'!L36</f>
        <v>0</v>
      </c>
      <c r="M1572" s="1573">
        <f>'Part IX Scoring Criteria'!M36</f>
        <v>0</v>
      </c>
      <c r="N1572" s="1573">
        <f>'Part IX Scoring Criteria'!N36</f>
        <v>0</v>
      </c>
      <c r="O1572" s="1648" t="s">
        <v>2903</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2903</v>
      </c>
      <c r="P1573" s="1648"/>
      <c r="Q1573" s="1667"/>
      <c r="R1573" s="1664"/>
      <c r="S1573" s="1314"/>
      <c r="T1573" s="1314"/>
      <c r="U1573" s="1314"/>
      <c r="V1573" s="1314"/>
      <c r="W1573" s="1314"/>
      <c r="X1573" s="1314"/>
      <c r="Y1573" s="1314"/>
      <c r="Z1573" s="1314"/>
    </row>
    <row r="1574" spans="1:26" ht="21">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3583</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1">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1">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3584</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1">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1">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3585</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1">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1">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3586</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4553</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1">
      <c r="A1583" s="1335" t="s">
        <v>4143</v>
      </c>
      <c r="B1583" s="457" t="s">
        <v>4144</v>
      </c>
      <c r="C1583" s="457"/>
      <c r="D1583" s="457"/>
      <c r="E1583" s="1424" t="s">
        <v>4171</v>
      </c>
      <c r="F1583" s="457" t="s">
        <v>4170</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1">
      <c r="A1584" s="1673" t="s">
        <v>741</v>
      </c>
      <c r="B1584" s="1053" t="s">
        <v>4145</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1732</v>
      </c>
      <c r="P1584" s="1649"/>
      <c r="Q1584" s="1667"/>
      <c r="R1584" s="1664"/>
      <c r="S1584" s="1314"/>
      <c r="T1584" s="1314"/>
      <c r="U1584" s="1314"/>
      <c r="V1584" s="1314"/>
      <c r="W1584" s="1314"/>
      <c r="X1584" s="1314"/>
      <c r="Y1584" s="1314"/>
      <c r="Z1584" s="1314"/>
    </row>
    <row r="1585" spans="1:26" ht="12.75" customHeight="1">
      <c r="A1585" s="1673" t="s">
        <v>1793</v>
      </c>
      <c r="B1585" s="1053" t="s">
        <v>4146</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771</v>
      </c>
      <c r="B1586" s="1053" t="s">
        <v>4147</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2903</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4148</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2903</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4149</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3787</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2250</v>
      </c>
      <c r="B1590" s="1053" t="s">
        <v>4150</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4454</v>
      </c>
      <c r="B1591" s="1053" t="s">
        <v>4455</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4098</v>
      </c>
      <c r="B1592" s="1053" t="s">
        <v>4151</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4099</v>
      </c>
      <c r="B1593" s="1053" t="s">
        <v>4152</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4097</v>
      </c>
      <c r="B1594" s="1053" t="s">
        <v>4153</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4100</v>
      </c>
      <c r="B1595" s="1053" t="s">
        <v>4154</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4.4">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4.4">
      <c r="A1597" s="1660" t="s">
        <v>739</v>
      </c>
      <c r="B1597" s="1661" t="s">
        <v>3587</v>
      </c>
      <c r="C1597" s="1676"/>
      <c r="D1597" s="1676"/>
      <c r="E1597" s="457"/>
      <c r="F1597" s="1676"/>
      <c r="G1597" s="1577"/>
      <c r="H1597" s="457"/>
      <c r="I1597" s="1677" t="s">
        <v>3487</v>
      </c>
      <c r="J1597" s="1676"/>
      <c r="K1597" s="1676"/>
      <c r="L1597" s="1676"/>
      <c r="M1597" s="1496">
        <v>3</v>
      </c>
      <c r="N1597" s="1313"/>
      <c r="O1597" s="1658">
        <f>'Part IX Scoring Criteria'!O47</f>
        <v>0</v>
      </c>
      <c r="P1597" s="1658">
        <f>'Part IX Scoring Criteria'!P47</f>
        <v>0</v>
      </c>
      <c r="Q1597" s="1496" t="s">
        <v>441</v>
      </c>
      <c r="R1597" s="1625" t="str">
        <f>IF(OR($O1597=$M1597,$O1597=0,$O1597=""),"","* * Check Score! * *")</f>
        <v/>
      </c>
      <c r="S1597" s="1676"/>
      <c r="T1597" s="1676"/>
      <c r="U1597" s="1676"/>
      <c r="V1597" s="1676"/>
      <c r="W1597" s="1676"/>
      <c r="X1597" s="1676"/>
      <c r="Y1597" s="1676"/>
      <c r="Z1597" s="1676"/>
    </row>
    <row r="1598" spans="1:26" ht="14.4">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1982</v>
      </c>
      <c r="B1599" s="1681" t="s">
        <v>2624</v>
      </c>
      <c r="C1599" s="1659"/>
      <c r="D1599" s="1659"/>
      <c r="E1599" s="457"/>
      <c r="F1599" s="1659"/>
      <c r="G1599" s="1543"/>
      <c r="H1599" s="1468" t="s">
        <v>3588</v>
      </c>
      <c r="I1599" s="1468"/>
      <c r="J1599" s="1680">
        <f>'Part VI-Revenues &amp; Expenses'!$O$65</f>
        <v>39</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3589</v>
      </c>
      <c r="C1600" s="1468"/>
      <c r="D1600" s="1468"/>
      <c r="E1600" s="1468"/>
      <c r="F1600" s="1468"/>
      <c r="G1600" s="1649"/>
      <c r="H1600" s="1683" t="s">
        <v>3590</v>
      </c>
      <c r="I1600" s="1683" t="s">
        <v>3591</v>
      </c>
      <c r="J1600" s="1649"/>
      <c r="K1600" s="457" t="s">
        <v>3372</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3713</v>
      </c>
      <c r="H1601" s="1550"/>
      <c r="I1601" s="1550"/>
      <c r="J1601" s="1550"/>
      <c r="K1601" s="1442" t="s">
        <v>3590</v>
      </c>
      <c r="L1601" s="1442" t="s">
        <v>3591</v>
      </c>
      <c r="M1601" s="1495">
        <v>2</v>
      </c>
      <c r="N1601" s="1684" t="s">
        <v>1982</v>
      </c>
      <c r="O1601" s="1685">
        <f>'Part IX Scoring Criteria'!O51</f>
        <v>0</v>
      </c>
      <c r="P1601" s="1685">
        <f>'Part IX Scoring Criteria'!P51</f>
        <v>0</v>
      </c>
      <c r="Q1601" s="1676"/>
      <c r="R1601" s="1676"/>
      <c r="S1601" s="1676"/>
      <c r="T1601" s="1676"/>
      <c r="U1601" s="1676"/>
      <c r="V1601" s="1676"/>
      <c r="W1601" s="1676"/>
      <c r="X1601" s="1676"/>
      <c r="Y1601" s="1676"/>
      <c r="Z1601" s="1676"/>
    </row>
    <row r="1602" spans="1:26" ht="14.4">
      <c r="A1602" s="1686"/>
      <c r="B1602" s="1687" t="s">
        <v>1985</v>
      </c>
      <c r="C1602" s="1688">
        <v>0.15</v>
      </c>
      <c r="D1602" s="1604" t="s">
        <v>3371</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1985</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4.4">
      <c r="A1603" s="1621" t="s">
        <v>3342</v>
      </c>
      <c r="B1603" s="1687" t="s">
        <v>1987</v>
      </c>
      <c r="C1603" s="1688">
        <v>0.2</v>
      </c>
      <c r="D1603" s="1604" t="s">
        <v>3371</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1987</v>
      </c>
      <c r="O1603" s="1685">
        <f>'Part IX Scoring Criteria'!O53</f>
        <v>0</v>
      </c>
      <c r="P1603" s="1685">
        <f>'Part IX Scoring Criteria'!P53</f>
        <v>0</v>
      </c>
      <c r="Q1603" s="1689"/>
      <c r="R1603" s="1689"/>
      <c r="S1603" s="1689"/>
      <c r="T1603" s="1689"/>
      <c r="U1603" s="1689"/>
      <c r="V1603" s="1689"/>
      <c r="W1603" s="1689"/>
      <c r="X1603" s="1689"/>
      <c r="Y1603" s="1689"/>
      <c r="Z1603" s="1689"/>
    </row>
    <row r="1604" spans="1:26" ht="14.4">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1984</v>
      </c>
      <c r="B1605" s="1681" t="s">
        <v>4554</v>
      </c>
      <c r="C1605" s="1689"/>
      <c r="D1605" s="1689"/>
      <c r="E1605" s="1638"/>
      <c r="F1605" s="1689"/>
      <c r="G1605" s="1689"/>
      <c r="H1605" s="1550" t="s">
        <v>3650</v>
      </c>
      <c r="I1605" s="1550"/>
      <c r="J1605" s="1689"/>
      <c r="K1605" s="1689"/>
      <c r="L1605" s="1689"/>
      <c r="M1605" s="1495">
        <v>3</v>
      </c>
      <c r="N1605" s="1627" t="s">
        <v>1984</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4.4">
      <c r="A1606" s="1686"/>
      <c r="B1606" s="1687" t="s">
        <v>1985</v>
      </c>
      <c r="C1606" s="1688">
        <v>0.3</v>
      </c>
      <c r="D1606" s="1604" t="s">
        <v>3649</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1985</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4.4">
      <c r="A1607" s="1621"/>
      <c r="B1607" s="1687" t="s">
        <v>1987</v>
      </c>
      <c r="C1607" s="1647" t="s">
        <v>3953</v>
      </c>
      <c r="D1607" s="1689"/>
      <c r="E1607" s="1693"/>
      <c r="F1607" s="1647"/>
      <c r="G1607" s="1689"/>
      <c r="H1607" s="1689"/>
      <c r="I1607" s="1654"/>
      <c r="J1607" s="1654"/>
      <c r="K1607" s="1654"/>
      <c r="L1607" s="1654"/>
      <c r="M1607" s="1654"/>
      <c r="N1607" s="1684" t="s">
        <v>1987</v>
      </c>
      <c r="O1607" s="1621">
        <f>'Part IX Scoring Criteria'!O57</f>
        <v>0</v>
      </c>
      <c r="P1607" s="1621">
        <f>'Part IX Scoring Criteria'!P57</f>
        <v>0</v>
      </c>
      <c r="Q1607" s="1689"/>
      <c r="R1607" s="1689"/>
      <c r="S1607" s="1689"/>
      <c r="T1607" s="1689"/>
      <c r="U1607" s="1689"/>
      <c r="V1607" s="1689"/>
      <c r="W1607" s="1689"/>
      <c r="X1607" s="1689"/>
      <c r="Y1607" s="1689"/>
      <c r="Z1607" s="1689"/>
    </row>
    <row r="1608" spans="1:26" ht="14.4">
      <c r="A1608" s="1314"/>
      <c r="B1608" s="1549" t="s">
        <v>1865</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6">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741</v>
      </c>
      <c r="B1611" s="1661" t="s">
        <v>4093</v>
      </c>
      <c r="C1611" s="1659"/>
      <c r="D1611" s="1695"/>
      <c r="E1611" s="1659"/>
      <c r="F1611" s="1659"/>
      <c r="G1611" s="1659"/>
      <c r="H1611" s="1659"/>
      <c r="I1611" s="1468" t="s">
        <v>3767</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4.4">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4.4">
      <c r="A1613" s="1508"/>
      <c r="B1613" s="1051" t="s">
        <v>3852</v>
      </c>
      <c r="C1613" s="1659"/>
      <c r="D1613" s="1314"/>
      <c r="E1613" s="1659"/>
      <c r="F1613" s="1659"/>
      <c r="G1613" s="1659"/>
      <c r="H1613" s="1659"/>
      <c r="I1613" s="1659"/>
      <c r="J1613" s="1659"/>
      <c r="K1613" s="1659"/>
      <c r="L1613" s="1659"/>
      <c r="M1613" s="1659"/>
      <c r="N1613" s="1620"/>
      <c r="O1613" s="1621" t="str">
        <f>'Part IX Scoring Criteria'!O63</f>
        <v>Yes</v>
      </c>
      <c r="P1613" s="1621">
        <f>'Part IX Scoring Criteria'!P63</f>
        <v>0</v>
      </c>
      <c r="Q1613" s="1659"/>
      <c r="R1613" s="1659"/>
      <c r="S1613" s="1659"/>
      <c r="T1613" s="1659"/>
      <c r="U1613" s="1659"/>
      <c r="V1613" s="1659"/>
      <c r="W1613" s="1659"/>
      <c r="X1613" s="1659"/>
      <c r="Y1613" s="1659"/>
      <c r="Z1613" s="1659"/>
    </row>
    <row r="1614" spans="1:26" ht="15" customHeight="1">
      <c r="A1614" s="1508" t="s">
        <v>1982</v>
      </c>
      <c r="B1614" s="1503" t="s">
        <v>1873</v>
      </c>
      <c r="C1614" s="1312"/>
      <c r="D1614" s="1312"/>
      <c r="E1614" s="1659"/>
      <c r="F1614" s="1311"/>
      <c r="G1614" s="1335" t="s">
        <v>2717</v>
      </c>
      <c r="H1614" s="1659"/>
      <c r="I1614" s="1513" t="s">
        <v>4555</v>
      </c>
      <c r="J1614" s="1513"/>
      <c r="K1614" s="1513"/>
      <c r="L1614" s="1513"/>
      <c r="M1614" s="1313">
        <v>10</v>
      </c>
      <c r="N1614" s="1696" t="s">
        <v>1982</v>
      </c>
      <c r="O1614" s="1697">
        <f>'Part IX Scoring Criteria'!O64</f>
        <v>10</v>
      </c>
      <c r="P1614" s="1697">
        <f>'Part IX Scoring Criteria'!P64</f>
        <v>0</v>
      </c>
      <c r="Q1614" s="1698" t="str">
        <f>IF(OR($O1614=$M1614,$O1614=0,$O1614=""),"","*CHECK!*")</f>
        <v/>
      </c>
      <c r="R1614" s="1699" t="s">
        <v>2705</v>
      </c>
      <c r="S1614" s="1659"/>
      <c r="T1614" s="1659"/>
      <c r="U1614" s="1659"/>
      <c r="V1614" s="1659"/>
      <c r="W1614" s="1659"/>
      <c r="X1614" s="1659"/>
      <c r="Y1614" s="1659"/>
      <c r="Z1614" s="1659"/>
    </row>
    <row r="1615" spans="1:26" ht="14.4">
      <c r="A1615" s="1508" t="s">
        <v>1984</v>
      </c>
      <c r="B1615" s="1503" t="s">
        <v>3841</v>
      </c>
      <c r="C1615" s="1659"/>
      <c r="D1615" s="1695"/>
      <c r="E1615" s="1659"/>
      <c r="F1615" s="1700"/>
      <c r="G1615" s="1335" t="s">
        <v>3982</v>
      </c>
      <c r="H1615" s="1659"/>
      <c r="I1615" s="1513"/>
      <c r="J1615" s="1513"/>
      <c r="K1615" s="1513"/>
      <c r="L1615" s="1513"/>
      <c r="M1615" s="1578" t="s">
        <v>1237</v>
      </c>
      <c r="N1615" s="1620" t="s">
        <v>1984</v>
      </c>
      <c r="O1615" s="1697">
        <f>'Part IX Scoring Criteria'!O65</f>
        <v>0</v>
      </c>
      <c r="P1615" s="1697">
        <f>'Part IX Scoring Criteria'!P65</f>
        <v>0</v>
      </c>
      <c r="Q1615" s="1659"/>
      <c r="R1615" s="1699" t="s">
        <v>2705</v>
      </c>
      <c r="S1615" s="1659"/>
      <c r="T1615" s="1659"/>
      <c r="U1615" s="1659"/>
      <c r="V1615" s="1659"/>
      <c r="W1615" s="1659"/>
      <c r="X1615" s="1659"/>
      <c r="Y1615" s="1659"/>
      <c r="Z1615" s="1659"/>
    </row>
    <row r="1616" spans="1:26" ht="14.4">
      <c r="A1616" s="1314"/>
      <c r="B1616" s="1677" t="s">
        <v>3752</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265.2">
      <c r="A1617" s="1583" t="str">
        <f>'Part IX Scoring Criteria'!A67</f>
        <v xml:space="preserve">Although this section is not required for the Rural HOME Preservations Set Aside, we wanted to show that the project is in a great location within the Leesburg Community. Residents have opportunity to access services and activities within 2 miles of Woodstone Apartments II. </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4.4">
      <c r="A1618" s="1314"/>
      <c r="B1618" s="1549" t="s">
        <v>1865</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6">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1791</v>
      </c>
      <c r="B1621" s="1661" t="s">
        <v>2630</v>
      </c>
      <c r="C1621" s="1659"/>
      <c r="D1621" s="1695"/>
      <c r="E1621" s="1659"/>
      <c r="F1621" s="1659"/>
      <c r="G1621" s="1659"/>
      <c r="H1621" s="1659"/>
      <c r="I1621" s="1659"/>
      <c r="J1621" s="1659"/>
      <c r="K1621" s="1701" t="s">
        <v>1878</v>
      </c>
      <c r="L1621" s="1659"/>
      <c r="M1621" s="1496">
        <v>6</v>
      </c>
      <c r="N1621" s="1620"/>
      <c r="O1621" s="1658">
        <f>'Part IX Scoring Criteria'!O71</f>
        <v>0</v>
      </c>
      <c r="P1621" s="1658">
        <f>'Part IX Scoring Criteria'!P71</f>
        <v>0</v>
      </c>
      <c r="Q1621" s="1496" t="s">
        <v>441</v>
      </c>
      <c r="R1621" s="1702" t="s">
        <v>4556</v>
      </c>
      <c r="S1621" s="1702"/>
      <c r="T1621" s="1702"/>
      <c r="U1621" s="1702"/>
      <c r="V1621" s="1659"/>
      <c r="W1621" s="1659"/>
      <c r="X1621" s="1659"/>
      <c r="Y1621" s="1659"/>
      <c r="Z1621" s="1659"/>
    </row>
    <row r="1622" spans="1:26" ht="14.4">
      <c r="A1622" s="1660"/>
      <c r="B1622" s="1317" t="s">
        <v>3956</v>
      </c>
      <c r="C1622" s="1659"/>
      <c r="D1622" s="1695"/>
      <c r="E1622" s="1659"/>
      <c r="F1622" s="1659"/>
      <c r="G1622" s="1659"/>
      <c r="H1622" s="1503" t="s">
        <v>2792</v>
      </c>
      <c r="I1622" s="1531"/>
      <c r="J1622" s="1503" t="str">
        <f>'Part I-Project Information'!$H$105</f>
        <v>Rural</v>
      </c>
      <c r="K1622" s="1317"/>
      <c r="L1622" s="1659"/>
      <c r="M1622" s="1496"/>
      <c r="N1622" s="1620"/>
      <c r="O1622" s="1703" t="s">
        <v>3593</v>
      </c>
      <c r="P1622" s="1703" t="s">
        <v>3594</v>
      </c>
      <c r="Q1622" s="1496"/>
      <c r="R1622" s="1702"/>
      <c r="S1622" s="1702"/>
      <c r="T1622" s="1702"/>
      <c r="U1622" s="1702"/>
      <c r="V1622" s="1659"/>
      <c r="W1622" s="1659"/>
      <c r="X1622" s="1659"/>
      <c r="Y1622" s="1659"/>
      <c r="Z1622" s="1659"/>
    </row>
    <row r="1623" spans="1:26" ht="14.4">
      <c r="A1623" s="1660"/>
      <c r="B1623" s="1704" t="s">
        <v>1985</v>
      </c>
      <c r="C1623" s="1051" t="s">
        <v>3592</v>
      </c>
      <c r="D1623" s="1695"/>
      <c r="E1623" s="1659"/>
      <c r="F1623" s="1659"/>
      <c r="G1623" s="1659"/>
      <c r="H1623" s="1677"/>
      <c r="I1623" s="1549"/>
      <c r="J1623" s="1317"/>
      <c r="K1623" s="1317"/>
      <c r="L1623" s="1659"/>
      <c r="M1623" s="1496"/>
      <c r="N1623" s="1620"/>
      <c r="O1623" s="1621">
        <f>'Part IX Scoring Criteria'!O73</f>
        <v>0</v>
      </c>
      <c r="P1623" s="1621">
        <f>'Part IX Scoring Criteria'!P73</f>
        <v>0</v>
      </c>
      <c r="Q1623" s="1496"/>
      <c r="R1623" s="1702"/>
      <c r="S1623" s="1702"/>
      <c r="T1623" s="1702"/>
      <c r="U1623" s="1702"/>
      <c r="V1623" s="1659"/>
      <c r="W1623" s="1659"/>
      <c r="X1623" s="1659"/>
      <c r="Y1623" s="1659"/>
      <c r="Z1623" s="1659"/>
    </row>
    <row r="1624" spans="1:26" ht="14.4">
      <c r="A1624" s="1660"/>
      <c r="B1624" s="1704" t="s">
        <v>1987</v>
      </c>
      <c r="C1624" s="1051" t="s">
        <v>3954</v>
      </c>
      <c r="D1624" s="1695"/>
      <c r="E1624" s="1659"/>
      <c r="F1624" s="1659"/>
      <c r="G1624" s="1659"/>
      <c r="H1624" s="1677"/>
      <c r="I1624" s="1549"/>
      <c r="J1624" s="1317"/>
      <c r="K1624" s="1317"/>
      <c r="L1624" s="1659"/>
      <c r="M1624" s="1659"/>
      <c r="N1624" s="1620"/>
      <c r="O1624" s="1621">
        <f>'Part IX Scoring Criteria'!O74</f>
        <v>0</v>
      </c>
      <c r="P1624" s="1621">
        <f>'Part IX Scoring Criteria'!P74</f>
        <v>0</v>
      </c>
      <c r="Q1624" s="1496"/>
      <c r="R1624" s="1702"/>
      <c r="S1624" s="1702"/>
      <c r="T1624" s="1702"/>
      <c r="U1624" s="1702"/>
      <c r="V1624" s="1659"/>
      <c r="W1624" s="1659"/>
      <c r="X1624" s="1659"/>
      <c r="Y1624" s="1659"/>
      <c r="Z1624" s="1659"/>
    </row>
    <row r="1625" spans="1:26" ht="14.4">
      <c r="A1625" s="1660"/>
      <c r="B1625" s="1704" t="s">
        <v>2533</v>
      </c>
      <c r="C1625" s="1051" t="s">
        <v>3955</v>
      </c>
      <c r="D1625" s="1695"/>
      <c r="E1625" s="1659"/>
      <c r="F1625" s="1659"/>
      <c r="G1625" s="1659"/>
      <c r="H1625" s="1677"/>
      <c r="I1625" s="1549"/>
      <c r="J1625" s="1317"/>
      <c r="K1625" s="1317"/>
      <c r="L1625" s="1659"/>
      <c r="M1625" s="1659"/>
      <c r="N1625" s="1620"/>
      <c r="O1625" s="1621">
        <f>'Part IX Scoring Criteria'!O76</f>
        <v>0</v>
      </c>
      <c r="P1625" s="1621" t="e">
        <f>'Part IX Scoring Criteria'!#REF!</f>
        <v>#REF!</v>
      </c>
      <c r="Q1625" s="1496"/>
      <c r="R1625" s="1702"/>
      <c r="S1625" s="1702"/>
      <c r="T1625" s="1702"/>
      <c r="U1625" s="1702"/>
      <c r="V1625" s="1659"/>
      <c r="W1625" s="1659"/>
      <c r="X1625" s="1659"/>
      <c r="Y1625" s="1659"/>
      <c r="Z1625" s="1659"/>
    </row>
    <row r="1626" spans="1:26" ht="14.4">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4.4">
      <c r="A1627" s="1660"/>
      <c r="B1627" s="1317" t="s">
        <v>3962</v>
      </c>
      <c r="C1627" s="1659"/>
      <c r="D1627" s="1695"/>
      <c r="E1627" s="1659"/>
      <c r="F1627" s="1317" t="s">
        <v>3714</v>
      </c>
      <c r="G1627" s="1317"/>
      <c r="H1627" s="1317"/>
      <c r="I1627" s="1317"/>
      <c r="J1627" s="1317" t="s">
        <v>3715</v>
      </c>
      <c r="K1627" s="1317"/>
      <c r="L1627" s="1317"/>
      <c r="M1627" s="1317"/>
      <c r="N1627" s="1620"/>
      <c r="O1627" s="1469" t="s">
        <v>4557</v>
      </c>
      <c r="P1627" s="1705"/>
      <c r="Q1627" s="1496"/>
      <c r="R1627" s="1702"/>
      <c r="S1627" s="1702"/>
      <c r="T1627" s="1702"/>
      <c r="U1627" s="1702"/>
      <c r="V1627" s="1659"/>
      <c r="W1627" s="1659"/>
      <c r="X1627" s="1659"/>
      <c r="Y1627" s="1659"/>
      <c r="Z1627" s="1659"/>
    </row>
    <row r="1628" spans="1:26" ht="14.4">
      <c r="A1628" s="1660"/>
      <c r="B1628" s="1659"/>
      <c r="C1628" s="1317" t="s">
        <v>3961</v>
      </c>
      <c r="D1628" s="1394"/>
      <c r="E1628" s="1393"/>
      <c r="F1628" s="1706">
        <f>'Part IX Scoring Criteria'!F79</f>
        <v>0</v>
      </c>
      <c r="G1628" s="1706">
        <f>'Part IX Scoring Criteria'!G79</f>
        <v>0</v>
      </c>
      <c r="H1628" s="1706">
        <f>'Part IX Scoring Criteria'!H79</f>
        <v>0</v>
      </c>
      <c r="I1628" s="1706">
        <f>'Part IX Scoring Criteria'!I79</f>
        <v>0</v>
      </c>
      <c r="J1628" s="1706">
        <f>'Part IX Scoring Criteria'!J79</f>
        <v>0</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4.4">
      <c r="A1629" s="1659"/>
      <c r="B1629" s="1570"/>
      <c r="C1629" s="1659"/>
      <c r="D1629" s="457" t="s">
        <v>3963</v>
      </c>
      <c r="E1629" s="1393"/>
      <c r="F1629" s="1706">
        <f>'Part IX Scoring Criteria'!F80</f>
        <v>0</v>
      </c>
      <c r="G1629" s="1706">
        <f>'Part IX Scoring Criteria'!G80</f>
        <v>0</v>
      </c>
      <c r="H1629" s="1706">
        <f>'Part IX Scoring Criteria'!H80</f>
        <v>0</v>
      </c>
      <c r="I1629" s="1706">
        <f>'Part IX Scoring Criteria'!I80</f>
        <v>0</v>
      </c>
      <c r="J1629" s="1706">
        <f>'Part IX Scoring Criteria'!J80</f>
        <v>0</v>
      </c>
      <c r="K1629" s="1706">
        <f>'Part IX Scoring Criteria'!K80</f>
        <v>0</v>
      </c>
      <c r="L1629" s="1706">
        <f>'Part IX Scoring Criteria'!L80</f>
        <v>0</v>
      </c>
      <c r="M1629" s="1706">
        <f>'Part IX Scoring Criteria'!M80</f>
        <v>0</v>
      </c>
      <c r="N1629" s="1620"/>
      <c r="O1629" s="1707">
        <f>'Part IX Scoring Criteria'!O80</f>
        <v>0</v>
      </c>
      <c r="P1629" s="1707">
        <f>'Part IX Scoring Criteria'!P80</f>
        <v>0</v>
      </c>
      <c r="Q1629" s="1496"/>
      <c r="R1629" s="1702"/>
      <c r="S1629" s="1702"/>
      <c r="T1629" s="1702"/>
      <c r="U1629" s="1702"/>
      <c r="V1629" s="1659"/>
      <c r="W1629" s="1659"/>
      <c r="X1629" s="1659"/>
      <c r="Y1629" s="1659"/>
      <c r="Z1629" s="1659"/>
    </row>
    <row r="1630" spans="1:26" ht="15" customHeight="1">
      <c r="A1630" s="1570" t="s">
        <v>4139</v>
      </c>
      <c r="B1630" s="1570"/>
      <c r="C1630" s="1317" t="s">
        <v>4091</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4.4">
      <c r="A1631" s="1570"/>
      <c r="B1631" s="1570"/>
      <c r="C1631" s="1659"/>
      <c r="D1631" s="457" t="s">
        <v>4090</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4.4">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4.4">
      <c r="A1633" s="1708" t="s">
        <v>2783</v>
      </c>
      <c r="B1633" s="1661"/>
      <c r="C1633" s="1659"/>
      <c r="D1633" s="1695"/>
      <c r="E1633" s="1659"/>
      <c r="F1633" s="1709" t="s">
        <v>4558</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1982</v>
      </c>
      <c r="B1634" s="1503" t="s">
        <v>3745</v>
      </c>
      <c r="C1634" s="1659"/>
      <c r="D1634" s="1695"/>
      <c r="E1634" s="1659"/>
      <c r="F1634" s="1677" t="s">
        <v>4559</v>
      </c>
      <c r="G1634" s="1659"/>
      <c r="H1634" s="1659"/>
      <c r="I1634" s="1710" t="s">
        <v>4560</v>
      </c>
      <c r="J1634" s="1710"/>
      <c r="K1634" s="1710"/>
      <c r="L1634" s="1710"/>
      <c r="M1634" s="1496">
        <v>6</v>
      </c>
      <c r="N1634" s="1684" t="s">
        <v>1982</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1985</v>
      </c>
      <c r="C1635" s="1583" t="s">
        <v>4561</v>
      </c>
      <c r="D1635" s="1583"/>
      <c r="E1635" s="1583"/>
      <c r="F1635" s="1583"/>
      <c r="G1635" s="1583"/>
      <c r="H1635" s="1583"/>
      <c r="I1635" s="1710"/>
      <c r="J1635" s="1710"/>
      <c r="K1635" s="1710"/>
      <c r="L1635" s="1710"/>
      <c r="M1635" s="1713">
        <v>5</v>
      </c>
      <c r="N1635" s="1704" t="s">
        <v>1985</v>
      </c>
      <c r="O1635" s="1697">
        <f>'Part IX Scoring Criteria'!O87</f>
        <v>0</v>
      </c>
      <c r="P1635" s="1697">
        <f>'Part IX Scoring Criteria'!P87</f>
        <v>0</v>
      </c>
      <c r="Q1635" s="1698" t="str">
        <f>IF(OR($O1635=$M1635,$O1635=0,$O1635=""),"","*CHECK!*")</f>
        <v/>
      </c>
      <c r="R1635" s="1699" t="s">
        <v>2705</v>
      </c>
      <c r="S1635" s="1711"/>
      <c r="T1635" s="1711"/>
      <c r="U1635" s="1711"/>
      <c r="V1635" s="1711"/>
      <c r="W1635" s="1711"/>
      <c r="X1635" s="1711"/>
      <c r="Y1635" s="1711"/>
      <c r="Z1635" s="1711"/>
    </row>
    <row r="1636" spans="1:26" ht="15" customHeight="1">
      <c r="A1636" s="1621" t="s">
        <v>1352</v>
      </c>
      <c r="B1636" s="1712" t="s">
        <v>1987</v>
      </c>
      <c r="C1636" s="1604" t="s">
        <v>4562</v>
      </c>
      <c r="D1636" s="1604"/>
      <c r="E1636" s="1604"/>
      <c r="F1636" s="1604"/>
      <c r="G1636" s="1604"/>
      <c r="H1636" s="1604"/>
      <c r="I1636" s="1710"/>
      <c r="J1636" s="1710"/>
      <c r="K1636" s="1710"/>
      <c r="L1636" s="1710"/>
      <c r="M1636" s="1713">
        <v>4</v>
      </c>
      <c r="N1636" s="1704" t="s">
        <v>1987</v>
      </c>
      <c r="O1636" s="1697">
        <f>'Part IX Scoring Criteria'!O88</f>
        <v>0</v>
      </c>
      <c r="P1636" s="1697">
        <f>'Part IX Scoring Criteria'!P88</f>
        <v>0</v>
      </c>
      <c r="Q1636" s="1698" t="str">
        <f>IF(OR($O1636=$M1636,$O1636=0,$O1636=""),"","*CHECK!*")</f>
        <v/>
      </c>
      <c r="R1636" s="1699" t="s">
        <v>2705</v>
      </c>
      <c r="S1636" s="1711"/>
      <c r="T1636" s="1711"/>
      <c r="U1636" s="1711"/>
      <c r="V1636" s="1711"/>
      <c r="W1636" s="1711"/>
      <c r="X1636" s="1711"/>
      <c r="Y1636" s="1711"/>
      <c r="Z1636" s="1711"/>
    </row>
    <row r="1637" spans="1:26" ht="15" customHeight="1">
      <c r="A1637" s="1711"/>
      <c r="B1637" s="1712" t="s">
        <v>2533</v>
      </c>
      <c r="C1637" s="1604" t="s">
        <v>3746</v>
      </c>
      <c r="D1637" s="1604"/>
      <c r="E1637" s="1604"/>
      <c r="F1637" s="1604"/>
      <c r="G1637" s="1620" t="s">
        <v>4089</v>
      </c>
      <c r="H1637" s="1612" t="str">
        <f>'Part I-Project Information'!$H$82</f>
        <v>Family</v>
      </c>
      <c r="I1637" s="1573" t="str">
        <f>'Part IX Scoring Criteria'!I92</f>
        <v>&lt;&lt; Enter transit agency/service name here &gt;&gt;</v>
      </c>
      <c r="J1637" s="1573">
        <f>'Part IX Scoring Criteria'!J92</f>
        <v>0</v>
      </c>
      <c r="K1637" s="1573">
        <f>'Part IX Scoring Criteria'!K92</f>
        <v>0</v>
      </c>
      <c r="L1637" s="1848" t="str">
        <f>'Part IX Scoring Criteria'!L92</f>
        <v>&lt;Enter phone here&gt;</v>
      </c>
      <c r="M1637" s="1713">
        <v>1</v>
      </c>
      <c r="N1637" s="1704" t="s">
        <v>2533</v>
      </c>
      <c r="O1637" s="1697">
        <f>'Part IX Scoring Criteria'!O89</f>
        <v>0</v>
      </c>
      <c r="P1637" s="1697">
        <f>'Part IX Scoring Criteria'!P89</f>
        <v>0</v>
      </c>
      <c r="Q1637" s="1698" t="str">
        <f>IF(OR($O1637=$M1637,$O1637=0,$O1637=""),"","*CHECK!*")</f>
        <v/>
      </c>
      <c r="R1637" s="1699" t="s">
        <v>2705</v>
      </c>
      <c r="S1637" s="1711"/>
      <c r="T1637" s="1711"/>
      <c r="U1637" s="1711"/>
      <c r="V1637" s="1711"/>
      <c r="W1637" s="1711"/>
      <c r="X1637" s="1711"/>
      <c r="Y1637" s="1711"/>
      <c r="Z1637" s="1711"/>
    </row>
    <row r="1638" spans="1:26" ht="14.4">
      <c r="A1638" s="1619" t="s">
        <v>1984</v>
      </c>
      <c r="B1638" s="1714" t="s">
        <v>3747</v>
      </c>
      <c r="C1638" s="1202"/>
      <c r="D1638" s="1202"/>
      <c r="E1638" s="1202"/>
      <c r="F1638" s="1715" t="s">
        <v>4563</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1984</v>
      </c>
      <c r="O1638" s="1546">
        <f>'Part IX Scoring Criteria'!O92</f>
        <v>0</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1985</v>
      </c>
      <c r="C1639" s="1550" t="s">
        <v>4564</v>
      </c>
      <c r="D1639" s="1550"/>
      <c r="E1639" s="1550"/>
      <c r="F1639" s="1550"/>
      <c r="G1639" s="1550"/>
      <c r="H1639" s="1550"/>
      <c r="I1639" s="1573" t="str">
        <f>'Part IX Scoring Criteria'!I96</f>
        <v>&lt;&lt; Enter specific URL/webpage showing established schedule from transit agency website here &gt;&gt;</v>
      </c>
      <c r="J1639" s="1573">
        <f>'Part IX Scoring Criteria'!J96</f>
        <v>0</v>
      </c>
      <c r="K1639" s="1573">
        <f>'Part IX Scoring Criteria'!K96</f>
        <v>0</v>
      </c>
      <c r="L1639" s="1573">
        <f>'Part IX Scoring Criteria'!L96</f>
        <v>0</v>
      </c>
      <c r="M1639" s="1713">
        <v>3</v>
      </c>
      <c r="N1639" s="1704" t="s">
        <v>1985</v>
      </c>
      <c r="O1639" s="1697">
        <f>'Part IX Scoring Criteria'!O95</f>
        <v>0</v>
      </c>
      <c r="P1639" s="1697">
        <f>'Part IX Scoring Criteria'!P95</f>
        <v>0</v>
      </c>
      <c r="Q1639" s="1698" t="str">
        <f>IF(OR($O1639=$M1639,$O1639=0,$O1639=""),"","*CHECK!*")</f>
        <v/>
      </c>
      <c r="R1639" s="1699" t="s">
        <v>2705</v>
      </c>
      <c r="S1639" s="1711"/>
      <c r="T1639" s="1711"/>
      <c r="U1639" s="1711"/>
      <c r="V1639" s="1711"/>
      <c r="W1639" s="1711"/>
      <c r="X1639" s="1711"/>
      <c r="Y1639" s="1711"/>
      <c r="Z1639" s="1711"/>
    </row>
    <row r="1640" spans="1:26" ht="15" customHeight="1">
      <c r="A1640" s="1628" t="s">
        <v>1352</v>
      </c>
      <c r="B1640" s="1712" t="s">
        <v>1987</v>
      </c>
      <c r="C1640" s="1550" t="s">
        <v>4565</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1987</v>
      </c>
      <c r="O1640" s="1697">
        <f>'Part IX Scoring Criteria'!O96</f>
        <v>0</v>
      </c>
      <c r="P1640" s="1697">
        <f>'Part IX Scoring Criteria'!P96</f>
        <v>0</v>
      </c>
      <c r="Q1640" s="1698" t="str">
        <f>IF(OR($O1640=$M1640,$O1640=0,$O1640=""),"","*CHECK!*")</f>
        <v/>
      </c>
      <c r="R1640" s="1699" t="s">
        <v>2705</v>
      </c>
      <c r="S1640" s="1659"/>
      <c r="T1640" s="1659"/>
      <c r="U1640" s="1659"/>
      <c r="V1640" s="1659"/>
      <c r="W1640" s="1659"/>
      <c r="X1640" s="1659"/>
      <c r="Y1640" s="1659"/>
      <c r="Z1640" s="1659"/>
    </row>
    <row r="1641" spans="1:26" ht="15" customHeight="1">
      <c r="A1641" s="1628" t="s">
        <v>1352</v>
      </c>
      <c r="B1641" s="1712" t="s">
        <v>2533</v>
      </c>
      <c r="C1641" s="1583" t="s">
        <v>4566</v>
      </c>
      <c r="D1641" s="1583"/>
      <c r="E1641" s="1583"/>
      <c r="F1641" s="1583"/>
      <c r="G1641" s="1583"/>
      <c r="H1641" s="1583"/>
      <c r="I1641" s="1573" t="str">
        <f>'Part IX Scoring Criteria'!I98</f>
        <v>&lt;&lt; Enter specific URL/webpage showing established routes from transit agency website (if different) here &gt;&gt;</v>
      </c>
      <c r="J1641" s="1573">
        <f>'Part IX Scoring Criteria'!J98</f>
        <v>0</v>
      </c>
      <c r="K1641" s="1573">
        <f>'Part IX Scoring Criteria'!K98</f>
        <v>0</v>
      </c>
      <c r="L1641" s="1573">
        <f>'Part IX Scoring Criteria'!L98</f>
        <v>0</v>
      </c>
      <c r="M1641" s="1713">
        <v>1</v>
      </c>
      <c r="N1641" s="1704" t="s">
        <v>2533</v>
      </c>
      <c r="O1641" s="1697">
        <f>'Part IX Scoring Criteria'!O97</f>
        <v>0</v>
      </c>
      <c r="P1641" s="1697">
        <f>'Part IX Scoring Criteria'!P97</f>
        <v>0</v>
      </c>
      <c r="Q1641" s="1698" t="str">
        <f>IF(OR($O1641=$M1641,$O1641=0,$O1641=""),"","*CHECK!*")</f>
        <v/>
      </c>
      <c r="R1641" s="1699" t="s">
        <v>2705</v>
      </c>
      <c r="S1641" s="1659"/>
      <c r="T1641" s="1659"/>
      <c r="U1641" s="1659"/>
      <c r="V1641" s="1659"/>
      <c r="W1641" s="1659"/>
      <c r="X1641" s="1659"/>
      <c r="Y1641" s="1659"/>
      <c r="Z1641" s="1659"/>
    </row>
    <row r="1642" spans="1:26" ht="14.4">
      <c r="A1642" s="1708" t="s">
        <v>2785</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4.4">
      <c r="A1643" s="1508"/>
      <c r="B1643" s="1712" t="s">
        <v>1223</v>
      </c>
      <c r="C1643" s="1503" t="s">
        <v>4567</v>
      </c>
      <c r="D1643" s="1503"/>
      <c r="E1643" s="1503"/>
      <c r="F1643" s="1503"/>
      <c r="G1643" s="1503"/>
      <c r="H1643" s="1503"/>
      <c r="I1643" s="1503"/>
      <c r="J1643" s="1503"/>
      <c r="K1643" s="1503"/>
      <c r="L1643" s="1503"/>
      <c r="M1643" s="1313">
        <v>2</v>
      </c>
      <c r="N1643" s="1704" t="s">
        <v>1223</v>
      </c>
      <c r="O1643" s="1658">
        <f>'Part IX Scoring Criteria'!O100</f>
        <v>0</v>
      </c>
      <c r="P1643" s="1658">
        <f>'Part IX Scoring Criteria'!P100</f>
        <v>0</v>
      </c>
      <c r="Q1643" s="1698" t="str">
        <f>IF(OR($O1643=$M1643,$O1643=0,$O1643=""),"","*CHECK!*")</f>
        <v/>
      </c>
      <c r="R1643" s="1699" t="s">
        <v>2705</v>
      </c>
      <c r="S1643" s="1676"/>
      <c r="T1643" s="1676"/>
      <c r="U1643" s="1676"/>
      <c r="V1643" s="1676"/>
      <c r="W1643" s="1676"/>
      <c r="X1643" s="1676"/>
      <c r="Y1643" s="1676"/>
      <c r="Z1643" s="1676"/>
    </row>
    <row r="1644" spans="1:26" ht="14.4">
      <c r="A1644" s="457" t="s">
        <v>4568</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4.4">
      <c r="A1645" s="1314"/>
      <c r="B1645" s="1549" t="s">
        <v>1865</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6">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4.4">
      <c r="N1647" s="1320"/>
      <c r="O1647" s="1322"/>
      <c r="P1647" s="1322"/>
      <c r="R1647" s="1659"/>
    </row>
    <row r="1648" spans="1:26" ht="14.4">
      <c r="A1648" s="1660" t="s">
        <v>1793</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4569</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4.4">
      <c r="A1651" s="1659"/>
      <c r="B1651" s="1503" t="s">
        <v>2792</v>
      </c>
      <c r="C1651" s="1659"/>
      <c r="D1651" s="1659"/>
      <c r="E1651" s="1659"/>
      <c r="F1651" s="1659"/>
      <c r="G1651" s="1695"/>
      <c r="H1651" s="1695"/>
      <c r="I1651" s="1723" t="str">
        <f>'Part I-Project Information'!$H$105</f>
        <v>Rural</v>
      </c>
      <c r="J1651" s="1659"/>
      <c r="L1651" s="1659"/>
      <c r="M1651" s="1496"/>
      <c r="N1651" s="1720"/>
      <c r="O1651" s="1500"/>
      <c r="P1651" s="1500"/>
      <c r="Q1651" s="1659"/>
      <c r="R1651" s="1659"/>
      <c r="S1651" s="1659"/>
      <c r="T1651" s="1659"/>
      <c r="U1651" s="1659"/>
      <c r="V1651" s="1659"/>
      <c r="W1651" s="1659"/>
      <c r="X1651" s="1659"/>
      <c r="Y1651" s="1659"/>
      <c r="Z1651" s="1659"/>
    </row>
    <row r="1652" spans="1:26" ht="14.4">
      <c r="A1652" s="1659"/>
      <c r="B1652" s="1503" t="s">
        <v>3965</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c r="A1653" s="1722"/>
      <c r="B1653" s="1722"/>
      <c r="C1653" s="1534" t="s">
        <v>3969</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c r="A1654" s="1722"/>
      <c r="B1654" s="1722"/>
      <c r="C1654" s="1534" t="s">
        <v>3970</v>
      </c>
      <c r="D1654" s="1722"/>
      <c r="E1654" s="1722"/>
      <c r="F1654" s="1722"/>
      <c r="G1654" s="1722"/>
      <c r="H1654" s="1722"/>
      <c r="I1654" s="1658" t="e">
        <f>'Part IX Scoring Criteria'!#REF!</f>
        <v>#REF!</v>
      </c>
      <c r="J1654" s="1658" t="e">
        <f>'Part IX Scoring Criteria'!#REF!</f>
        <v>#REF!</v>
      </c>
      <c r="K1654" s="1528"/>
      <c r="L1654" s="1722"/>
      <c r="M1654" s="1722"/>
      <c r="N1654" s="1722"/>
      <c r="O1654" s="1722" t="s">
        <v>3978</v>
      </c>
      <c r="P1654" s="1722"/>
      <c r="Q1654" s="1722"/>
      <c r="R1654" s="1722"/>
      <c r="S1654" s="1722"/>
      <c r="T1654" s="1722"/>
      <c r="U1654" s="1722"/>
      <c r="V1654" s="1722"/>
      <c r="W1654" s="1722"/>
      <c r="X1654" s="1722"/>
      <c r="Y1654" s="1722"/>
      <c r="Z1654" s="1722"/>
    </row>
    <row r="1655" spans="1:26" ht="14.4">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1982</v>
      </c>
      <c r="B1656" s="1503" t="s">
        <v>4570</v>
      </c>
      <c r="D1656" s="1314"/>
      <c r="K1656" s="1473" t="e">
        <f>IF(OR(AND(O1656&gt;0,O1657&gt;0),AND(O1657&gt;0,O1658&gt;0),AND(O1656&gt;0,O1658&gt;0)),"Choose A, B, or C.  See instructions.",IF(AND(O1658&gt;0,O1659&gt;0),"Choose A or B when choosing D.  See instructions.",""))</f>
        <v>#REF!</v>
      </c>
      <c r="L1656" s="1473"/>
      <c r="M1656" s="1713">
        <v>2</v>
      </c>
      <c r="N1656" s="1620" t="s">
        <v>1982</v>
      </c>
      <c r="O1656" s="1697" t="e">
        <f>'Part IX Scoring Criteria'!#REF!</f>
        <v>#REF!</v>
      </c>
      <c r="P1656" s="1697" t="e">
        <f>'Part IX Scoring Criteria'!#REF!</f>
        <v>#REF!</v>
      </c>
      <c r="Q1656" s="1698" t="e">
        <f>IF(OR($O1656=$M1656,$O1656=0,$O1656=""),"","*CHECK!*")</f>
        <v>#REF!</v>
      </c>
      <c r="R1656" s="1699" t="s">
        <v>2705</v>
      </c>
    </row>
    <row r="1657" spans="1:26" ht="13.5" customHeight="1">
      <c r="A1657" s="1508" t="s">
        <v>1984</v>
      </c>
      <c r="B1657" s="1503" t="s">
        <v>310</v>
      </c>
      <c r="D1657" s="1314"/>
      <c r="E1657" s="1314"/>
      <c r="K1657" s="1473"/>
      <c r="L1657" s="1473"/>
      <c r="M1657" s="1713">
        <v>1</v>
      </c>
      <c r="N1657" s="1620" t="s">
        <v>1984</v>
      </c>
      <c r="O1657" s="1697" t="e">
        <f>'Part IX Scoring Criteria'!#REF!</f>
        <v>#REF!</v>
      </c>
      <c r="P1657" s="1697" t="e">
        <f>'Part IX Scoring Criteria'!#REF!</f>
        <v>#REF!</v>
      </c>
      <c r="Q1657" s="1698" t="e">
        <f>IF(OR($O1657=$M1657,$O1657=0,$O1657=""),"","*CHECK!*")</f>
        <v>#REF!</v>
      </c>
      <c r="R1657" s="1699" t="s">
        <v>2705</v>
      </c>
    </row>
    <row r="1658" spans="1:26" ht="13.5" customHeight="1">
      <c r="A1658" s="1508" t="s">
        <v>748</v>
      </c>
      <c r="B1658" s="1503" t="s">
        <v>4571</v>
      </c>
      <c r="D1658" s="1314"/>
      <c r="E1658" s="1314"/>
      <c r="F1658" s="1314"/>
      <c r="K1658" s="1473"/>
      <c r="L1658" s="1473"/>
      <c r="M1658" s="1713">
        <v>3</v>
      </c>
      <c r="N1658" s="1620" t="s">
        <v>748</v>
      </c>
      <c r="O1658" s="1697" t="e">
        <f>'Part IX Scoring Criteria'!#REF!</f>
        <v>#REF!</v>
      </c>
      <c r="P1658" s="1697" t="e">
        <f>'Part IX Scoring Criteria'!#REF!</f>
        <v>#REF!</v>
      </c>
      <c r="Q1658" s="1698" t="e">
        <f>IF(OR($O1658=$M1658,$O1658=0,$O1658=""),"","*CHECK!*")</f>
        <v>#REF!</v>
      </c>
      <c r="R1658" s="1699" t="s">
        <v>2705</v>
      </c>
    </row>
    <row r="1659" spans="1:26" ht="13.5" customHeight="1">
      <c r="A1659" s="1508" t="s">
        <v>2114</v>
      </c>
      <c r="B1659" s="1503" t="s">
        <v>3776</v>
      </c>
      <c r="D1659" s="1314"/>
      <c r="E1659" s="1314"/>
      <c r="F1659" s="457" t="s">
        <v>3979</v>
      </c>
      <c r="J1659" s="1496" t="e">
        <f>'Part IX Scoring Criteria'!#REF!</f>
        <v>#REF!</v>
      </c>
      <c r="K1659" s="1473"/>
      <c r="L1659" s="1473"/>
      <c r="M1659" s="1713">
        <v>1</v>
      </c>
      <c r="N1659" s="1620" t="s">
        <v>2114</v>
      </c>
      <c r="O1659" s="1697" t="e">
        <f>'Part IX Scoring Criteria'!#REF!</f>
        <v>#REF!</v>
      </c>
      <c r="P1659" s="1697" t="e">
        <f>'Part IX Scoring Criteria'!#REF!</f>
        <v>#REF!</v>
      </c>
      <c r="Q1659" s="1698" t="e">
        <f>IF(OR($O1659=$M1659,$O1659=0,$O1659=""),"","*CHECK!*")</f>
        <v>#REF!</v>
      </c>
      <c r="R1659" s="1699" t="s">
        <v>2705</v>
      </c>
    </row>
    <row r="1660" spans="1:26" ht="14.4">
      <c r="A1660" s="1314"/>
      <c r="B1660" s="1677" t="s">
        <v>3752</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6">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4.4">
      <c r="A1662" s="1659"/>
      <c r="B1662" s="1549" t="s">
        <v>1865</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6">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4.4">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4.4">
      <c r="A1665" s="1660" t="s">
        <v>529</v>
      </c>
      <c r="B1665" s="1661" t="s">
        <v>3980</v>
      </c>
      <c r="C1665" s="1659"/>
      <c r="D1665" s="457"/>
      <c r="E1665" s="457"/>
      <c r="F1665" s="1496"/>
      <c r="G1665" s="1496"/>
      <c r="H1665" s="1496"/>
      <c r="I1665" s="1709" t="s">
        <v>4558</v>
      </c>
      <c r="J1665" s="1524"/>
      <c r="K1665" s="1524"/>
      <c r="L1665" s="1524"/>
      <c r="M1665" s="1496">
        <v>3</v>
      </c>
      <c r="N1665" s="1496"/>
      <c r="O1665" s="1658">
        <f>'Part IX Scoring Criteria'!O107</f>
        <v>0</v>
      </c>
      <c r="P1665" s="1658">
        <f>'Part IX Scoring Criteria'!P107</f>
        <v>0</v>
      </c>
      <c r="Q1665" s="1496" t="s">
        <v>441</v>
      </c>
      <c r="R1665" s="1659"/>
      <c r="S1665" s="1659"/>
      <c r="T1665" s="1659"/>
      <c r="U1665" s="1659"/>
      <c r="V1665" s="1659"/>
      <c r="W1665" s="1659"/>
      <c r="X1665" s="1659"/>
      <c r="Y1665" s="1659"/>
      <c r="Z1665" s="1659"/>
    </row>
    <row r="1666" spans="1:26" ht="14.4">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4.4">
      <c r="A1667" s="1508" t="s">
        <v>1982</v>
      </c>
      <c r="B1667" s="1503" t="s">
        <v>3981</v>
      </c>
      <c r="C1667" s="1676"/>
      <c r="D1667" s="1695"/>
      <c r="E1667" s="1051" t="s">
        <v>4095</v>
      </c>
      <c r="F1667" s="1659"/>
      <c r="G1667" s="1612"/>
      <c r="H1667" s="1659"/>
      <c r="I1667" s="1620" t="s">
        <v>4089</v>
      </c>
      <c r="J1667" s="1612" t="str">
        <f>'Part I-Project Information'!$H$82</f>
        <v>Family</v>
      </c>
      <c r="K1667" s="1695"/>
      <c r="L1667" s="1625" t="str">
        <f>IF(OR($O1667=$M1667,$O1667=0,$O1667=""),"","* * Check Score! * *")</f>
        <v/>
      </c>
      <c r="M1667" s="1313">
        <v>3</v>
      </c>
      <c r="N1667" s="1620" t="s">
        <v>1982</v>
      </c>
      <c r="O1667" s="1658">
        <f>'Part IX Scoring Criteria'!O109</f>
        <v>0</v>
      </c>
      <c r="P1667" s="1658">
        <f>'Part IX Scoring Criteria'!P109</f>
        <v>0</v>
      </c>
      <c r="Q1667" s="1698" t="str">
        <f>IF(OR($O1667=$M1667,$O1667=0,$O1667=""),"","*CHECK!*")</f>
        <v/>
      </c>
      <c r="R1667" s="1699" t="s">
        <v>2705</v>
      </c>
      <c r="S1667" s="1659"/>
      <c r="T1667" s="1659"/>
      <c r="U1667" s="1659"/>
      <c r="V1667" s="1659"/>
      <c r="W1667" s="1659"/>
      <c r="X1667" s="1659"/>
      <c r="Y1667" s="1659"/>
      <c r="Z1667" s="1659"/>
    </row>
    <row r="1668" spans="1:26" ht="14.4">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7.399999999999999">
      <c r="A1669" s="1508" t="s">
        <v>1984</v>
      </c>
      <c r="B1669" s="1503" t="s">
        <v>3983</v>
      </c>
      <c r="C1669" s="1676"/>
      <c r="D1669" s="1724"/>
      <c r="E1669" s="1372" t="s">
        <v>4199</v>
      </c>
      <c r="F1669" s="1659"/>
      <c r="G1669" s="1612"/>
      <c r="H1669" s="1659"/>
      <c r="I1669" s="1725"/>
      <c r="J1669" s="1695"/>
      <c r="K1669" s="1659"/>
      <c r="L1669" s="1625" t="e">
        <f>IF(OR($O1669&lt;=$M1669,$O1669=0,$O1669=""),"","* * Check Score! * *")</f>
        <v>#REF!</v>
      </c>
      <c r="M1669" s="1320">
        <v>3</v>
      </c>
      <c r="N1669" s="1620" t="s">
        <v>1984</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7.399999999999999">
      <c r="A1670" s="1618"/>
      <c r="B1670" s="1727" t="s">
        <v>4125</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0.399999999999999">
      <c r="A1671" s="1618"/>
      <c r="B1671" s="457"/>
      <c r="C1671" s="1728" t="s">
        <v>4126</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7.399999999999999">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7.399999999999999">
      <c r="A1673" s="1508"/>
      <c r="B1673" s="1729" t="s">
        <v>1985</v>
      </c>
      <c r="C1673" s="1503" t="s">
        <v>3984</v>
      </c>
      <c r="D1673" s="1676"/>
      <c r="E1673" s="1676"/>
      <c r="F1673" s="457"/>
      <c r="G1673" s="457"/>
      <c r="H1673" s="1676"/>
      <c r="I1673" s="1676"/>
      <c r="J1673" s="1676"/>
      <c r="K1673" s="1676"/>
      <c r="L1673" s="1625" t="str">
        <f>IF(OR($O1673=$M1673,$O1673=0,$O1673=""),"","* * Check Score! * *")</f>
        <v/>
      </c>
      <c r="M1673" s="1316">
        <v>2</v>
      </c>
      <c r="N1673" s="1696" t="s">
        <v>1985</v>
      </c>
      <c r="O1673" s="1658">
        <f>'Part IX Scoring Criteria'!O115</f>
        <v>0</v>
      </c>
      <c r="P1673" s="1658">
        <f>'Part IX Scoring Criteria'!P115</f>
        <v>0</v>
      </c>
      <c r="Q1673" s="1698" t="str">
        <f>IF(OR($O1673=$M1673,$O1673=0,$O1673=""),"","*CHECK!*")</f>
        <v/>
      </c>
      <c r="R1673" s="1699" t="s">
        <v>2705</v>
      </c>
      <c r="S1673" s="1726"/>
      <c r="T1673" s="1726"/>
      <c r="U1673" s="1676"/>
      <c r="V1673" s="1676"/>
      <c r="W1673" s="1676"/>
      <c r="X1673" s="1676"/>
      <c r="Y1673" s="1676"/>
      <c r="Z1673" s="1676"/>
    </row>
    <row r="1674" spans="1:26" ht="17.399999999999999">
      <c r="A1674" s="1508"/>
      <c r="B1674" s="1729"/>
      <c r="C1674" s="457" t="s">
        <v>3985</v>
      </c>
      <c r="D1674" s="1676"/>
      <c r="E1674" s="457"/>
      <c r="F1674" s="457"/>
      <c r="G1674" s="457"/>
      <c r="H1674" s="1676"/>
      <c r="I1674" s="1676"/>
      <c r="J1674" s="1676"/>
      <c r="K1674" s="1676"/>
      <c r="L1674" s="1676"/>
      <c r="M1674" s="1316"/>
      <c r="N1674" s="1316"/>
      <c r="O1674" s="1621">
        <f>'Part IX Scoring Criteria'!O116</f>
        <v>0</v>
      </c>
      <c r="P1674" s="1621">
        <f>'Part IX Scoring Criteria'!P116</f>
        <v>0</v>
      </c>
      <c r="Q1674" s="1726"/>
      <c r="R1674" s="1726"/>
      <c r="S1674" s="1726"/>
      <c r="T1674" s="1726"/>
      <c r="U1674" s="1676"/>
      <c r="V1674" s="1676"/>
      <c r="W1674" s="1676"/>
      <c r="X1674" s="1676"/>
      <c r="Y1674" s="1676"/>
      <c r="Z1674" s="1676"/>
    </row>
    <row r="1675" spans="1:26" ht="17.399999999999999">
      <c r="A1675" s="1508"/>
      <c r="B1675" s="1729"/>
      <c r="C1675" s="457" t="s">
        <v>4572</v>
      </c>
      <c r="D1675" s="1335" t="s">
        <v>4096</v>
      </c>
      <c r="E1675" s="1676"/>
      <c r="F1675" s="457"/>
      <c r="G1675" s="457"/>
      <c r="H1675" s="1468">
        <f>'Part IX Scoring Criteria'!H117</f>
        <v>0</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7.399999999999999">
      <c r="A1676" s="1508"/>
      <c r="B1676" s="457"/>
      <c r="C1676" s="457" t="s">
        <v>3988</v>
      </c>
      <c r="D1676" s="1676"/>
      <c r="E1676" s="457"/>
      <c r="F1676" s="457"/>
      <c r="G1676" s="457"/>
      <c r="H1676" s="1676"/>
      <c r="I1676" s="1676"/>
      <c r="J1676" s="1676"/>
      <c r="K1676" s="1676"/>
      <c r="L1676" s="1676"/>
      <c r="M1676" s="1313"/>
      <c r="N1676" s="1627" t="s">
        <v>3778</v>
      </c>
      <c r="O1676" s="1621">
        <f>'Part IX Scoring Criteria'!O118</f>
        <v>0</v>
      </c>
      <c r="P1676" s="1621">
        <f>'Part IX Scoring Criteria'!P118</f>
        <v>0</v>
      </c>
      <c r="Q1676" s="1726"/>
      <c r="R1676" s="1726"/>
      <c r="S1676" s="1726"/>
      <c r="T1676" s="1726"/>
      <c r="U1676" s="1676"/>
      <c r="V1676" s="1676"/>
      <c r="W1676" s="1676"/>
      <c r="X1676" s="1676"/>
      <c r="Y1676" s="1676"/>
      <c r="Z1676" s="1676"/>
    </row>
    <row r="1677" spans="1:26" ht="17.399999999999999">
      <c r="A1677" s="1618"/>
      <c r="B1677" s="1730"/>
      <c r="C1677" s="457" t="s">
        <v>3989</v>
      </c>
      <c r="D1677" s="457"/>
      <c r="E1677" s="457"/>
      <c r="F1677" s="457"/>
      <c r="G1677" s="457"/>
      <c r="H1677" s="457"/>
      <c r="I1677" s="457"/>
      <c r="J1677" s="457"/>
      <c r="K1677" s="457"/>
      <c r="L1677" s="457"/>
      <c r="M1677" s="1578"/>
      <c r="N1677" s="1620" t="s">
        <v>3779</v>
      </c>
      <c r="O1677" s="1621">
        <f>'Part IX Scoring Criteria'!O119</f>
        <v>0</v>
      </c>
      <c r="P1677" s="1621">
        <f>'Part IX Scoring Criteria'!P119</f>
        <v>0</v>
      </c>
      <c r="Q1677" s="1726"/>
      <c r="R1677" s="1726"/>
      <c r="S1677" s="1726"/>
      <c r="T1677" s="1726"/>
      <c r="U1677" s="457"/>
      <c r="V1677" s="457"/>
      <c r="W1677" s="457"/>
      <c r="X1677" s="457"/>
      <c r="Y1677" s="457"/>
      <c r="Z1677" s="457"/>
    </row>
    <row r="1678" spans="1:26">
      <c r="A1678" s="1618"/>
      <c r="B1678" s="1051"/>
      <c r="C1678" s="1051" t="s">
        <v>4123</v>
      </c>
      <c r="D1678" s="1051"/>
      <c r="E1678" s="457"/>
      <c r="F1678" s="457"/>
      <c r="G1678" s="457"/>
      <c r="H1678" s="1051"/>
      <c r="I1678" s="1051"/>
      <c r="J1678" s="1051"/>
      <c r="K1678" s="1051"/>
      <c r="L1678" s="1638" t="s">
        <v>3815</v>
      </c>
      <c r="M1678" s="1638"/>
      <c r="N1678" s="1638"/>
      <c r="O1678" s="1638" t="s">
        <v>3814</v>
      </c>
      <c r="P1678" s="1638"/>
      <c r="Q1678" s="457"/>
      <c r="R1678" s="1051"/>
      <c r="S1678" s="1051"/>
      <c r="T1678" s="1051"/>
      <c r="U1678" s="1051"/>
      <c r="V1678" s="1051"/>
      <c r="W1678" s="1051"/>
      <c r="X1678" s="1051"/>
      <c r="Y1678" s="1051"/>
      <c r="Z1678" s="1051"/>
    </row>
    <row r="1679" spans="1:26">
      <c r="A1679" s="1618"/>
      <c r="B1679" s="1620"/>
      <c r="C1679" s="1583">
        <f>'Part IX Scoring Criteria'!C121</f>
        <v>0</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&lt;&lt; Select &gt;&gt;</v>
      </c>
      <c r="M1679" s="1604">
        <f>'Part IX Scoring Criteria'!M121</f>
        <v>0</v>
      </c>
      <c r="N1679" s="1604">
        <f>'Part IX Scoring Criteria'!N121</f>
        <v>0</v>
      </c>
      <c r="O1679" s="1849">
        <f>'Part IX Scoring Criteria'!O121</f>
        <v>0</v>
      </c>
      <c r="P1679" s="1849">
        <f>'Part IX Scoring Criteria'!P121</f>
        <v>0</v>
      </c>
      <c r="Q1679" s="1577" t="str">
        <f>IF(O1679&gt;15, "Too much!","")</f>
        <v/>
      </c>
      <c r="R1679" s="1051"/>
      <c r="S1679" s="1051"/>
      <c r="T1679" s="1051"/>
      <c r="U1679" s="1051"/>
      <c r="V1679" s="1051"/>
      <c r="W1679" s="1051"/>
      <c r="X1679" s="1051"/>
      <c r="Y1679" s="1051"/>
      <c r="Z1679" s="1051"/>
    </row>
    <row r="1680" spans="1:26">
      <c r="A1680" s="1618"/>
      <c r="B1680" s="1627"/>
      <c r="C1680" s="1583">
        <f>'Part IX Scoring Criteria'!C122</f>
        <v>0</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&lt;&lt; Select &gt;&gt;</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c r="A1681" s="1618"/>
      <c r="B1681" s="1620"/>
      <c r="C1681" s="1583">
        <f>'Part IX Scoring Criteria'!C123</f>
        <v>0</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&lt;&lt; Select &gt;&gt;</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c r="A1682" s="1618"/>
      <c r="B1682" s="1620"/>
      <c r="C1682" s="1583">
        <f>'Part IX Scoring Criteria'!C124</f>
        <v>0</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&lt;&lt; Select &gt;&gt;</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4.4">
      <c r="A1683" s="1676"/>
      <c r="B1683" s="1729"/>
      <c r="C1683" s="457" t="s">
        <v>4573</v>
      </c>
      <c r="D1683" s="457" t="s">
        <v>3990</v>
      </c>
      <c r="E1683" s="457"/>
      <c r="F1683" s="457"/>
      <c r="G1683" s="457"/>
      <c r="H1683" s="1676"/>
      <c r="I1683" s="1676"/>
      <c r="J1683" s="1676"/>
      <c r="K1683" s="1676"/>
      <c r="L1683" s="1676"/>
      <c r="M1683" s="1676"/>
      <c r="N1683" s="1627" t="s">
        <v>3778</v>
      </c>
      <c r="O1683" s="1621">
        <f>'Part IX Scoring Criteria'!O125</f>
        <v>0</v>
      </c>
      <c r="P1683" s="1621">
        <f>'Part IX Scoring Criteria'!P125</f>
        <v>0</v>
      </c>
      <c r="Q1683" s="1335"/>
      <c r="R1683" s="1051"/>
      <c r="S1683" s="1051"/>
      <c r="T1683" s="1051"/>
      <c r="U1683" s="1051"/>
      <c r="V1683" s="1676"/>
      <c r="W1683" s="1676"/>
      <c r="X1683" s="1676"/>
      <c r="Y1683" s="1676"/>
      <c r="Z1683" s="1676"/>
    </row>
    <row r="1684" spans="1:26" ht="14.4">
      <c r="A1684" s="1508"/>
      <c r="B1684" s="457"/>
      <c r="C1684" s="1676"/>
      <c r="D1684" s="457" t="s">
        <v>3991</v>
      </c>
      <c r="E1684" s="457"/>
      <c r="F1684" s="457"/>
      <c r="G1684" s="457"/>
      <c r="H1684" s="1676"/>
      <c r="I1684" s="1676"/>
      <c r="J1684" s="1676"/>
      <c r="K1684" s="1676"/>
      <c r="L1684" s="1676"/>
      <c r="M1684" s="1313"/>
      <c r="N1684" s="1620" t="s">
        <v>3779</v>
      </c>
      <c r="O1684" s="1621">
        <f>'Part IX Scoring Criteria'!O126</f>
        <v>0</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4127</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4155</v>
      </c>
      <c r="D1686" s="1618"/>
      <c r="E1686" s="1618"/>
      <c r="F1686" s="1618"/>
      <c r="G1686" s="1621">
        <f>'Part IX Scoring Criteria'!O128</f>
        <v>0</v>
      </c>
      <c r="H1686" s="1621">
        <f>'Part IX Scoring Criteria'!P128</f>
        <v>0</v>
      </c>
      <c r="I1686" s="1524" t="s">
        <v>4158</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4156</v>
      </c>
      <c r="D1687" s="1618"/>
      <c r="E1687" s="1618"/>
      <c r="F1687" s="1618"/>
      <c r="G1687" s="1621">
        <f>'Part IX Scoring Criteria'!O129</f>
        <v>0</v>
      </c>
      <c r="H1687" s="1621">
        <f>'Part IX Scoring Criteria'!P129</f>
        <v>0</v>
      </c>
      <c r="I1687" s="457" t="s">
        <v>4159</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4157</v>
      </c>
      <c r="D1688" s="1618"/>
      <c r="E1688" s="1618"/>
      <c r="F1688" s="1618"/>
      <c r="G1688" s="1621">
        <f>'Part IX Scoring Criteria'!O130</f>
        <v>0</v>
      </c>
      <c r="H1688" s="1621">
        <f>'Part IX Scoring Criteria'!P130</f>
        <v>0</v>
      </c>
      <c r="I1688" s="1524" t="s">
        <v>4160</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4.4">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7.399999999999999">
      <c r="A1691" s="1619"/>
      <c r="B1691" s="1733" t="s">
        <v>1987</v>
      </c>
      <c r="C1691" s="1714" t="s">
        <v>3816</v>
      </c>
      <c r="D1691" s="1604"/>
      <c r="E1691" s="1711"/>
      <c r="F1691" s="1604"/>
      <c r="G1691" s="1604"/>
      <c r="H1691" s="1604"/>
      <c r="I1691" s="1604"/>
      <c r="J1691" s="1604"/>
      <c r="K1691" s="1604"/>
      <c r="L1691" s="1625" t="str">
        <f>IF(OR($O1691=$M1691,$O1691=0,$O1691=""),"","* * Check Score! * *")</f>
        <v/>
      </c>
      <c r="M1691" s="1198">
        <v>1</v>
      </c>
      <c r="N1691" s="1696" t="s">
        <v>1987</v>
      </c>
      <c r="O1691" s="1658">
        <f>'Part IX Scoring Criteria'!O137</f>
        <v>0</v>
      </c>
      <c r="P1691" s="1658">
        <f>'Part IX Scoring Criteria'!P137</f>
        <v>0</v>
      </c>
      <c r="Q1691" s="1698" t="str">
        <f>IF(OR($O1691=$M1691,$O1691=0,$O1691=""),"","*CHECK!*")</f>
        <v/>
      </c>
      <c r="R1691" s="1699" t="s">
        <v>2705</v>
      </c>
      <c r="S1691" s="1726"/>
      <c r="T1691" s="1726"/>
      <c r="U1691" s="1726"/>
      <c r="V1691" s="1711"/>
      <c r="W1691" s="1711"/>
      <c r="X1691" s="1711"/>
      <c r="Y1691" s="1711"/>
      <c r="Z1691" s="1711"/>
    </row>
    <row r="1692" spans="1:26" ht="17.399999999999999">
      <c r="A1692" s="1618"/>
      <c r="B1692" s="457"/>
      <c r="C1692" s="457" t="s">
        <v>3992</v>
      </c>
      <c r="D1692" s="1643"/>
      <c r="E1692" s="1643"/>
      <c r="F1692" s="1643"/>
      <c r="G1692" s="1643"/>
      <c r="H1692" s="1643"/>
      <c r="I1692" s="1643"/>
      <c r="J1692" s="1643"/>
      <c r="K1692" s="1643"/>
      <c r="L1692" s="1643"/>
      <c r="M1692" s="1578"/>
      <c r="N1692" s="457"/>
      <c r="O1692" s="1621">
        <f>'Part IX Scoring Criteria'!O138</f>
        <v>0</v>
      </c>
      <c r="P1692" s="1621">
        <f>'Part IX Scoring Criteria'!P138</f>
        <v>0</v>
      </c>
      <c r="Q1692" s="457"/>
      <c r="R1692" s="1726"/>
      <c r="S1692" s="1726"/>
      <c r="T1692" s="1726"/>
      <c r="U1692" s="1726"/>
      <c r="V1692" s="457"/>
      <c r="W1692" s="457"/>
      <c r="X1692" s="457"/>
      <c r="Y1692" s="457"/>
      <c r="Z1692" s="457"/>
    </row>
    <row r="1693" spans="1:26" ht="17.399999999999999">
      <c r="A1693" s="1618"/>
      <c r="B1693" s="1729"/>
      <c r="C1693" s="457" t="s">
        <v>4574</v>
      </c>
      <c r="D1693" s="1643"/>
      <c r="E1693" s="1643"/>
      <c r="F1693" s="1643"/>
      <c r="G1693" s="1524" t="s">
        <v>3993</v>
      </c>
      <c r="H1693" s="457"/>
      <c r="I1693" s="1643"/>
      <c r="J1693" s="1643"/>
      <c r="K1693" s="1643"/>
      <c r="L1693" s="1643"/>
      <c r="M1693" s="1620" t="s">
        <v>2434</v>
      </c>
      <c r="N1693" s="1620" t="s">
        <v>3778</v>
      </c>
      <c r="O1693" s="1621">
        <f>'Part IX Scoring Criteria'!O139</f>
        <v>0</v>
      </c>
      <c r="P1693" s="1621">
        <f>'Part IX Scoring Criteria'!P139</f>
        <v>0</v>
      </c>
      <c r="Q1693" s="457"/>
      <c r="R1693" s="1726"/>
      <c r="S1693" s="1726"/>
      <c r="T1693" s="1726"/>
      <c r="U1693" s="1726"/>
      <c r="V1693" s="457"/>
      <c r="W1693" s="457"/>
      <c r="X1693" s="457"/>
      <c r="Y1693" s="457"/>
      <c r="Z1693" s="457"/>
    </row>
    <row r="1694" spans="1:26" ht="17.399999999999999">
      <c r="A1694" s="1618"/>
      <c r="B1694" s="1730"/>
      <c r="C1694" s="457"/>
      <c r="D1694" s="1643"/>
      <c r="E1694" s="1643"/>
      <c r="F1694" s="1643"/>
      <c r="G1694" s="1524" t="s">
        <v>3994</v>
      </c>
      <c r="H1694" s="457"/>
      <c r="I1694" s="1643"/>
      <c r="J1694" s="1643"/>
      <c r="K1694" s="1643"/>
      <c r="L1694" s="1643"/>
      <c r="M1694" s="1578"/>
      <c r="N1694" s="1627" t="s">
        <v>3779</v>
      </c>
      <c r="O1694" s="1621">
        <f>'Part IX Scoring Criteria'!O140</f>
        <v>0</v>
      </c>
      <c r="P1694" s="1621">
        <f>'Part IX Scoring Criteria'!P140</f>
        <v>0</v>
      </c>
      <c r="Q1694" s="457"/>
      <c r="R1694" s="1726"/>
      <c r="S1694" s="1726"/>
      <c r="T1694" s="1726"/>
      <c r="U1694" s="1726"/>
      <c r="V1694" s="457"/>
      <c r="W1694" s="457"/>
      <c r="X1694" s="457"/>
      <c r="Y1694" s="457"/>
      <c r="Z1694" s="457"/>
    </row>
    <row r="1695" spans="1:26" ht="17.399999999999999">
      <c r="A1695" s="1620"/>
      <c r="B1695" s="1730"/>
      <c r="C1695" s="457"/>
      <c r="D1695" s="1643"/>
      <c r="E1695" s="1643"/>
      <c r="F1695" s="1643"/>
      <c r="G1695" s="1524" t="s">
        <v>3995</v>
      </c>
      <c r="H1695" s="457"/>
      <c r="I1695" s="1643"/>
      <c r="J1695" s="1643"/>
      <c r="K1695" s="1643"/>
      <c r="L1695" s="1643"/>
      <c r="M1695" s="1578"/>
      <c r="N1695" s="1620" t="s">
        <v>3780</v>
      </c>
      <c r="O1695" s="1621">
        <f>'Part IX Scoring Criteria'!O141</f>
        <v>0</v>
      </c>
      <c r="P1695" s="1621">
        <f>'Part IX Scoring Criteria'!P141</f>
        <v>0</v>
      </c>
      <c r="Q1695" s="457"/>
      <c r="R1695" s="1726"/>
      <c r="S1695" s="1726"/>
      <c r="T1695" s="1726"/>
      <c r="U1695" s="1726"/>
      <c r="V1695" s="457"/>
      <c r="W1695" s="457"/>
      <c r="X1695" s="457"/>
      <c r="Y1695" s="457"/>
      <c r="Z1695" s="457"/>
    </row>
    <row r="1696" spans="1:26" ht="17.399999999999999">
      <c r="A1696" s="1618"/>
      <c r="B1696" s="1730"/>
      <c r="C1696" s="457"/>
      <c r="D1696" s="1643"/>
      <c r="E1696" s="1643"/>
      <c r="F1696" s="1643"/>
      <c r="G1696" s="1524" t="s">
        <v>3996</v>
      </c>
      <c r="H1696" s="457"/>
      <c r="I1696" s="1643"/>
      <c r="J1696" s="1643"/>
      <c r="K1696" s="1643"/>
      <c r="L1696" s="1643"/>
      <c r="M1696" s="1578"/>
      <c r="N1696" s="1620" t="s">
        <v>3782</v>
      </c>
      <c r="O1696" s="1621">
        <f>'Part IX Scoring Criteria'!O142</f>
        <v>0</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3997</v>
      </c>
      <c r="H1697" s="457"/>
      <c r="I1697" s="1643"/>
      <c r="J1697" s="1643"/>
      <c r="K1697" s="1643"/>
      <c r="L1697" s="1643"/>
      <c r="M1697" s="1578"/>
      <c r="N1697" s="1627" t="s">
        <v>3783</v>
      </c>
      <c r="O1697" s="1621">
        <f>'Part IX Scoring Criteria'!O143</f>
        <v>0</v>
      </c>
      <c r="P1697" s="1621">
        <f>'Part IX Scoring Criteria'!P143</f>
        <v>0</v>
      </c>
      <c r="Q1697" s="457"/>
      <c r="R1697" s="457"/>
      <c r="S1697" s="457"/>
      <c r="T1697" s="457"/>
      <c r="U1697" s="457"/>
      <c r="V1697" s="457"/>
      <c r="W1697" s="457"/>
      <c r="X1697" s="457"/>
      <c r="Y1697" s="457"/>
      <c r="Z1697" s="457"/>
    </row>
    <row r="1698" spans="1:26">
      <c r="A1698" s="1618"/>
      <c r="B1698" s="1729"/>
      <c r="C1698" s="1524" t="s">
        <v>4575</v>
      </c>
      <c r="D1698" s="1643"/>
      <c r="E1698" s="1643"/>
      <c r="F1698" s="1643"/>
      <c r="G1698" s="1643"/>
      <c r="H1698" s="1643"/>
      <c r="I1698" s="1643"/>
      <c r="J1698" s="1643"/>
      <c r="K1698" s="1643"/>
      <c r="L1698" s="1643"/>
      <c r="M1698" s="1620"/>
      <c r="N1698" s="1620" t="s">
        <v>2435</v>
      </c>
      <c r="O1698" s="1621">
        <f>'Part IX Scoring Criteria'!O144</f>
        <v>0</v>
      </c>
      <c r="P1698" s="1621">
        <f>'Part IX Scoring Criteria'!P144</f>
        <v>0</v>
      </c>
      <c r="Q1698" s="457"/>
      <c r="R1698" s="457"/>
      <c r="S1698" s="457"/>
      <c r="T1698" s="457"/>
      <c r="U1698" s="457"/>
      <c r="V1698" s="457"/>
      <c r="W1698" s="457"/>
      <c r="X1698" s="457"/>
      <c r="Y1698" s="457"/>
      <c r="Z1698" s="457"/>
    </row>
    <row r="1699" spans="1:26">
      <c r="A1699" s="1618"/>
      <c r="B1699" s="1712"/>
      <c r="C1699" s="1051" t="s">
        <v>3830</v>
      </c>
      <c r="D1699" s="1051"/>
      <c r="E1699" s="457"/>
      <c r="F1699" s="457"/>
      <c r="G1699" s="1051" t="s">
        <v>4128</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c r="A1700" s="1618"/>
      <c r="B1700" s="1620"/>
      <c r="C1700" s="1583">
        <f>'Part IX Scoring Criteria'!C146</f>
        <v>0</v>
      </c>
      <c r="D1700" s="1583">
        <f>'Part IX Scoring Criteria'!D146</f>
        <v>0</v>
      </c>
      <c r="E1700" s="1583">
        <f>'Part IX Scoring Criteria'!E146</f>
        <v>0</v>
      </c>
      <c r="F1700" s="1583">
        <f>'Part IX Scoring Criteria'!F146</f>
        <v>0</v>
      </c>
      <c r="G1700" s="1583">
        <f>'Part IX Scoring Criteria'!G146</f>
        <v>0</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c r="A1701" s="1618"/>
      <c r="B1701" s="1627"/>
      <c r="C1701" s="1583">
        <f>'Part IX Scoring Criteria'!C147</f>
        <v>0</v>
      </c>
      <c r="D1701" s="1583">
        <f>'Part IX Scoring Criteria'!D147</f>
        <v>0</v>
      </c>
      <c r="E1701" s="1583">
        <f>'Part IX Scoring Criteria'!E147</f>
        <v>0</v>
      </c>
      <c r="F1701" s="1583">
        <f>'Part IX Scoring Criteria'!F147</f>
        <v>0</v>
      </c>
      <c r="G1701" s="1583">
        <f>'Part IX Scoring Criteria'!G147</f>
        <v>0</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4162</v>
      </c>
      <c r="B1702" s="1468"/>
      <c r="C1702" s="1583">
        <f>'Part IX Scoring Criteria'!C148</f>
        <v>0</v>
      </c>
      <c r="D1702" s="1583">
        <f>'Part IX Scoring Criteria'!D148</f>
        <v>0</v>
      </c>
      <c r="E1702" s="1583">
        <f>'Part IX Scoring Criteria'!E148</f>
        <v>0</v>
      </c>
      <c r="F1702" s="1583">
        <f>'Part IX Scoring Criteria'!F148</f>
        <v>0</v>
      </c>
      <c r="G1702" s="1583">
        <f>'Part IX Scoring Criteria'!G148</f>
        <v>0</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c r="A1703" s="1468"/>
      <c r="B1703" s="1468"/>
      <c r="C1703" s="1583">
        <f>'Part IX Scoring Criteria'!C149</f>
        <v>0</v>
      </c>
      <c r="D1703" s="1583">
        <f>'Part IX Scoring Criteria'!D149</f>
        <v>0</v>
      </c>
      <c r="E1703" s="1583">
        <f>'Part IX Scoring Criteria'!E149</f>
        <v>0</v>
      </c>
      <c r="F1703" s="1583">
        <f>'Part IX Scoring Criteria'!F149</f>
        <v>0</v>
      </c>
      <c r="G1703" s="1583">
        <f>'Part IX Scoring Criteria'!G149</f>
        <v>0</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4.4">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6">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4.4">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4.4">
      <c r="A1707" s="1660" t="s">
        <v>771</v>
      </c>
      <c r="B1707" s="1661" t="s">
        <v>3964</v>
      </c>
      <c r="C1707" s="1582"/>
      <c r="D1707" s="1582"/>
      <c r="E1707" s="1582"/>
      <c r="F1707" s="1582"/>
      <c r="G1707" s="1582"/>
      <c r="H1707" s="1582"/>
      <c r="I1707" s="1582"/>
      <c r="J1707" s="1582"/>
      <c r="K1707" s="1582"/>
      <c r="L1707" s="1582"/>
      <c r="M1707" s="1496">
        <v>5</v>
      </c>
      <c r="N1707" s="1694"/>
      <c r="O1707" s="1658">
        <f>'Part IX Scoring Criteria'!O153</f>
        <v>0</v>
      </c>
      <c r="P1707" s="1658">
        <f>'Part IX Scoring Criteria'!P153</f>
        <v>0</v>
      </c>
      <c r="Q1707" s="1496" t="s">
        <v>441</v>
      </c>
      <c r="R1707" s="1659"/>
      <c r="S1707" s="1659"/>
      <c r="T1707" s="1659"/>
      <c r="U1707" s="1659"/>
      <c r="V1707" s="1659"/>
      <c r="W1707" s="1659"/>
      <c r="X1707" s="1659"/>
      <c r="Y1707" s="1659"/>
      <c r="Z1707" s="1659"/>
    </row>
    <row r="1708" spans="1:26" ht="14.4">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4.4">
      <c r="A1709" s="1508" t="s">
        <v>1982</v>
      </c>
      <c r="B1709" s="1312" t="s">
        <v>4001</v>
      </c>
      <c r="C1709" s="1676"/>
      <c r="D1709" s="1724"/>
      <c r="E1709" s="1724"/>
      <c r="F1709" s="1676"/>
      <c r="G1709" s="1724"/>
      <c r="H1709" s="1724"/>
      <c r="I1709" s="1724"/>
      <c r="J1709" s="1724"/>
      <c r="K1709" s="1724"/>
      <c r="L1709" s="1724"/>
      <c r="M1709" s="1313">
        <v>3</v>
      </c>
      <c r="N1709" s="1696"/>
      <c r="O1709" s="1313">
        <f>'Part IX Scoring Criteria'!O155</f>
        <v>0</v>
      </c>
      <c r="P1709" s="1313">
        <f>'Part IX Scoring Criteria'!P155</f>
        <v>0</v>
      </c>
      <c r="Q1709" s="1676"/>
      <c r="R1709" s="1335"/>
      <c r="S1709" s="1676"/>
      <c r="T1709" s="1676"/>
      <c r="U1709" s="1676"/>
      <c r="V1709" s="1676"/>
      <c r="W1709" s="1676"/>
      <c r="X1709" s="1676"/>
      <c r="Y1709" s="1676"/>
      <c r="Z1709" s="1676"/>
    </row>
    <row r="1710" spans="1:26" ht="14.4">
      <c r="A1710" s="1659"/>
      <c r="B1710" s="1524" t="s">
        <v>3825</v>
      </c>
      <c r="C1710" s="1647"/>
      <c r="D1710" s="1647"/>
      <c r="E1710" s="1647"/>
      <c r="F1710" s="1647"/>
      <c r="G1710" s="1647"/>
      <c r="H1710" s="1647"/>
      <c r="I1710" s="1647"/>
      <c r="J1710" s="1647"/>
      <c r="K1710" s="1647"/>
      <c r="L1710" s="1647"/>
      <c r="M1710" s="1647"/>
      <c r="N1710" s="1647"/>
      <c r="O1710" s="1621">
        <f>'Part IX Scoring Criteria'!O156</f>
        <v>0</v>
      </c>
      <c r="P1710" s="1621">
        <f>'Part IX Scoring Criteria'!P156</f>
        <v>0</v>
      </c>
      <c r="Q1710" s="1659"/>
      <c r="R1710" s="1625"/>
      <c r="S1710" s="1659"/>
      <c r="T1710" s="1659"/>
      <c r="U1710" s="1659"/>
      <c r="V1710" s="1659"/>
      <c r="W1710" s="1659"/>
      <c r="X1710" s="1659"/>
      <c r="Y1710" s="1659"/>
      <c r="Z1710" s="1659"/>
    </row>
    <row r="1711" spans="1:26" ht="14.4">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4576</v>
      </c>
      <c r="C1712" s="1583"/>
      <c r="D1712" s="1583"/>
      <c r="E1712" s="457" t="s">
        <v>3822</v>
      </c>
      <c r="F1712" s="1676"/>
      <c r="G1712" s="457"/>
      <c r="H1712" s="1676"/>
      <c r="I1712" s="1550">
        <f>'Part IX Scoring Criteria'!I158</f>
        <v>0</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4.4">
      <c r="A1713" s="1508"/>
      <c r="B1713" s="1583"/>
      <c r="C1713" s="1583"/>
      <c r="D1713" s="1583"/>
      <c r="E1713" s="1524" t="s">
        <v>3824</v>
      </c>
      <c r="F1713" s="1625"/>
      <c r="G1713" s="1676"/>
      <c r="H1713" s="1676"/>
      <c r="I1713" s="1524"/>
      <c r="J1713" s="1517"/>
      <c r="K1713" s="1517"/>
      <c r="L1713" s="1517"/>
      <c r="M1713" s="1676"/>
      <c r="N1713" s="1550"/>
      <c r="O1713" s="1621">
        <f>'Part IX Scoring Criteria'!O159</f>
        <v>0</v>
      </c>
      <c r="P1713" s="1621">
        <f>'Part IX Scoring Criteria'!P159</f>
        <v>0</v>
      </c>
      <c r="Q1713" s="1550"/>
      <c r="R1713" s="1659"/>
      <c r="S1713" s="1659"/>
      <c r="T1713" s="1659"/>
      <c r="U1713" s="1659"/>
      <c r="V1713" s="1659"/>
      <c r="W1713" s="1659"/>
      <c r="X1713" s="1659"/>
      <c r="Y1713" s="1659"/>
      <c r="Z1713" s="1659"/>
    </row>
    <row r="1714" spans="1:26" ht="14.4">
      <c r="A1714" s="1314"/>
      <c r="B1714" s="1659"/>
      <c r="C1714" s="1582"/>
      <c r="D1714" s="1582"/>
      <c r="E1714" s="457" t="s">
        <v>2902</v>
      </c>
      <c r="F1714" s="457" t="str">
        <f>'Part I-Project Information'!$H$82</f>
        <v>Family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3820</v>
      </c>
      <c r="I1715" s="1550" t="s">
        <v>3865</v>
      </c>
      <c r="J1715" s="1550"/>
      <c r="K1715" s="1550"/>
      <c r="L1715" s="1550"/>
      <c r="M1715" s="1389" t="s">
        <v>3819</v>
      </c>
      <c r="N1715" s="1389"/>
      <c r="O1715" s="1389" t="s">
        <v>3823</v>
      </c>
      <c r="P1715" s="1389"/>
      <c r="Q1715" s="1550"/>
      <c r="R1715" s="1659"/>
      <c r="S1715" s="1659"/>
      <c r="T1715" s="1659"/>
      <c r="U1715" s="1659"/>
      <c r="V1715" s="1659"/>
      <c r="W1715" s="1659"/>
      <c r="X1715" s="1659"/>
      <c r="Y1715" s="1659"/>
      <c r="Z1715" s="1659"/>
    </row>
    <row r="1716" spans="1:26" ht="21.6">
      <c r="A1716" s="1508"/>
      <c r="B1716" s="1735" t="s">
        <v>3817</v>
      </c>
      <c r="C1716" s="1517"/>
      <c r="D1716" s="1335" t="s">
        <v>4577</v>
      </c>
      <c r="E1716" s="1335"/>
      <c r="F1716" s="1335"/>
      <c r="G1716" s="1603" t="s">
        <v>3396</v>
      </c>
      <c r="H1716" s="1587"/>
      <c r="I1716" s="1626">
        <v>2014</v>
      </c>
      <c r="J1716" s="1626">
        <v>2015</v>
      </c>
      <c r="K1716" s="1626">
        <v>2016</v>
      </c>
      <c r="L1716" s="1626">
        <v>2017</v>
      </c>
      <c r="M1716" s="1389"/>
      <c r="N1716" s="1389"/>
      <c r="O1716" s="1389"/>
      <c r="P1716" s="1389"/>
      <c r="Q1716" s="1736" t="s">
        <v>3818</v>
      </c>
      <c r="R1716" s="1736"/>
      <c r="S1716" s="1659"/>
      <c r="T1716" s="1659"/>
      <c r="U1716" s="1659"/>
      <c r="V1716" s="1659"/>
      <c r="W1716" s="1659"/>
      <c r="X1716" s="1659"/>
      <c r="Y1716" s="1659"/>
      <c r="Z1716" s="1659"/>
    </row>
    <row r="1717" spans="1:26" ht="14.4">
      <c r="A1717" s="1620" t="s">
        <v>2434</v>
      </c>
      <c r="B1717" s="1556" t="s">
        <v>4000</v>
      </c>
      <c r="C1717" s="1659"/>
      <c r="D1717" s="1550">
        <f>'Part IX Scoring Criteria'!D166</f>
        <v>0</v>
      </c>
      <c r="E1717" s="1550">
        <f>'Part IX Scoring Criteria'!E166</f>
        <v>0</v>
      </c>
      <c r="F1717" s="1550">
        <f>'Part IX Scoring Criteria'!F166</f>
        <v>0</v>
      </c>
      <c r="G1717" s="1850">
        <f>'Part IX Scoring Criteria'!G166</f>
        <v>0</v>
      </c>
      <c r="H1717" s="1611">
        <f>'Part IX Scoring Criteria'!H166</f>
        <v>0</v>
      </c>
      <c r="I1717" s="1739">
        <f>'Part IX Scoring Criteria'!I166</f>
        <v>0</v>
      </c>
      <c r="J1717" s="1739">
        <f>'Part IX Scoring Criteria'!J166</f>
        <v>0</v>
      </c>
      <c r="K1717" s="1739">
        <f>'Part IX Scoring Criteria'!K166</f>
        <v>0</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14.4">
      <c r="A1718" s="1627" t="s">
        <v>2435</v>
      </c>
      <c r="B1718" s="1556" t="s">
        <v>4163</v>
      </c>
      <c r="C1718" s="1659"/>
      <c r="D1718" s="1550">
        <f>'Part IX Scoring Criteria'!D167</f>
        <v>0</v>
      </c>
      <c r="E1718" s="1550">
        <f>'Part IX Scoring Criteria'!E167</f>
        <v>0</v>
      </c>
      <c r="F1718" s="1550">
        <f>'Part IX Scoring Criteria'!F167</f>
        <v>0</v>
      </c>
      <c r="G1718" s="1850">
        <f>'Part IX Scoring Criteria'!G167</f>
        <v>0</v>
      </c>
      <c r="H1718" s="1611">
        <f>'Part IX Scoring Criteria'!H167</f>
        <v>0</v>
      </c>
      <c r="I1718" s="1739">
        <f>'Part IX Scoring Criteria'!I167</f>
        <v>0</v>
      </c>
      <c r="J1718" s="1739">
        <f>'Part IX Scoring Criteria'!J167</f>
        <v>0</v>
      </c>
      <c r="K1718" s="1739">
        <f>'Part IX Scoring Criteria'!K167</f>
        <v>0</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14.4">
      <c r="A1719" s="1620" t="s">
        <v>2436</v>
      </c>
      <c r="B1719" s="1556" t="s">
        <v>3998</v>
      </c>
      <c r="C1719" s="1659"/>
      <c r="D1719" s="1550">
        <f>'Part IX Scoring Criteria'!D168</f>
        <v>0</v>
      </c>
      <c r="E1719" s="1550">
        <f>'Part IX Scoring Criteria'!E168</f>
        <v>0</v>
      </c>
      <c r="F1719" s="1550">
        <f>'Part IX Scoring Criteria'!F168</f>
        <v>0</v>
      </c>
      <c r="G1719" s="1850">
        <f>'Part IX Scoring Criteria'!G168</f>
        <v>0</v>
      </c>
      <c r="H1719" s="1611">
        <f>'Part IX Scoring Criteria'!H168</f>
        <v>0</v>
      </c>
      <c r="I1719" s="1739">
        <f>'Part IX Scoring Criteria'!I168</f>
        <v>0</v>
      </c>
      <c r="J1719" s="1739">
        <f>'Part IX Scoring Criteria'!J168</f>
        <v>0</v>
      </c>
      <c r="K1719" s="1739">
        <f>'Part IX Scoring Criteria'!K168</f>
        <v>0</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4.4">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4.4">
      <c r="A1721" s="1620" t="s">
        <v>2437</v>
      </c>
      <c r="B1721" s="1738" t="s">
        <v>4000</v>
      </c>
      <c r="C1721" s="1659"/>
      <c r="D1721" s="1647">
        <f>IF(D1717="","",D1717)</f>
        <v>0</v>
      </c>
      <c r="E1721" s="1659"/>
      <c r="F1721" s="1659"/>
      <c r="G1721" s="1626">
        <f t="shared" ref="G1721:H1723" si="320">IF(G1717="","",G1717)</f>
        <v>0</v>
      </c>
      <c r="H1721" s="1626">
        <f t="shared" si="320"/>
        <v>0</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4.4">
      <c r="A1722" s="1627" t="s">
        <v>2438</v>
      </c>
      <c r="B1722" s="1738" t="s">
        <v>3999</v>
      </c>
      <c r="C1722" s="1659"/>
      <c r="D1722" s="1647">
        <f>IF(D1718="","",D1718)</f>
        <v>0</v>
      </c>
      <c r="E1722" s="1659"/>
      <c r="F1722" s="1659"/>
      <c r="G1722" s="1626">
        <f t="shared" si="320"/>
        <v>0</v>
      </c>
      <c r="H1722" s="1626">
        <f t="shared" si="320"/>
        <v>0</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4.4">
      <c r="A1723" s="1620" t="s">
        <v>2454</v>
      </c>
      <c r="B1723" s="1738" t="s">
        <v>3998</v>
      </c>
      <c r="C1723" s="1659"/>
      <c r="D1723" s="1647">
        <f>IF(D1719="","",D1719)</f>
        <v>0</v>
      </c>
      <c r="E1723" s="1659"/>
      <c r="F1723" s="1659"/>
      <c r="G1723" s="1626">
        <f t="shared" si="320"/>
        <v>0</v>
      </c>
      <c r="H1723" s="1626">
        <f t="shared" si="320"/>
        <v>0</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4.4">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4.4">
      <c r="A1725" s="1508" t="s">
        <v>1984</v>
      </c>
      <c r="B1725" s="1312" t="s">
        <v>4002</v>
      </c>
      <c r="C1725" s="1676"/>
      <c r="D1725" s="1724"/>
      <c r="E1725" s="1724"/>
      <c r="F1725" s="1709" t="s">
        <v>3389</v>
      </c>
      <c r="G1725" s="1676"/>
      <c r="H1725" s="1524" t="s">
        <v>3866</v>
      </c>
      <c r="I1725" s="1676"/>
      <c r="J1725" s="1676"/>
      <c r="K1725" s="1676"/>
      <c r="L1725" s="1676"/>
      <c r="M1725" s="1313">
        <v>2</v>
      </c>
      <c r="N1725" s="1696"/>
      <c r="O1725" s="1658">
        <f>'Part IX Scoring Criteria'!O171</f>
        <v>0</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4165</v>
      </c>
      <c r="F1726" s="1741" t="s">
        <v>3658</v>
      </c>
      <c r="G1726" s="1491" t="s">
        <v>3397</v>
      </c>
      <c r="H1726" s="1491"/>
      <c r="I1726" s="1491"/>
      <c r="J1726" s="1491"/>
      <c r="K1726" s="1491"/>
      <c r="L1726" s="1491"/>
      <c r="M1726" s="1491"/>
      <c r="N1726" s="1491"/>
      <c r="O1726" s="1051"/>
      <c r="P1726" s="1648"/>
      <c r="Q1726" s="1051"/>
      <c r="R1726" s="1051" t="s">
        <v>2831</v>
      </c>
      <c r="S1726" s="1051"/>
      <c r="T1726" s="1638" t="str">
        <f>'Part I-Project Information'!$F$38</f>
        <v>Leesburg</v>
      </c>
      <c r="U1726" s="1638"/>
      <c r="V1726" s="1638"/>
      <c r="W1726" s="1638"/>
      <c r="X1726" s="1638"/>
      <c r="Y1726" s="1051"/>
      <c r="Z1726" s="1051"/>
    </row>
    <row r="1727" spans="1:26" ht="12.75" customHeight="1">
      <c r="A1727" s="1618"/>
      <c r="B1727" s="1741" t="s">
        <v>4005</v>
      </c>
      <c r="C1727" s="1741"/>
      <c r="D1727" s="1741"/>
      <c r="E1727" s="1741"/>
      <c r="F1727" s="1741"/>
      <c r="G1727" s="1583" t="s">
        <v>4004</v>
      </c>
      <c r="H1727" s="1583"/>
      <c r="I1727" s="1583"/>
      <c r="J1727" s="1583"/>
      <c r="K1727" s="1583"/>
      <c r="L1727" s="1583"/>
      <c r="M1727" s="1583"/>
      <c r="N1727" s="1583"/>
      <c r="O1727" s="1741" t="s">
        <v>3659</v>
      </c>
      <c r="P1727" s="1741"/>
      <c r="Q1727" s="1051"/>
      <c r="R1727" s="1638" t="s">
        <v>2832</v>
      </c>
      <c r="S1727" s="1051"/>
      <c r="T1727" s="1638" t="str">
        <f>'Part I-Project Information'!$J$39</f>
        <v>Lee</v>
      </c>
      <c r="U1727" s="1638"/>
      <c r="V1727" s="1638"/>
      <c r="W1727" s="1638"/>
      <c r="X1727" s="1638"/>
      <c r="Y1727" s="1051"/>
      <c r="Z1727" s="1051"/>
    </row>
    <row r="1728" spans="1:26">
      <c r="A1728" s="1618"/>
      <c r="B1728" s="457" t="s">
        <v>3826</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2833</v>
      </c>
      <c r="S1728" s="1051"/>
      <c r="T1728" s="1638" t="str">
        <f>'Part I-Project Information'!$O$40</f>
        <v>Albany</v>
      </c>
      <c r="U1728" s="1638"/>
      <c r="V1728" s="1638"/>
      <c r="W1728" s="1638"/>
      <c r="X1728" s="1638"/>
      <c r="Y1728" s="1051"/>
      <c r="Z1728" s="1051"/>
    </row>
    <row r="1729" spans="1:26" ht="12.75" customHeight="1">
      <c r="A1729" s="1618"/>
      <c r="B1729" s="1550" t="s">
        <v>4003</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3859</v>
      </c>
      <c r="S1729" s="457"/>
      <c r="T1729" s="457" t="str">
        <f>VLOOKUP('Part I-Project Information'!$J$39,'DCA Underwriting Assumptions'!$G$158:$J$317,4)</f>
        <v>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3860</v>
      </c>
      <c r="C1731" s="1051"/>
      <c r="D1731" s="1051"/>
      <c r="E1731" s="1745"/>
      <c r="F1731" s="1745"/>
      <c r="G1731" s="1745"/>
      <c r="H1731" s="1051"/>
      <c r="I1731" s="1745">
        <f>'Part IX Scoring Criteria'!I177</f>
        <v>0</v>
      </c>
      <c r="J1731" s="1745">
        <f>'Part IX Scoring Criteria'!J177</f>
        <v>0</v>
      </c>
      <c r="K1731" s="1051"/>
      <c r="L1731" s="1051"/>
      <c r="M1731" s="1051"/>
      <c r="N1731" s="1051"/>
      <c r="O1731" s="1051"/>
      <c r="P1731" s="1051"/>
      <c r="Q1731" s="1051"/>
      <c r="R1731" s="1051" t="s">
        <v>3624</v>
      </c>
      <c r="S1731" s="1051"/>
      <c r="T1731" s="1638" t="str">
        <f>'Part I-Project Information'!$K$40</f>
        <v>Rural</v>
      </c>
      <c r="U1731" s="1638"/>
      <c r="V1731" s="1638"/>
      <c r="W1731" s="1638"/>
      <c r="X1731" s="1638"/>
      <c r="Y1731" s="1051"/>
      <c r="Z1731" s="1051"/>
    </row>
    <row r="1732" spans="1:26">
      <c r="A1732" s="1738"/>
      <c r="B1732" s="1647" t="s">
        <v>3623</v>
      </c>
      <c r="C1732" s="1051"/>
      <c r="D1732" s="1051"/>
      <c r="E1732" s="1051"/>
      <c r="F1732" s="1051"/>
      <c r="G1732" s="1051"/>
      <c r="H1732" s="1746" t="str">
        <f>IF(I1732&lt;I1731,"Threshold not met!","")</f>
        <v/>
      </c>
      <c r="I1732" s="1745">
        <f>'Part IX Scoring Criteria'!I178</f>
        <v>0</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1985</v>
      </c>
      <c r="C1734" s="457" t="s">
        <v>4164</v>
      </c>
      <c r="D1734" s="1638"/>
      <c r="E1734" s="1638"/>
      <c r="F1734" s="1638"/>
      <c r="G1734" s="1638"/>
      <c r="H1734" s="1747" t="s">
        <v>1985</v>
      </c>
      <c r="I1734" s="1691" t="str">
        <f>'Part IX Scoring Criteria'!I180</f>
        <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1352</v>
      </c>
      <c r="B1735" s="1687" t="s">
        <v>1987</v>
      </c>
      <c r="C1735" s="457" t="s">
        <v>4006</v>
      </c>
      <c r="D1735" s="1734"/>
      <c r="E1735" s="1734"/>
      <c r="F1735" s="1734"/>
      <c r="G1735" s="1051"/>
      <c r="H1735" s="1747" t="s">
        <v>1987</v>
      </c>
      <c r="I1735" s="1748" t="str">
        <f>'Part IX Scoring Criteria'!I181</f>
        <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3881</v>
      </c>
      <c r="D1736" s="1734"/>
      <c r="E1736" s="1734"/>
      <c r="F1736" s="1734"/>
      <c r="G1736" s="1725"/>
      <c r="H1736" s="1051"/>
      <c r="I1736" s="1632">
        <f>'Part IX Scoring Criteria'!I182</f>
        <v>0</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4.4">
      <c r="A1738" s="1314"/>
      <c r="B1738" s="1677" t="s">
        <v>3752</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15.6">
      <c r="A1739" s="1583">
        <f>'Part IX Scoring Criteria'!A185</f>
        <v>0</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4.4">
      <c r="A1740" s="1314"/>
      <c r="B1740" s="1580" t="s">
        <v>1865</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6">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4.4">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4.4">
      <c r="A1743" s="1660" t="s">
        <v>292</v>
      </c>
      <c r="B1743" s="1661" t="s">
        <v>4012</v>
      </c>
      <c r="C1743" s="1676"/>
      <c r="D1743" s="1677"/>
      <c r="E1743" s="1677"/>
      <c r="F1743" s="1676"/>
      <c r="G1743" s="1676"/>
      <c r="H1743" s="1525" t="s">
        <v>4013</v>
      </c>
      <c r="I1743" s="1749"/>
      <c r="J1743" s="1749"/>
      <c r="K1743" s="1578"/>
      <c r="L1743" s="1578"/>
      <c r="M1743" s="1496">
        <v>7</v>
      </c>
      <c r="N1743" s="1313"/>
      <c r="O1743" s="1658">
        <f>'Part IX Scoring Criteria'!O189</f>
        <v>0</v>
      </c>
      <c r="P1743" s="1658">
        <f>'Part IX Scoring Criteria'!P189</f>
        <v>0</v>
      </c>
      <c r="Q1743" s="1496" t="s">
        <v>441</v>
      </c>
      <c r="R1743" s="1659"/>
      <c r="S1743" s="1676"/>
      <c r="T1743" s="1676"/>
      <c r="U1743" s="1676"/>
      <c r="V1743" s="1676"/>
      <c r="W1743" s="1676"/>
      <c r="X1743" s="1676"/>
      <c r="Y1743" s="1676"/>
      <c r="Z1743" s="1676"/>
    </row>
    <row r="1744" spans="1:26" ht="17.399999999999999">
      <c r="A1744" s="1618"/>
      <c r="B1744" s="1647"/>
      <c r="D1744" s="1626"/>
      <c r="E1744" s="1647"/>
      <c r="G1744" s="1750"/>
      <c r="H1744" s="1647"/>
      <c r="I1744" s="1524"/>
      <c r="K1744" s="1524"/>
      <c r="R1744" s="1726"/>
      <c r="S1744" s="1726"/>
    </row>
    <row r="1745" spans="1:26" ht="14.4">
      <c r="A1745" s="1496"/>
      <c r="B1745" s="1503" t="s">
        <v>4578</v>
      </c>
      <c r="C1745" s="1503"/>
      <c r="D1745" s="1503"/>
      <c r="E1745" s="1335" t="s">
        <v>4175</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4.4">
      <c r="A1746" s="1496"/>
      <c r="B1746" s="1659"/>
      <c r="C1746" s="1503"/>
      <c r="D1746" s="1503"/>
      <c r="E1746" s="1503"/>
      <c r="F1746" s="1503"/>
      <c r="G1746" s="1503"/>
      <c r="H1746" s="1503"/>
      <c r="I1746" s="1503"/>
      <c r="J1746" s="1503"/>
      <c r="K1746" s="1626" t="s">
        <v>2509</v>
      </c>
      <c r="L1746" s="1626" t="s">
        <v>2509</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2434</v>
      </c>
      <c r="C1747" s="1583" t="s">
        <v>4130</v>
      </c>
      <c r="D1747" s="1583"/>
      <c r="E1747" s="1583"/>
      <c r="F1747" s="1583"/>
      <c r="G1747" s="1583"/>
      <c r="H1747" s="1583"/>
      <c r="I1747" s="1583"/>
      <c r="J1747" s="1627" t="s">
        <v>2434</v>
      </c>
      <c r="K1747" s="1621">
        <f>'Part IX Scoring Criteria'!K193</f>
        <v>0</v>
      </c>
      <c r="L1747" s="1621">
        <f>'Part IX Scoring Criteria'!L193</f>
        <v>0</v>
      </c>
      <c r="M1747" s="1851" t="str">
        <f>'Part IX Scoring Criteria'!M193</f>
        <v>&lt;Enter page nbr(s) from Plan&gt;</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4.4">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2435</v>
      </c>
      <c r="C1749" s="1583" t="s">
        <v>4579</v>
      </c>
      <c r="D1749" s="1583"/>
      <c r="E1749" s="1583"/>
      <c r="F1749" s="1583"/>
      <c r="G1749" s="1583"/>
      <c r="H1749" s="1659"/>
      <c r="I1749" s="1659"/>
      <c r="J1749" s="1620" t="s">
        <v>2435</v>
      </c>
      <c r="K1749" s="1621">
        <f>'Part IX Scoring Criteria'!K195</f>
        <v>0</v>
      </c>
      <c r="L1749" s="1621">
        <f>'Part IX Scoring Criteria'!L195</f>
        <v>0</v>
      </c>
      <c r="M1749" s="1851" t="str">
        <f>'Part IX Scoring Criteria'!M195</f>
        <v>&lt;Enter page nbr(s) from Plan&gt;</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2436</v>
      </c>
      <c r="C1750" s="1604" t="s">
        <v>2823</v>
      </c>
      <c r="D1750" s="1604"/>
      <c r="E1750" s="1604"/>
      <c r="F1750" s="1604"/>
      <c r="G1750" s="1604"/>
      <c r="H1750" s="1604"/>
      <c r="I1750" s="1596"/>
      <c r="J1750" s="1627" t="s">
        <v>2436</v>
      </c>
      <c r="K1750" s="1621">
        <f>'Part IX Scoring Criteria'!K196</f>
        <v>0</v>
      </c>
      <c r="L1750" s="1621">
        <f>'Part IX Scoring Criteria'!L196</f>
        <v>0</v>
      </c>
      <c r="M1750" s="1851" t="str">
        <f>'Part IX Scoring Criteria'!M196</f>
        <v>&lt;Enter page nbr(s) from Plan&gt;</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2437</v>
      </c>
      <c r="C1751" s="1053" t="s">
        <v>4016</v>
      </c>
      <c r="D1751" s="1604"/>
      <c r="E1751" s="1604"/>
      <c r="F1751" s="1604"/>
      <c r="G1751" s="1604"/>
      <c r="H1751" s="1604"/>
      <c r="I1751" s="1596"/>
      <c r="J1751" s="1627" t="s">
        <v>2437</v>
      </c>
      <c r="K1751" s="1621">
        <f>'Part IX Scoring Criteria'!K198</f>
        <v>0</v>
      </c>
      <c r="L1751" s="1621">
        <f>'Part IX Scoring Criteria'!L198</f>
        <v>0</v>
      </c>
      <c r="M1751" s="1851" t="str">
        <f>'Part IX Scoring Criteria'!M198</f>
        <v>&lt;Enter page nbr(s) from Plan&gt;</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4172</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2438</v>
      </c>
      <c r="C1753" s="1604" t="s">
        <v>4007</v>
      </c>
      <c r="D1753" s="1604"/>
      <c r="E1753" s="1604"/>
      <c r="F1753" s="1604"/>
      <c r="G1753" s="1604"/>
      <c r="H1753" s="1604"/>
      <c r="I1753" s="1596"/>
      <c r="J1753" s="1627" t="s">
        <v>2438</v>
      </c>
      <c r="K1753" s="1621">
        <f>'Part IX Scoring Criteria'!K197</f>
        <v>0</v>
      </c>
      <c r="L1753" s="1621">
        <f>'Part IX Scoring Criteria'!L197</f>
        <v>0</v>
      </c>
      <c r="M1753" s="1851" t="str">
        <f>'Part IX Scoring Criteria'!M197</f>
        <v>&lt;Enter page nbr(s) from Plan&gt;</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2454</v>
      </c>
      <c r="C1754" s="1604" t="s">
        <v>2824</v>
      </c>
      <c r="D1754" s="1604"/>
      <c r="E1754" s="1604"/>
      <c r="F1754" s="1604"/>
      <c r="G1754" s="1604"/>
      <c r="H1754" s="1596"/>
      <c r="I1754" s="1596"/>
      <c r="J1754" s="1627" t="s">
        <v>2454</v>
      </c>
      <c r="K1754" s="1621">
        <f>'Part IX Scoring Criteria'!K199</f>
        <v>0</v>
      </c>
      <c r="L1754" s="1621">
        <f>'Part IX Scoring Criteria'!L199</f>
        <v>0</v>
      </c>
      <c r="M1754" s="1851" t="str">
        <f>'Part IX Scoring Criteria'!M199</f>
        <v>&lt;Enter page nbr(s) from Plan&gt;</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2455</v>
      </c>
      <c r="C1755" s="1604" t="s">
        <v>4008</v>
      </c>
      <c r="D1755" s="1604"/>
      <c r="E1755" s="1604"/>
      <c r="F1755" s="1604"/>
      <c r="G1755" s="1596"/>
      <c r="H1755" s="1596"/>
      <c r="I1755" s="1596"/>
      <c r="J1755" s="1627" t="s">
        <v>2455</v>
      </c>
      <c r="K1755" s="1621">
        <f>'Part IX Scoring Criteria'!K200</f>
        <v>0</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4009</v>
      </c>
      <c r="E1756" s="1604"/>
      <c r="F1756" s="1752" t="e">
        <f>'Part IX Scoring Criteria'!#REF!</f>
        <v>#REF!</v>
      </c>
      <c r="G1756" s="1752" t="e">
        <f>'Part IX Scoring Criteria'!#REF!</f>
        <v>#REF!</v>
      </c>
      <c r="H1756" s="1596"/>
      <c r="I1756" s="1604" t="s">
        <v>4010</v>
      </c>
      <c r="J1756" s="1596"/>
      <c r="K1756" s="1752">
        <f>'Part IX Scoring Criteria'!K201</f>
        <v>0</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2456</v>
      </c>
      <c r="C1757" s="1604" t="s">
        <v>4580</v>
      </c>
      <c r="D1757" s="1604"/>
      <c r="E1757" s="1604"/>
      <c r="F1757" s="1604"/>
      <c r="G1757" s="1596"/>
      <c r="H1757" s="1596"/>
      <c r="I1757" s="1596"/>
      <c r="J1757" s="1627" t="s">
        <v>2456</v>
      </c>
      <c r="K1757" s="1621">
        <f>'Part IX Scoring Criteria'!K202</f>
        <v>0</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4131</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1982</v>
      </c>
      <c r="B1761" s="1503" t="s">
        <v>4011</v>
      </c>
      <c r="M1761" s="1313">
        <v>5</v>
      </c>
      <c r="N1761" s="1618" t="s">
        <v>1982</v>
      </c>
      <c r="O1761" s="1753">
        <f>'Part IX Scoring Criteria'!O205</f>
        <v>0</v>
      </c>
      <c r="P1761" s="1753">
        <f>'Part IX Scoring Criteria'!P205</f>
        <v>0</v>
      </c>
      <c r="Q1761" s="1372"/>
      <c r="X1761" s="1322"/>
      <c r="Y1761" s="1620"/>
    </row>
    <row r="1762" spans="1:26" ht="12.75" customHeight="1">
      <c r="A1762" s="1618"/>
      <c r="B1762" s="1733" t="s">
        <v>1985</v>
      </c>
      <c r="C1762" s="1583" t="s">
        <v>4581</v>
      </c>
      <c r="D1762" s="1583"/>
      <c r="E1762" s="1583"/>
      <c r="F1762" s="1583"/>
      <c r="G1762" s="1583"/>
      <c r="H1762" s="1583"/>
      <c r="I1762" s="1583"/>
      <c r="J1762" s="1583"/>
      <c r="K1762" s="1583"/>
      <c r="L1762" s="1625" t="str">
        <f>IF(OR($O1762=$M1762,$O1762=0,$O1762=""),"","* * Check Score! * *")</f>
        <v/>
      </c>
      <c r="M1762" s="1631">
        <v>3</v>
      </c>
      <c r="N1762" s="1704" t="s">
        <v>1985</v>
      </c>
      <c r="O1762" s="1697">
        <f>'Part IX Scoring Criteria'!O206</f>
        <v>0</v>
      </c>
      <c r="P1762" s="1697">
        <f>'Part IX Scoring Criteria'!P206</f>
        <v>0</v>
      </c>
      <c r="Q1762" s="1698" t="str">
        <f>IF(OR($O1762=$M1762,$O1762=0,$O1762=""),"","*CHECK!*")</f>
        <v/>
      </c>
      <c r="R1762" s="1331" t="s">
        <v>2705</v>
      </c>
    </row>
    <row r="1763" spans="1:26" ht="12.75" customHeight="1">
      <c r="A1763" s="1618"/>
      <c r="B1763" s="1733" t="s">
        <v>1987</v>
      </c>
      <c r="C1763" s="1648" t="s">
        <v>4582</v>
      </c>
      <c r="D1763" s="1648"/>
      <c r="E1763" s="1648"/>
      <c r="F1763" s="1648"/>
      <c r="G1763" s="1648"/>
      <c r="H1763" s="1648"/>
      <c r="I1763" s="1648"/>
      <c r="J1763" s="1648"/>
      <c r="K1763" s="1648"/>
      <c r="L1763" s="1625" t="str">
        <f>IF(OR($O1763=$M1763,$O1763=0,$O1763=""),"","* * Check Score! * *")</f>
        <v/>
      </c>
      <c r="M1763" s="1631">
        <v>2</v>
      </c>
      <c r="N1763" s="1704" t="s">
        <v>1987</v>
      </c>
      <c r="O1763" s="1697">
        <f>'Part IX Scoring Criteria'!O207</f>
        <v>0</v>
      </c>
      <c r="P1763" s="1697">
        <f>'Part IX Scoring Criteria'!P207</f>
        <v>0</v>
      </c>
      <c r="Q1763" s="1698" t="str">
        <f>IF(OR($O1763=$M1763,$O1763=0,$O1763=""),"","*CHECK!*")</f>
        <v/>
      </c>
      <c r="R1763" s="1331" t="s">
        <v>2705</v>
      </c>
    </row>
    <row r="1764" spans="1:26">
      <c r="A1764" s="1618"/>
      <c r="B1764" s="1647"/>
      <c r="C1764" s="1647" t="s">
        <v>3777</v>
      </c>
      <c r="E1764" s="1647" t="str">
        <f>'Part I-Project Information'!$N$39</f>
        <v>No</v>
      </c>
      <c r="G1764" s="1647" t="s">
        <v>3573</v>
      </c>
      <c r="I1764" s="1754" t="str">
        <f>'Part I-Project Information'!$O$38</f>
        <v>203.00</v>
      </c>
      <c r="J1764" s="1754"/>
      <c r="K1764" s="1524" t="s">
        <v>3373</v>
      </c>
      <c r="M1764" s="1524" t="str">
        <f>'Part IV-A-Uses of Funds'!$H$152</f>
        <v>State Boost</v>
      </c>
    </row>
    <row r="1765" spans="1:26">
      <c r="A1765" s="1618"/>
      <c r="B1765" s="1647"/>
      <c r="D1765" s="1626"/>
      <c r="E1765" s="1647"/>
      <c r="G1765" s="1524"/>
      <c r="K1765" s="1524"/>
      <c r="L1765" s="1524"/>
    </row>
    <row r="1766" spans="1:26" ht="13.8">
      <c r="A1766" s="1508" t="s">
        <v>1984</v>
      </c>
      <c r="B1766" s="1503" t="s">
        <v>4014</v>
      </c>
      <c r="D1766" s="1314"/>
      <c r="K1766" s="1512"/>
      <c r="L1766" s="1625" t="str">
        <f>IF(OR($O1766=$M1766,$O1766=0,$O1766=""),"","* * Check Score! * *")</f>
        <v/>
      </c>
      <c r="M1766" s="1313">
        <v>2</v>
      </c>
      <c r="N1766" s="1618" t="s">
        <v>1984</v>
      </c>
      <c r="O1766" s="1658">
        <f>'Part IX Scoring Criteria'!O210</f>
        <v>0</v>
      </c>
      <c r="P1766" s="1658">
        <f>'Part IX Scoring Criteria'!P210</f>
        <v>0</v>
      </c>
      <c r="Q1766" s="1698" t="str">
        <f>IF(OR($O1766=$M1766,$O1766=0,$O1766=""),"","*CHECK!*")</f>
        <v/>
      </c>
      <c r="R1766" s="1331" t="s">
        <v>2705</v>
      </c>
    </row>
    <row r="1767" spans="1:26" ht="17.399999999999999">
      <c r="A1767" s="1508"/>
      <c r="B1767" s="457" t="s">
        <v>2792</v>
      </c>
      <c r="C1767" s="1659"/>
      <c r="D1767" s="457"/>
      <c r="E1767" s="457"/>
      <c r="F1767" s="1496"/>
      <c r="G1767" s="1659"/>
      <c r="H1767" s="1051"/>
      <c r="I1767" s="1659"/>
      <c r="J1767" s="1577" t="str">
        <f>'Part I-Project Information'!$H$105</f>
        <v>Rural</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17.399999999999999">
      <c r="A1768" s="1624"/>
      <c r="B1768" s="457" t="s">
        <v>3856</v>
      </c>
      <c r="C1768" s="1659"/>
      <c r="D1768" s="1659"/>
      <c r="E1768" s="1659"/>
      <c r="F1768" s="1659"/>
      <c r="G1768" s="1659"/>
      <c r="H1768" s="1659"/>
      <c r="I1768" s="1659"/>
      <c r="J1768" s="1550">
        <f>'Part IX Scoring Criteria'!J212</f>
        <v>0</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7.399999999999999">
      <c r="A1769" s="1624"/>
      <c r="B1769" s="1647" t="s">
        <v>3857</v>
      </c>
      <c r="C1769" s="1659"/>
      <c r="D1769" s="1659"/>
      <c r="E1769" s="1659"/>
      <c r="F1769" s="1659"/>
      <c r="G1769" s="1659"/>
      <c r="H1769" s="1659"/>
      <c r="I1769" s="1746" t="str">
        <f>IF($J$215="Government", "Additional documentation required - see QAP.","")</f>
        <v/>
      </c>
      <c r="J1769" s="1638" t="str">
        <f>'Part IX Scoring Criteria'!J213</f>
        <v>&lt;Select unrelated 3rd party type&gt;</v>
      </c>
      <c r="K1769" s="1638">
        <f>'Part IX Scoring Criteria'!K213</f>
        <v>0</v>
      </c>
      <c r="L1769" s="1638">
        <f>'Part IX Scoring Criteria'!L213</f>
        <v>0</v>
      </c>
      <c r="M1769" s="1604" t="s">
        <v>3622</v>
      </c>
      <c r="N1769" s="1659"/>
      <c r="O1769" s="1659"/>
      <c r="P1769" s="1659"/>
      <c r="Q1769" s="1659"/>
      <c r="R1769" s="1659"/>
      <c r="S1769" s="1659"/>
      <c r="T1769" s="1659"/>
      <c r="U1769" s="1659"/>
      <c r="V1769" s="1726"/>
      <c r="W1769" s="1726"/>
      <c r="X1769" s="1659"/>
      <c r="Y1769" s="1659"/>
      <c r="Z1769" s="1659"/>
    </row>
    <row r="1770" spans="1:26" ht="17.399999999999999">
      <c r="A1770" s="1562"/>
      <c r="B1770" s="1647" t="s">
        <v>4189</v>
      </c>
      <c r="F1770" s="1596"/>
      <c r="G1770" s="1596"/>
      <c r="H1770" s="1596"/>
      <c r="L1770" s="1612">
        <f>'Part IX Scoring Criteria'!J215</f>
        <v>0</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7.399999999999999">
      <c r="A1771" s="1562"/>
      <c r="B1771" s="1604" t="s">
        <v>3786</v>
      </c>
      <c r="G1771" s="1604"/>
      <c r="J1771" s="1853">
        <f>'Part IX Scoring Criteria'!O215</f>
        <v>0</v>
      </c>
      <c r="K1771" s="1755" t="s">
        <v>3785</v>
      </c>
      <c r="L1771" s="1596"/>
      <c r="N1771" s="1320"/>
      <c r="O1771" s="1322"/>
      <c r="P1771" s="1322"/>
      <c r="V1771" s="1726"/>
      <c r="W1771" s="1726"/>
    </row>
    <row r="1772" spans="1:26" ht="18.75" customHeight="1">
      <c r="A1772" s="1756" t="s">
        <v>4169</v>
      </c>
      <c r="B1772" s="1583" t="s">
        <v>4166</v>
      </c>
      <c r="C1772" s="1583"/>
      <c r="D1772" s="1573">
        <f>'Part IX Scoring Criteria'!D218</f>
        <v>0</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4167</v>
      </c>
      <c r="C1773" s="1583"/>
      <c r="D1773" s="1573">
        <f>'Part IX Scoring Criteria'!D219</f>
        <v>0</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4168</v>
      </c>
      <c r="C1774" s="1468"/>
      <c r="D1774" s="1573">
        <f>'Part IX Scoring Criteria'!D220</f>
        <v>0</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7.399999999999999">
      <c r="B1775" s="457" t="s">
        <v>3452</v>
      </c>
      <c r="G1775" s="457" t="s">
        <v>2628</v>
      </c>
      <c r="H1775" s="457"/>
      <c r="J1775" s="1854">
        <f>'Part IX Scoring Criteria'!J221</f>
        <v>0</v>
      </c>
      <c r="K1775" s="1854">
        <f>'Part IX Scoring Criteria'!K221</f>
        <v>0</v>
      </c>
      <c r="L1775" s="1757">
        <f>'Part IX Scoring Criteria'!L221</f>
        <v>0</v>
      </c>
      <c r="M1775" s="1757">
        <f>'Part IX Scoring Criteria'!M221</f>
        <v>0</v>
      </c>
      <c r="N1775" s="1320"/>
      <c r="O1775" s="1322"/>
      <c r="P1775" s="1322"/>
      <c r="V1775" s="1726"/>
      <c r="W1775" s="1726"/>
    </row>
    <row r="1776" spans="1:26" ht="17.399999999999999">
      <c r="A1776" s="1314"/>
      <c r="B1776" s="1659"/>
      <c r="C1776" s="457" t="s">
        <v>4583</v>
      </c>
      <c r="D1776" s="1582"/>
      <c r="E1776" s="1659"/>
      <c r="F1776" s="1659"/>
      <c r="G1776" s="1757">
        <f>'Part IV-A-Uses of Funds'!$G$132</f>
        <v>5168536</v>
      </c>
      <c r="H1776" s="1757"/>
      <c r="I1776" s="1659"/>
      <c r="J1776" s="1758">
        <f>'Part IX Scoring Criteria'!J222</f>
        <v>0</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4.4">
      <c r="A1777" s="1314"/>
      <c r="B1777" s="1677" t="s">
        <v>3752</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15.6">
      <c r="A1778" s="1583">
        <f>'Part IX Scoring Criteria'!A224</f>
        <v>0</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4.4">
      <c r="A1779" s="1314"/>
      <c r="B1779" s="1549" t="s">
        <v>1865</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6">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4.4">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4.4">
      <c r="A1782" s="1660" t="s">
        <v>426</v>
      </c>
      <c r="B1782" s="1661" t="s">
        <v>4015</v>
      </c>
      <c r="C1782" s="1582"/>
      <c r="D1782" s="1582"/>
      <c r="E1782" s="1582"/>
      <c r="F1782" s="1582"/>
      <c r="G1782" s="1582"/>
      <c r="H1782" s="1582"/>
      <c r="I1782" s="1582"/>
      <c r="J1782" s="1582"/>
      <c r="K1782" s="1611" t="s">
        <v>3244</v>
      </c>
      <c r="L1782" s="1611" t="s">
        <v>256</v>
      </c>
      <c r="M1782" s="1496">
        <v>3</v>
      </c>
      <c r="N1782" s="1694"/>
      <c r="O1782" s="1665"/>
      <c r="P1782" s="1658">
        <f>'Part IX Scoring Criteria'!P228</f>
        <v>0</v>
      </c>
      <c r="Q1782" s="1496" t="s">
        <v>441</v>
      </c>
      <c r="R1782" s="1331" t="s">
        <v>2705</v>
      </c>
      <c r="S1782" s="1659"/>
      <c r="T1782" s="1659"/>
      <c r="U1782" s="1659"/>
      <c r="V1782" s="1659"/>
      <c r="W1782" s="1659"/>
      <c r="X1782" s="1659"/>
      <c r="Y1782" s="1659"/>
      <c r="Z1782" s="1659"/>
    </row>
    <row r="1783" spans="1:26" ht="14.4">
      <c r="A1783" s="1508"/>
      <c r="B1783" s="1612" t="s">
        <v>4017</v>
      </c>
      <c r="C1783" s="1659"/>
      <c r="D1783" s="1051" t="s">
        <v>4018</v>
      </c>
      <c r="E1783" s="1659"/>
      <c r="F1783" s="1659"/>
      <c r="G1783" s="1659"/>
      <c r="H1783" s="1659"/>
      <c r="I1783" s="1659"/>
      <c r="J1783" s="1659"/>
      <c r="K1783" s="1753">
        <f>'Part IX Scoring Criteria'!K231</f>
        <v>0</v>
      </c>
      <c r="L1783" s="1753">
        <f>'Part IX Scoring Criteria'!L231</f>
        <v>0</v>
      </c>
      <c r="M1783" s="1659"/>
      <c r="N1783" s="1620" t="s">
        <v>2434</v>
      </c>
      <c r="O1783" s="1621">
        <f>'Part IX Scoring Criteria'!O231</f>
        <v>0</v>
      </c>
      <c r="P1783" s="1621">
        <f>'Part IX Scoring Criteria'!P231</f>
        <v>0</v>
      </c>
      <c r="Q1783" s="1659"/>
      <c r="R1783" s="1625"/>
      <c r="S1783" s="1659"/>
      <c r="T1783" s="1659"/>
      <c r="U1783" s="1659"/>
      <c r="V1783" s="1659"/>
      <c r="W1783" s="1659"/>
      <c r="X1783" s="1659"/>
      <c r="Y1783" s="1659"/>
      <c r="Z1783" s="1659"/>
    </row>
    <row r="1784" spans="1:26" ht="17.399999999999999">
      <c r="A1784" s="1508"/>
      <c r="B1784" s="1659"/>
      <c r="C1784" s="1659"/>
      <c r="D1784" s="1051" t="s">
        <v>4019</v>
      </c>
      <c r="E1784" s="1659"/>
      <c r="F1784" s="1659"/>
      <c r="G1784" s="1659"/>
      <c r="H1784" s="1659"/>
      <c r="I1784" s="1659"/>
      <c r="J1784" s="1659"/>
      <c r="K1784" s="1753">
        <f>'Part IX Scoring Criteria'!K232</f>
        <v>0</v>
      </c>
      <c r="L1784" s="1753">
        <f>'Part IX Scoring Criteria'!L232</f>
        <v>0</v>
      </c>
      <c r="M1784" s="1659"/>
      <c r="N1784" s="1620" t="s">
        <v>2435</v>
      </c>
      <c r="O1784" s="1621">
        <f>'Part IX Scoring Criteria'!O232</f>
        <v>0</v>
      </c>
      <c r="P1784" s="1621">
        <f>'Part IX Scoring Criteria'!P232</f>
        <v>0</v>
      </c>
      <c r="Q1784" s="1659"/>
      <c r="R1784" s="1726"/>
      <c r="S1784" s="1726"/>
      <c r="T1784" s="1659"/>
      <c r="U1784" s="1659"/>
      <c r="V1784" s="1659"/>
      <c r="W1784" s="1659"/>
      <c r="X1784" s="1659"/>
      <c r="Y1784" s="1659"/>
      <c r="Z1784" s="1659"/>
    </row>
    <row r="1785" spans="1:26" ht="17.399999999999999">
      <c r="A1785" s="1508"/>
      <c r="B1785" s="1659"/>
      <c r="C1785" s="1659"/>
      <c r="D1785" s="1051" t="s">
        <v>4020</v>
      </c>
      <c r="E1785" s="1659"/>
      <c r="F1785" s="1659"/>
      <c r="G1785" s="1659"/>
      <c r="H1785" s="1659"/>
      <c r="I1785" s="1659"/>
      <c r="J1785" s="1659"/>
      <c r="K1785" s="1659"/>
      <c r="L1785" s="1659"/>
      <c r="M1785" s="1659"/>
      <c r="N1785" s="1620" t="s">
        <v>2436</v>
      </c>
      <c r="O1785" s="1621">
        <f>'Part IX Scoring Criteria'!O233</f>
        <v>0</v>
      </c>
      <c r="P1785" s="1621">
        <f>'Part IX Scoring Criteria'!P233</f>
        <v>0</v>
      </c>
      <c r="Q1785" s="1659"/>
      <c r="R1785" s="1726"/>
      <c r="S1785" s="1726"/>
      <c r="T1785" s="1659"/>
      <c r="U1785" s="1659"/>
      <c r="V1785" s="1659"/>
      <c r="W1785" s="1659"/>
      <c r="X1785" s="1659"/>
      <c r="Y1785" s="1659"/>
      <c r="Z1785" s="1659"/>
    </row>
    <row r="1786" spans="1:26" ht="17.399999999999999">
      <c r="A1786" s="1508"/>
      <c r="B1786" s="1659"/>
      <c r="C1786" s="1659"/>
      <c r="D1786" s="1051" t="s">
        <v>4021</v>
      </c>
      <c r="E1786" s="1659"/>
      <c r="F1786" s="1659"/>
      <c r="G1786" s="1659"/>
      <c r="H1786" s="1659"/>
      <c r="I1786" s="1659"/>
      <c r="J1786" s="1659"/>
      <c r="K1786" s="1659"/>
      <c r="L1786" s="1659"/>
      <c r="M1786" s="1659"/>
      <c r="N1786" s="1620" t="s">
        <v>2437</v>
      </c>
      <c r="O1786" s="1620"/>
      <c r="P1786" s="1621">
        <f>'Part IX Scoring Criteria'!P234</f>
        <v>0</v>
      </c>
      <c r="Q1786" s="1659"/>
      <c r="R1786" s="1726"/>
      <c r="S1786" s="1726"/>
      <c r="T1786" s="1659"/>
      <c r="U1786" s="1659"/>
      <c r="V1786" s="1659"/>
      <c r="W1786" s="1659"/>
      <c r="X1786" s="1659"/>
      <c r="Y1786" s="1659"/>
      <c r="Z1786" s="1659"/>
    </row>
    <row r="1787" spans="1:26" ht="17.399999999999999">
      <c r="A1787" s="1508"/>
      <c r="B1787" s="1659"/>
      <c r="C1787" s="1659"/>
      <c r="D1787" s="1051" t="s">
        <v>4022</v>
      </c>
      <c r="E1787" s="1659"/>
      <c r="F1787" s="1659"/>
      <c r="G1787" s="1659"/>
      <c r="H1787" s="1659"/>
      <c r="I1787" s="1659"/>
      <c r="J1787" s="1659"/>
      <c r="K1787" s="1659"/>
      <c r="L1787" s="1659"/>
      <c r="M1787" s="1659"/>
      <c r="N1787" s="1620" t="s">
        <v>2438</v>
      </c>
      <c r="O1787" s="1621">
        <f>'Part IX Scoring Criteria'!O235</f>
        <v>0</v>
      </c>
      <c r="P1787" s="1621">
        <f>'Part IX Scoring Criteria'!P235</f>
        <v>0</v>
      </c>
      <c r="Q1787" s="1659"/>
      <c r="R1787" s="1726"/>
      <c r="S1787" s="1726"/>
      <c r="T1787" s="1659"/>
      <c r="U1787" s="1659"/>
      <c r="V1787" s="1659"/>
      <c r="W1787" s="1659"/>
      <c r="X1787" s="1659"/>
      <c r="Y1787" s="1659"/>
      <c r="Z1787" s="1659"/>
    </row>
    <row r="1788" spans="1:26" ht="14.4">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1982</v>
      </c>
      <c r="B1789" s="1503" t="s">
        <v>4584</v>
      </c>
      <c r="D1789" s="1314"/>
      <c r="G1789" s="1647" t="s">
        <v>3781</v>
      </c>
      <c r="Q1789" s="1372"/>
    </row>
    <row r="1790" spans="1:26">
      <c r="A1790" s="1618"/>
      <c r="B1790" s="457" t="s">
        <v>3861</v>
      </c>
      <c r="C1790" s="1314"/>
      <c r="D1790" s="457">
        <f>'Part IX Scoring Criteria'!D239</f>
        <v>0</v>
      </c>
      <c r="E1790" s="457">
        <f>'Part IX Scoring Criteria'!E239</f>
        <v>0</v>
      </c>
      <c r="F1790" s="457">
        <f>'Part IX Scoring Criteria'!F239</f>
        <v>0</v>
      </c>
      <c r="G1790" s="457">
        <f>'Part IX Scoring Criteria'!G239</f>
        <v>0</v>
      </c>
      <c r="H1790" s="457">
        <f>'Part IX Scoring Criteria'!H239</f>
        <v>0</v>
      </c>
      <c r="I1790" s="1524" t="s">
        <v>2703</v>
      </c>
      <c r="J1790" s="457">
        <f>'Part IX Scoring Criteria'!J239</f>
        <v>0</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7.399999999999999">
      <c r="A1791" s="1618"/>
      <c r="B1791" s="457" t="s">
        <v>2193</v>
      </c>
      <c r="C1791" s="1314"/>
      <c r="D1791" s="457">
        <f>'Part IX Scoring Criteria'!D240</f>
        <v>0</v>
      </c>
      <c r="E1791" s="457">
        <f>'Part IX Scoring Criteria'!E240</f>
        <v>0</v>
      </c>
      <c r="F1791" s="457">
        <f>'Part IX Scoring Criteria'!F240</f>
        <v>0</v>
      </c>
      <c r="G1791" s="457" t="s">
        <v>1720</v>
      </c>
      <c r="H1791" s="1855">
        <f>'Part IX Scoring Criteria'!H240</f>
        <v>0</v>
      </c>
      <c r="I1791" s="1524" t="s">
        <v>1799</v>
      </c>
      <c r="J1791" s="457">
        <f>'Part IX Scoring Criteria'!J240</f>
        <v>0</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1985</v>
      </c>
      <c r="C1793" s="1576" t="s">
        <v>4023</v>
      </c>
      <c r="D1793" s="1604"/>
      <c r="E1793" s="1604"/>
      <c r="F1793" s="1604"/>
      <c r="G1793" s="1604"/>
      <c r="H1793" s="1604"/>
      <c r="I1793" s="1604"/>
      <c r="J1793" s="1604"/>
      <c r="K1793" s="1604"/>
      <c r="L1793" s="1604"/>
      <c r="M1793" s="1604"/>
      <c r="N1793" s="1604"/>
      <c r="O1793" s="1578" t="s">
        <v>2509</v>
      </c>
      <c r="P1793" s="1578" t="s">
        <v>2509</v>
      </c>
      <c r="Q1793" s="1604"/>
    </row>
    <row r="1794" spans="1:26" ht="18.75" customHeight="1">
      <c r="A1794" s="1578"/>
      <c r="B1794" s="1635"/>
      <c r="C1794" s="1550" t="s">
        <v>4585</v>
      </c>
      <c r="D1794" s="1550"/>
      <c r="E1794" s="1550"/>
      <c r="F1794" s="1550"/>
      <c r="G1794" s="1550"/>
      <c r="H1794" s="1550"/>
      <c r="I1794" s="1550"/>
      <c r="J1794" s="1550"/>
      <c r="K1794" s="1550"/>
      <c r="L1794" s="1550"/>
      <c r="M1794" s="1314"/>
      <c r="N1794" s="1684" t="s">
        <v>1985</v>
      </c>
      <c r="O1794" s="1628">
        <f>'Part IX Scoring Criteria'!O243</f>
        <v>0</v>
      </c>
      <c r="P1794" s="1628">
        <f>'Part IX Scoring Criteria'!P243</f>
        <v>0</v>
      </c>
      <c r="Q1794" s="1604"/>
      <c r="S1794" s="1314"/>
      <c r="T1794" s="1314"/>
      <c r="U1794" s="1314"/>
      <c r="V1794" s="1726"/>
      <c r="W1794" s="1726"/>
      <c r="X1794" s="1314"/>
      <c r="Y1794" s="1314"/>
      <c r="Z1794" s="1314"/>
    </row>
    <row r="1795" spans="1:26" ht="18.75" customHeight="1">
      <c r="A1795" s="1618"/>
      <c r="B1795" s="1620" t="s">
        <v>2434</v>
      </c>
      <c r="C1795" s="457" t="s">
        <v>4025</v>
      </c>
      <c r="D1795" s="457">
        <f>'Part IX Scoring Criteria'!D244</f>
        <v>0</v>
      </c>
      <c r="E1795" s="457">
        <f>'Part IX Scoring Criteria'!E244</f>
        <v>0</v>
      </c>
      <c r="F1795" s="457">
        <f>'Part IX Scoring Criteria'!F244</f>
        <v>0</v>
      </c>
      <c r="G1795" s="457">
        <f>'Part IX Scoring Criteria'!G244</f>
        <v>0</v>
      </c>
      <c r="H1795" s="457">
        <f>'Part IX Scoring Criteria'!H244</f>
        <v>0</v>
      </c>
      <c r="I1795" s="1524" t="s">
        <v>2703</v>
      </c>
      <c r="J1795" s="457">
        <f>'Part IX Scoring Criteria'!J244</f>
        <v>0</v>
      </c>
      <c r="K1795" s="457">
        <f>'Part IX Scoring Criteria'!K244</f>
        <v>0</v>
      </c>
      <c r="L1795" s="457">
        <f>'Part IX Scoring Criteria'!L244</f>
        <v>0</v>
      </c>
      <c r="M1795" s="457">
        <f>'Part IX Scoring Criteria'!M244</f>
        <v>0</v>
      </c>
      <c r="N1795" s="457">
        <f>'Part IX Scoring Criteria'!N244</f>
        <v>0</v>
      </c>
      <c r="O1795" s="1468" t="s">
        <v>4027</v>
      </c>
      <c r="P1795" s="1468"/>
      <c r="Q1795" s="1604"/>
      <c r="S1795" s="1314"/>
      <c r="T1795" s="1314"/>
      <c r="U1795" s="1314"/>
      <c r="V1795" s="1726"/>
      <c r="W1795" s="1726"/>
      <c r="X1795" s="1314"/>
      <c r="Y1795" s="1314"/>
      <c r="Z1795" s="1314"/>
    </row>
    <row r="1796" spans="1:26" ht="17.399999999999999">
      <c r="A1796" s="1618"/>
      <c r="B1796" s="1314"/>
      <c r="C1796" s="457" t="s">
        <v>2193</v>
      </c>
      <c r="D1796" s="457">
        <f>'Part IX Scoring Criteria'!D245</f>
        <v>0</v>
      </c>
      <c r="E1796" s="457">
        <f>'Part IX Scoring Criteria'!E245</f>
        <v>0</v>
      </c>
      <c r="F1796" s="457">
        <f>'Part IX Scoring Criteria'!F245</f>
        <v>0</v>
      </c>
      <c r="G1796" s="457" t="s">
        <v>1720</v>
      </c>
      <c r="H1796" s="1855">
        <f>'Part IX Scoring Criteria'!H245</f>
        <v>0</v>
      </c>
      <c r="I1796" s="1524" t="s">
        <v>1799</v>
      </c>
      <c r="J1796" s="457">
        <f>'Part IX Scoring Criteria'!J245</f>
        <v>0</v>
      </c>
      <c r="K1796" s="457">
        <f>'Part IX Scoring Criteria'!K245</f>
        <v>0</v>
      </c>
      <c r="L1796" s="457">
        <f>'Part IX Scoring Criteria'!L245</f>
        <v>0</v>
      </c>
      <c r="M1796" s="457">
        <f>'Part IX Scoring Criteria'!M245</f>
        <v>0</v>
      </c>
      <c r="N1796" s="457">
        <f>'Part IX Scoring Criteria'!N245</f>
        <v>0</v>
      </c>
      <c r="O1796" s="1621">
        <f>'Part IX Scoring Criteria'!O245</f>
        <v>0</v>
      </c>
      <c r="P1796" s="1621">
        <f>'Part IX Scoring Criteria'!P245</f>
        <v>0</v>
      </c>
      <c r="Q1796" s="1604"/>
      <c r="S1796" s="1314"/>
      <c r="T1796" s="1314"/>
      <c r="U1796" s="1314"/>
      <c r="V1796" s="1726"/>
      <c r="W1796" s="1726"/>
      <c r="X1796" s="1314"/>
      <c r="Y1796" s="1314"/>
      <c r="Z1796" s="1314"/>
    </row>
    <row r="1797" spans="1:26" ht="18.75" customHeight="1">
      <c r="A1797" s="1618"/>
      <c r="B1797" s="1620" t="s">
        <v>2435</v>
      </c>
      <c r="C1797" s="457" t="s">
        <v>4026</v>
      </c>
      <c r="D1797" s="457">
        <f>'Part IX Scoring Criteria'!D246</f>
        <v>0</v>
      </c>
      <c r="E1797" s="457">
        <f>'Part IX Scoring Criteria'!E246</f>
        <v>0</v>
      </c>
      <c r="F1797" s="457">
        <f>'Part IX Scoring Criteria'!F246</f>
        <v>0</v>
      </c>
      <c r="G1797" s="457">
        <f>'Part IX Scoring Criteria'!G246</f>
        <v>0</v>
      </c>
      <c r="H1797" s="457">
        <f>'Part IX Scoring Criteria'!H246</f>
        <v>0</v>
      </c>
      <c r="I1797" s="1524" t="s">
        <v>2703</v>
      </c>
      <c r="J1797" s="457">
        <f>'Part IX Scoring Criteria'!J246</f>
        <v>0</v>
      </c>
      <c r="K1797" s="457">
        <f>'Part IX Scoring Criteria'!K246</f>
        <v>0</v>
      </c>
      <c r="L1797" s="457">
        <f>'Part IX Scoring Criteria'!L246</f>
        <v>0</v>
      </c>
      <c r="M1797" s="457">
        <f>'Part IX Scoring Criteria'!M246</f>
        <v>0</v>
      </c>
      <c r="N1797" s="457">
        <f>'Part IX Scoring Criteria'!N246</f>
        <v>0</v>
      </c>
      <c r="O1797" s="1468" t="s">
        <v>4027</v>
      </c>
      <c r="P1797" s="1468"/>
      <c r="Q1797" s="1604"/>
      <c r="S1797" s="1314"/>
      <c r="T1797" s="1314"/>
      <c r="U1797" s="1314"/>
      <c r="V1797" s="1726"/>
      <c r="W1797" s="1726"/>
      <c r="X1797" s="1314"/>
      <c r="Y1797" s="1314"/>
      <c r="Z1797" s="1314"/>
    </row>
    <row r="1798" spans="1:26" ht="17.399999999999999">
      <c r="A1798" s="1618"/>
      <c r="B1798" s="1314"/>
      <c r="C1798" s="457" t="s">
        <v>2193</v>
      </c>
      <c r="D1798" s="457">
        <f>'Part IX Scoring Criteria'!D247</f>
        <v>0</v>
      </c>
      <c r="E1798" s="457">
        <f>'Part IX Scoring Criteria'!E247</f>
        <v>0</v>
      </c>
      <c r="F1798" s="457">
        <f>'Part IX Scoring Criteria'!F247</f>
        <v>0</v>
      </c>
      <c r="G1798" s="457" t="s">
        <v>1720</v>
      </c>
      <c r="H1798" s="1855">
        <f>'Part IX Scoring Criteria'!H247</f>
        <v>0</v>
      </c>
      <c r="I1798" s="1524" t="s">
        <v>1799</v>
      </c>
      <c r="J1798" s="457">
        <f>'Part IX Scoring Criteria'!J247</f>
        <v>0</v>
      </c>
      <c r="K1798" s="457">
        <f>'Part IX Scoring Criteria'!K247</f>
        <v>0</v>
      </c>
      <c r="L1798" s="457">
        <f>'Part IX Scoring Criteria'!L247</f>
        <v>0</v>
      </c>
      <c r="M1798" s="457">
        <f>'Part IX Scoring Criteria'!M247</f>
        <v>0</v>
      </c>
      <c r="N1798" s="457">
        <f>'Part IX Scoring Criteria'!N247</f>
        <v>0</v>
      </c>
      <c r="O1798" s="1621">
        <f>'Part IX Scoring Criteria'!O247</f>
        <v>0</v>
      </c>
      <c r="P1798" s="1621">
        <f>'Part IX Scoring Criteria'!P247</f>
        <v>0</v>
      </c>
      <c r="Q1798" s="1604"/>
      <c r="S1798" s="1314"/>
      <c r="T1798" s="1314"/>
      <c r="U1798" s="1314"/>
      <c r="V1798" s="1726"/>
      <c r="W1798" s="1726"/>
      <c r="X1798" s="1314"/>
      <c r="Y1798" s="1314"/>
      <c r="Z1798" s="1314"/>
    </row>
    <row r="1799" spans="1:26">
      <c r="A1799" s="1618"/>
      <c r="B1799" s="1733" t="s">
        <v>1987</v>
      </c>
      <c r="C1799" s="1576" t="s">
        <v>4028</v>
      </c>
      <c r="D1799" s="1604"/>
      <c r="E1799" s="1604"/>
      <c r="F1799" s="1604"/>
      <c r="G1799" s="1647" t="s">
        <v>3781</v>
      </c>
      <c r="H1799" s="1604"/>
      <c r="I1799" s="1604"/>
      <c r="J1799" s="1604"/>
      <c r="K1799" s="1604"/>
      <c r="L1799" s="1604"/>
      <c r="M1799" s="1604"/>
      <c r="N1799" s="1604"/>
      <c r="O1799" s="1578" t="s">
        <v>2509</v>
      </c>
      <c r="P1799" s="1578" t="s">
        <v>2509</v>
      </c>
      <c r="Q1799" s="1604"/>
    </row>
    <row r="1800" spans="1:26" ht="18.75" customHeight="1">
      <c r="A1800" s="1618"/>
      <c r="B1800" s="1759"/>
      <c r="C1800" s="1583" t="s">
        <v>4586</v>
      </c>
      <c r="D1800" s="1583"/>
      <c r="E1800" s="1583"/>
      <c r="F1800" s="1583"/>
      <c r="G1800" s="1583"/>
      <c r="H1800" s="1583"/>
      <c r="I1800" s="1583"/>
      <c r="J1800" s="1583"/>
      <c r="K1800" s="1583"/>
      <c r="L1800" s="1583"/>
      <c r="M1800" s="1583"/>
      <c r="N1800" s="1684" t="s">
        <v>1987</v>
      </c>
      <c r="O1800" s="1628">
        <f>'Part IX Scoring Criteria'!O249</f>
        <v>0</v>
      </c>
      <c r="P1800" s="1628">
        <f>'Part IX Scoring Criteria'!P249</f>
        <v>0</v>
      </c>
      <c r="Q1800" s="1630"/>
      <c r="V1800" s="1726"/>
      <c r="W1800" s="1726"/>
    </row>
    <row r="1801" spans="1:26" ht="17.399999999999999">
      <c r="A1801" s="1618"/>
      <c r="B1801" s="1620" t="s">
        <v>2434</v>
      </c>
      <c r="C1801" s="1635" t="s">
        <v>4134</v>
      </c>
      <c r="D1801" s="1582"/>
      <c r="E1801" s="1582"/>
      <c r="F1801" s="1582"/>
      <c r="G1801" s="1582"/>
      <c r="H1801" s="1582"/>
      <c r="I1801" s="1582"/>
      <c r="J1801" s="1582"/>
      <c r="K1801" s="1582"/>
      <c r="L1801" s="1582"/>
      <c r="M1801" s="1582"/>
      <c r="N1801" s="1582"/>
      <c r="O1801" s="1582"/>
      <c r="P1801" s="1582"/>
      <c r="Q1801" s="1630"/>
      <c r="V1801" s="1726"/>
      <c r="W1801" s="1726"/>
    </row>
    <row r="1802" spans="1:26" ht="17.399999999999999">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7.399999999999999">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7.399999999999999">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2435</v>
      </c>
      <c r="C1805" s="1635" t="s">
        <v>4132</v>
      </c>
      <c r="D1805" s="1582"/>
      <c r="E1805" s="1582"/>
      <c r="F1805" s="1582"/>
      <c r="G1805" s="1582"/>
      <c r="H1805" s="1582"/>
      <c r="I1805" s="1582"/>
      <c r="J1805" s="1582"/>
      <c r="K1805" s="1582"/>
      <c r="L1805" s="1583" t="s">
        <v>4136</v>
      </c>
      <c r="M1805" s="1583"/>
      <c r="N1805" s="1604" t="s">
        <v>4137</v>
      </c>
      <c r="O1805" s="1604"/>
      <c r="P1805" s="1604"/>
      <c r="Q1805" s="1630"/>
      <c r="V1805" s="1726"/>
      <c r="W1805" s="1726"/>
    </row>
    <row r="1806" spans="1:26" ht="17.399999999999999">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7.399999999999999">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7.399999999999999">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2533</v>
      </c>
      <c r="C1809" s="1576" t="s">
        <v>4029</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4033</v>
      </c>
      <c r="D1810" s="1550"/>
      <c r="E1810" s="1550"/>
      <c r="F1810" s="1550"/>
      <c r="G1810" s="1550"/>
      <c r="H1810" s="1550"/>
      <c r="I1810" s="1550"/>
      <c r="J1810" s="1550"/>
      <c r="K1810" s="1550"/>
      <c r="L1810" s="1550"/>
      <c r="M1810" s="1550"/>
      <c r="N1810" s="1684" t="s">
        <v>2533</v>
      </c>
      <c r="O1810" s="1621">
        <f>'Part IX Scoring Criteria'!O259</f>
        <v>0</v>
      </c>
      <c r="P1810" s="1621">
        <f>'Part IX Scoring Criteria'!P259</f>
        <v>0</v>
      </c>
      <c r="Q1810" s="1630"/>
      <c r="R1810" s="1314"/>
      <c r="S1810" s="1314"/>
      <c r="T1810" s="1314"/>
      <c r="U1810" s="1314"/>
      <c r="V1810" s="1726"/>
      <c r="W1810" s="1726"/>
      <c r="X1810" s="1314"/>
      <c r="Y1810" s="1314"/>
      <c r="Z1810" s="1314"/>
    </row>
    <row r="1811" spans="1:26">
      <c r="A1811" s="1508"/>
      <c r="B1811" s="1729" t="s">
        <v>1223</v>
      </c>
      <c r="C1811" s="1577" t="s">
        <v>3784</v>
      </c>
      <c r="D1811" s="1314"/>
      <c r="Q1811" s="1313"/>
    </row>
    <row r="1812" spans="1:26" ht="18.75" customHeight="1">
      <c r="A1812" s="1618"/>
      <c r="B1812" s="1760"/>
      <c r="C1812" s="1583" t="s">
        <v>4035</v>
      </c>
      <c r="D1812" s="1583"/>
      <c r="E1812" s="1583"/>
      <c r="F1812" s="1583"/>
      <c r="G1812" s="1583"/>
      <c r="H1812" s="1583"/>
      <c r="I1812" s="1583"/>
      <c r="J1812" s="1583"/>
      <c r="K1812" s="1583"/>
      <c r="L1812" s="1583"/>
      <c r="M1812" s="1583"/>
      <c r="N1812" s="1684" t="s">
        <v>1223</v>
      </c>
      <c r="O1812" s="1628">
        <f>'Part IX Scoring Criteria'!O261</f>
        <v>0</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2434</v>
      </c>
      <c r="C1813" s="1550" t="s">
        <v>4036</v>
      </c>
      <c r="D1813" s="1550"/>
      <c r="E1813" s="1550"/>
      <c r="F1813" s="1550"/>
      <c r="G1813" s="1550"/>
      <c r="H1813" s="1550"/>
      <c r="I1813" s="1550"/>
      <c r="J1813" s="1550"/>
      <c r="K1813" s="1550"/>
      <c r="L1813" s="1550"/>
      <c r="M1813" s="1550"/>
      <c r="N1813" s="1620" t="s">
        <v>2434</v>
      </c>
      <c r="O1813" s="1621">
        <f>'Part IX Scoring Criteria'!O263</f>
        <v>0</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2435</v>
      </c>
      <c r="C1814" s="1550" t="s">
        <v>4037</v>
      </c>
      <c r="D1814" s="1550"/>
      <c r="E1814" s="1550"/>
      <c r="F1814" s="1550"/>
      <c r="G1814" s="1550"/>
      <c r="H1814" s="1550"/>
      <c r="I1814" s="1550"/>
      <c r="J1814" s="1550"/>
      <c r="K1814" s="1550"/>
      <c r="L1814" s="1550"/>
      <c r="M1814" s="1550"/>
      <c r="N1814" s="1620" t="s">
        <v>2435</v>
      </c>
      <c r="O1814" s="1621">
        <f>'Part IX Scoring Criteria'!O264</f>
        <v>0</v>
      </c>
      <c r="P1814" s="1621">
        <f>'Part IX Scoring Criteria'!P264</f>
        <v>0</v>
      </c>
      <c r="Q1814" s="1630"/>
      <c r="R1814" s="1314"/>
      <c r="S1814" s="1314"/>
      <c r="T1814" s="1314"/>
      <c r="U1814" s="1314"/>
      <c r="V1814" s="1726"/>
      <c r="W1814" s="1726"/>
      <c r="X1814" s="1314"/>
      <c r="Y1814" s="1314"/>
      <c r="Z1814" s="1314"/>
    </row>
    <row r="1815" spans="1:26" ht="17.399999999999999">
      <c r="B1815" s="1620"/>
      <c r="C1815" s="1051"/>
      <c r="G1815" s="1647"/>
      <c r="L1815" s="1761"/>
      <c r="M1815" s="1761"/>
      <c r="Q1815" s="1630"/>
      <c r="V1815" s="1726"/>
      <c r="W1815" s="1726"/>
    </row>
    <row r="1816" spans="1:26">
      <c r="A1816" s="1508" t="s">
        <v>1984</v>
      </c>
      <c r="B1816" s="1503" t="s">
        <v>4587</v>
      </c>
      <c r="D1816" s="1314"/>
      <c r="G1816" s="1647" t="s">
        <v>3781</v>
      </c>
      <c r="O1816" s="1578" t="s">
        <v>2509</v>
      </c>
      <c r="P1816" s="1578" t="s">
        <v>2509</v>
      </c>
      <c r="Q1816" s="1372"/>
    </row>
    <row r="1817" spans="1:26" ht="18.75" customHeight="1">
      <c r="A1817" s="1618"/>
      <c r="B1817" s="1733" t="s">
        <v>1985</v>
      </c>
      <c r="C1817" s="1583" t="s">
        <v>4031</v>
      </c>
      <c r="D1817" s="1583"/>
      <c r="E1817" s="1583"/>
      <c r="F1817" s="1583"/>
      <c r="G1817" s="1583"/>
      <c r="H1817" s="1583"/>
      <c r="I1817" s="1583"/>
      <c r="J1817" s="1583"/>
      <c r="K1817" s="1583"/>
      <c r="L1817" s="1583"/>
      <c r="M1817" s="1762" t="s">
        <v>1984</v>
      </c>
      <c r="N1817" s="1684" t="s">
        <v>1985</v>
      </c>
      <c r="O1817" s="1628">
        <f>'Part IX Scoring Criteria'!O269</f>
        <v>0</v>
      </c>
      <c r="P1817" s="1628">
        <f>'Part IX Scoring Criteria'!P269</f>
        <v>0</v>
      </c>
      <c r="Q1817" s="1372"/>
      <c r="V1817" s="1726"/>
      <c r="W1817" s="1726"/>
    </row>
    <row r="1818" spans="1:26" ht="17.399999999999999">
      <c r="A1818" s="1618"/>
      <c r="B1818" s="1733" t="s">
        <v>1987</v>
      </c>
      <c r="C1818" s="1524" t="s">
        <v>4032</v>
      </c>
      <c r="D1818" s="1550"/>
      <c r="E1818" s="1550"/>
      <c r="F1818" s="1550"/>
      <c r="G1818" s="1550"/>
      <c r="H1818" s="1550"/>
      <c r="I1818" s="1550"/>
      <c r="J1818" s="1550"/>
      <c r="K1818" s="1550"/>
      <c r="L1818" s="1550"/>
      <c r="M1818" s="1550"/>
      <c r="N1818" s="1684" t="s">
        <v>1987</v>
      </c>
      <c r="O1818" s="1621">
        <f>'Part IX Scoring Criteria'!O270</f>
        <v>0</v>
      </c>
      <c r="P1818" s="1621">
        <f>'Part IX Scoring Criteria'!P270</f>
        <v>0</v>
      </c>
      <c r="Q1818" s="1630"/>
      <c r="R1818" s="1314"/>
      <c r="S1818" s="1314"/>
      <c r="T1818" s="1314"/>
      <c r="U1818" s="1314"/>
      <c r="V1818" s="1763"/>
      <c r="W1818" s="1763"/>
      <c r="X1818" s="1314"/>
      <c r="Y1818" s="1314"/>
      <c r="Z1818" s="1314"/>
    </row>
    <row r="1819" spans="1:26" ht="14.4">
      <c r="A1819" s="1314"/>
      <c r="B1819" s="1677" t="s">
        <v>3752</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15.6">
      <c r="A1820" s="1573">
        <f>'Part IX Scoring Criteria'!A273</f>
        <v>0</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4.4">
      <c r="A1821" s="1314"/>
      <c r="B1821" s="1580" t="s">
        <v>1865</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6">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4.4">
      <c r="A1824" s="1660" t="s">
        <v>362</v>
      </c>
      <c r="B1824" s="1661" t="s">
        <v>2784</v>
      </c>
      <c r="C1824" s="1676"/>
      <c r="D1824" s="1677"/>
      <c r="E1824" s="1677"/>
      <c r="F1824" s="1676"/>
      <c r="G1824" s="1676"/>
      <c r="H1824" s="1335" t="s">
        <v>4177</v>
      </c>
      <c r="I1824" s="1676"/>
      <c r="J1824" s="1676"/>
      <c r="K1824" s="1676"/>
      <c r="L1824" s="1676"/>
      <c r="M1824" s="1496">
        <v>7</v>
      </c>
      <c r="N1824" s="1313"/>
      <c r="O1824" s="1499">
        <f>'Part IX Scoring Criteria'!O277</f>
        <v>0</v>
      </c>
      <c r="P1824" s="1499">
        <f>'Part IX Scoring Criteria'!P277</f>
        <v>0</v>
      </c>
      <c r="Q1824" s="1496" t="s">
        <v>441</v>
      </c>
      <c r="R1824" s="1659"/>
      <c r="S1824" s="1676"/>
      <c r="T1824" s="1676"/>
      <c r="U1824" s="1676"/>
      <c r="V1824" s="1676"/>
      <c r="W1824" s="1676"/>
      <c r="X1824" s="1676"/>
      <c r="Y1824" s="1676"/>
      <c r="Z1824" s="1676"/>
    </row>
    <row r="1825" spans="1:26" ht="14.4">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4.4">
      <c r="A1826" s="1764" t="s">
        <v>3599</v>
      </c>
      <c r="B1826" s="1503" t="s">
        <v>3597</v>
      </c>
      <c r="C1826" s="1676"/>
      <c r="D1826" s="1677"/>
      <c r="E1826" s="1677"/>
      <c r="F1826" s="1676"/>
      <c r="G1826" s="1676"/>
      <c r="H1826" s="1335"/>
      <c r="I1826" s="1676"/>
      <c r="J1826" s="1676"/>
      <c r="K1826" s="1676"/>
      <c r="L1826" s="1676"/>
      <c r="M1826" s="1313">
        <v>3</v>
      </c>
      <c r="N1826" s="1721" t="s">
        <v>4040</v>
      </c>
      <c r="O1826" s="1499">
        <f>'Part IX Scoring Criteria'!O279</f>
        <v>0</v>
      </c>
      <c r="P1826" s="1496">
        <f>'Part IX Scoring Criteria'!P279</f>
        <v>0</v>
      </c>
      <c r="Q1826" s="1496"/>
      <c r="R1826" s="1659"/>
      <c r="S1826" s="1676"/>
      <c r="T1826" s="1676"/>
      <c r="U1826" s="1676"/>
      <c r="V1826" s="1676"/>
      <c r="W1826" s="1676"/>
      <c r="X1826" s="1676"/>
      <c r="Y1826" s="1676"/>
      <c r="Z1826" s="1676"/>
    </row>
    <row r="1827" spans="1:26">
      <c r="A1827" s="1764"/>
      <c r="B1827" s="1317" t="s">
        <v>2792</v>
      </c>
      <c r="C1827" s="1204"/>
      <c r="D1827" s="1204"/>
      <c r="H1827" s="1503" t="str">
        <f>'Part I-Project Information'!$H$105</f>
        <v>Rural</v>
      </c>
      <c r="N1827" s="1721"/>
      <c r="O1827" s="1626" t="s">
        <v>2509</v>
      </c>
      <c r="P1827" s="1626" t="s">
        <v>2509</v>
      </c>
    </row>
    <row r="1828" spans="1:26" ht="12.75" customHeight="1">
      <c r="A1828" s="1764"/>
      <c r="B1828" s="1729" t="s">
        <v>1985</v>
      </c>
      <c r="C1828" s="1051" t="s">
        <v>2684</v>
      </c>
      <c r="M1828" s="1320"/>
      <c r="N1828" s="1721"/>
      <c r="O1828" s="1621">
        <f>'Part IX Scoring Criteria'!O281</f>
        <v>0</v>
      </c>
      <c r="P1828" s="1621">
        <f>'Part IX Scoring Criteria'!P281</f>
        <v>0</v>
      </c>
      <c r="Q1828" s="1765" t="str">
        <f>IF(AND(O1828="Yes",O1831="Yes"),"Only 1 or 4 can be 'Yes'!","")</f>
        <v/>
      </c>
      <c r="R1828" s="1765"/>
    </row>
    <row r="1829" spans="1:26" ht="12.75" customHeight="1">
      <c r="B1829" s="1729" t="s">
        <v>1987</v>
      </c>
      <c r="C1829" s="1051" t="s">
        <v>2737</v>
      </c>
      <c r="G1829" s="1051" t="s">
        <v>2388</v>
      </c>
      <c r="H1829" s="1856" t="str">
        <f>'Part IX Scoring Criteria'!H282</f>
        <v>&lt; Select &gt;</v>
      </c>
      <c r="I1829" s="1051" t="s">
        <v>2738</v>
      </c>
      <c r="L1829" s="457" t="s">
        <v>2736</v>
      </c>
      <c r="M1829" s="1577" t="str">
        <f>IF(O1829&gt;H1829,"CHECK ACTUAL PERCENT!!!","")</f>
        <v/>
      </c>
      <c r="N1829" s="1696" t="s">
        <v>1987</v>
      </c>
      <c r="O1829" s="1766">
        <f>'Part IX Scoring Criteria'!O282</f>
        <v>0</v>
      </c>
      <c r="P1829" s="1766">
        <f>'Part IX Scoring Criteria'!P282</f>
        <v>0</v>
      </c>
      <c r="Q1829" s="1765"/>
      <c r="R1829" s="1765"/>
    </row>
    <row r="1830" spans="1:26" ht="12.75" customHeight="1">
      <c r="B1830" s="1729" t="s">
        <v>2533</v>
      </c>
      <c r="C1830" s="1051" t="s">
        <v>2389</v>
      </c>
      <c r="G1830" s="1051" t="s">
        <v>2390</v>
      </c>
      <c r="L1830" s="1524" t="s">
        <v>2730</v>
      </c>
      <c r="M1830" s="1314"/>
      <c r="N1830" s="1696" t="s">
        <v>2533</v>
      </c>
      <c r="O1830" s="1578" t="str">
        <f>'Part IX Scoring Criteria'!O283</f>
        <v>&lt;Select&gt;</v>
      </c>
      <c r="P1830" s="1578" t="str">
        <f>'Part IX Scoring Criteria'!P283</f>
        <v>&lt;Select&gt;</v>
      </c>
      <c r="Q1830" s="1765"/>
      <c r="R1830" s="1765"/>
    </row>
    <row r="1831" spans="1:26" ht="12.75" customHeight="1">
      <c r="A1831" s="1596"/>
      <c r="B1831" s="1733" t="s">
        <v>1223</v>
      </c>
      <c r="C1831" s="1583" t="s">
        <v>4588</v>
      </c>
      <c r="D1831" s="1583"/>
      <c r="E1831" s="1583"/>
      <c r="F1831" s="1583"/>
      <c r="G1831" s="1583"/>
      <c r="H1831" s="1583"/>
      <c r="I1831" s="1583"/>
      <c r="J1831" s="1767" t="s">
        <v>4039</v>
      </c>
      <c r="K1831" s="1767" t="s">
        <v>4038</v>
      </c>
      <c r="L1831" s="1596"/>
      <c r="M1831" s="1316">
        <v>2</v>
      </c>
      <c r="N1831" s="1696" t="s">
        <v>1223</v>
      </c>
      <c r="O1831" s="1628">
        <f>'Part IX Scoring Criteria'!O284</f>
        <v>0</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4094</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748</v>
      </c>
      <c r="B1834" s="1729" t="s">
        <v>3598</v>
      </c>
      <c r="C1834" s="1051"/>
      <c r="G1834" s="1051"/>
      <c r="M1834" s="1313">
        <v>2</v>
      </c>
      <c r="N1834" s="1511" t="s">
        <v>748</v>
      </c>
      <c r="O1834" s="1499">
        <f>'Part IX Scoring Criteria'!O288</f>
        <v>0</v>
      </c>
      <c r="P1834" s="1499">
        <f>'Part IX Scoring Criteria'!P288</f>
        <v>0</v>
      </c>
    </row>
    <row r="1835" spans="1:26">
      <c r="A1835" s="1531"/>
      <c r="B1835" s="1638" t="s">
        <v>3602</v>
      </c>
      <c r="C1835" s="1638"/>
      <c r="D1835" s="1638"/>
      <c r="E1835" s="1638"/>
      <c r="F1835" s="1638"/>
      <c r="G1835" s="1638"/>
      <c r="H1835" s="1587"/>
      <c r="I1835" s="1587"/>
      <c r="N1835" s="1320"/>
      <c r="O1835" s="1578">
        <f>'Part IX Scoring Criteria'!O289</f>
        <v>0</v>
      </c>
      <c r="P1835" s="1578">
        <f>'Part IX Scoring Criteria'!P289</f>
        <v>0</v>
      </c>
    </row>
    <row r="1836" spans="1:26">
      <c r="A1836" s="1531" t="s">
        <v>2114</v>
      </c>
      <c r="B1836" s="1729" t="s">
        <v>3600</v>
      </c>
      <c r="C1836" s="1051"/>
      <c r="G1836" s="1647" t="s">
        <v>3601</v>
      </c>
      <c r="H1836" s="1771">
        <f>'Part VI-Revenues &amp; Expenses'!$O$64</f>
        <v>0</v>
      </c>
      <c r="I1836" s="1626" t="s">
        <v>3603</v>
      </c>
      <c r="J1836" s="1771">
        <f>'Part VI-Revenues &amp; Expenses'!$O$67</f>
        <v>40</v>
      </c>
      <c r="K1836" s="1626" t="s">
        <v>3604</v>
      </c>
      <c r="L1836" s="1772">
        <f>IF(J1836=0,0,H1836/J1836)</f>
        <v>0</v>
      </c>
      <c r="M1836" s="1313">
        <v>2</v>
      </c>
      <c r="N1836" s="1315" t="s">
        <v>2114</v>
      </c>
      <c r="O1836" s="1496">
        <f>'Part IX Scoring Criteria'!O293</f>
        <v>0</v>
      </c>
      <c r="P1836" s="1496">
        <f>'Part IX Scoring Criteria'!P293</f>
        <v>0</v>
      </c>
    </row>
    <row r="1837" spans="1:26" ht="14.4">
      <c r="A1837" s="1314"/>
      <c r="B1837" s="1580" t="s">
        <v>1865</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6">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4.4">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4.4">
      <c r="A1840" s="1660" t="s">
        <v>363</v>
      </c>
      <c r="B1840" s="1661" t="s">
        <v>4041</v>
      </c>
      <c r="C1840" s="1676"/>
      <c r="D1840" s="1677"/>
      <c r="E1840" s="1677"/>
      <c r="F1840" s="1676"/>
      <c r="G1840" s="1676"/>
      <c r="H1840" s="1335"/>
      <c r="I1840" s="1773" t="s">
        <v>3797</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1982</v>
      </c>
      <c r="B1841" s="1774" t="s">
        <v>3788</v>
      </c>
      <c r="D1841" s="1635"/>
      <c r="E1841" s="1635"/>
      <c r="F1841" s="1635"/>
      <c r="G1841" s="1635"/>
      <c r="H1841" s="1635"/>
      <c r="I1841" s="1635"/>
      <c r="J1841" s="1635"/>
      <c r="K1841" s="1635"/>
      <c r="L1841" s="1635"/>
      <c r="M1841" s="1775" t="str">
        <f>IF(OR(SUM(T1841:T1842)&gt;1,SUM(U1841:U1842)&gt;1),"Only one category can be met by other means!","")</f>
        <v/>
      </c>
      <c r="N1841" s="1620" t="s">
        <v>1982</v>
      </c>
      <c r="O1841" s="1621">
        <f>'Part IX Scoring Criteria'!O299</f>
        <v>0</v>
      </c>
      <c r="P1841" s="1621">
        <f>'Part IX Scoring Criteria'!P299</f>
        <v>0</v>
      </c>
      <c r="U1841" s="1626">
        <f>IF(L1841="Yes",1,0)</f>
        <v>0</v>
      </c>
    </row>
    <row r="1842" spans="1:26">
      <c r="A1842" s="1495" t="s">
        <v>1984</v>
      </c>
      <c r="B1842" s="1774" t="s">
        <v>3789</v>
      </c>
      <c r="D1842" s="1635"/>
      <c r="L1842" s="1635"/>
      <c r="M1842" s="1775"/>
      <c r="N1842" s="1620" t="s">
        <v>1984</v>
      </c>
      <c r="O1842" s="1621">
        <f>'Part IX Scoring Criteria'!O300</f>
        <v>0</v>
      </c>
      <c r="P1842" s="1621">
        <f>'Part IX Scoring Criteria'!P300</f>
        <v>0</v>
      </c>
      <c r="U1842" s="1626">
        <f>IF(L1842="Yes",1,0)</f>
        <v>0</v>
      </c>
    </row>
    <row r="1843" spans="1:26" ht="14.4">
      <c r="A1843" s="1314"/>
      <c r="B1843" s="1677" t="s">
        <v>3752</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15.6">
      <c r="A1844" s="1583">
        <f>'Part IX Scoring Criteria'!A302</f>
        <v>0</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4.4">
      <c r="A1845" s="1314"/>
      <c r="B1845" s="1580" t="s">
        <v>1865</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6">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4.4">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4.4">
      <c r="A1848" s="1660" t="s">
        <v>364</v>
      </c>
      <c r="B1848" s="1661" t="s">
        <v>2458</v>
      </c>
      <c r="C1848" s="1659"/>
      <c r="D1848" s="1695"/>
      <c r="E1848" s="1695"/>
      <c r="F1848" s="1695"/>
      <c r="G1848" s="1659"/>
      <c r="H1848" s="1709" t="s">
        <v>3389</v>
      </c>
      <c r="I1848" s="1659"/>
      <c r="J1848" s="1577" t="s">
        <v>2792</v>
      </c>
      <c r="K1848" s="1317"/>
      <c r="L1848" s="1577" t="str">
        <f>'Part I-Project Information'!$H$105</f>
        <v>Rural</v>
      </c>
      <c r="M1848" s="1496">
        <v>4</v>
      </c>
      <c r="N1848" s="1313"/>
      <c r="O1848" s="1496">
        <f>'Part IX Scoring Criteria'!O306</f>
        <v>0</v>
      </c>
      <c r="P1848" s="1496">
        <f>'Part IX Scoring Criteria'!P306</f>
        <v>0</v>
      </c>
      <c r="Q1848" s="1496" t="s">
        <v>441</v>
      </c>
      <c r="R1848" s="1659"/>
      <c r="S1848" s="1659"/>
      <c r="T1848" s="1659"/>
      <c r="U1848" s="1659"/>
      <c r="V1848" s="1659"/>
      <c r="W1848" s="1659"/>
      <c r="X1848" s="1659"/>
      <c r="Y1848" s="1659"/>
      <c r="Z1848" s="1659"/>
    </row>
    <row r="1849" spans="1:26">
      <c r="A1849" s="1495" t="s">
        <v>1982</v>
      </c>
      <c r="B1849" s="1503" t="s">
        <v>4589</v>
      </c>
      <c r="D1849" s="1314"/>
      <c r="E1849" s="1314"/>
      <c r="F1849" s="1314"/>
      <c r="H1849" s="1577" t="s">
        <v>3681</v>
      </c>
      <c r="I1849" s="1051"/>
      <c r="J1849" s="1577" t="str">
        <f>'Part I-Project Information'!$O$34</f>
        <v>No</v>
      </c>
      <c r="K1849" s="1577"/>
      <c r="L1849" s="1725">
        <f>'Part I-Project Information'!$O$35</f>
        <v>0</v>
      </c>
      <c r="M1849" s="1313">
        <v>3</v>
      </c>
      <c r="N1849" s="1620" t="s">
        <v>1982</v>
      </c>
      <c r="O1849" s="1658">
        <f>'Part IX Scoring Criteria'!O307</f>
        <v>0</v>
      </c>
      <c r="P1849" s="1658">
        <f>'Part IX Scoring Criteria'!P307</f>
        <v>0</v>
      </c>
      <c r="Q1849" s="1698" t="str">
        <f>IF(OR($O1849=$M1849,$O1849=0,$O1849=""),"","*CHECK!*")</f>
        <v/>
      </c>
      <c r="R1849" s="1740" t="s">
        <v>2705</v>
      </c>
    </row>
    <row r="1850" spans="1:26" ht="12.75" customHeight="1">
      <c r="A1850" s="1051"/>
      <c r="B1850" s="1733" t="s">
        <v>1985</v>
      </c>
      <c r="C1850" s="1583" t="s">
        <v>4190</v>
      </c>
      <c r="D1850" s="1583"/>
      <c r="E1850" s="1583"/>
      <c r="F1850" s="1583"/>
      <c r="G1850" s="1583"/>
      <c r="H1850" s="1583"/>
      <c r="I1850" s="1583"/>
      <c r="J1850" s="1583"/>
      <c r="K1850" s="1583"/>
      <c r="L1850" s="1583"/>
      <c r="M1850" s="1583"/>
      <c r="N1850" s="1684" t="s">
        <v>1985</v>
      </c>
      <c r="O1850" s="1628">
        <f>'Part IX Scoring Criteria'!O308</f>
        <v>0</v>
      </c>
      <c r="P1850" s="1628">
        <f>'Part IX Scoring Criteria'!P308</f>
        <v>0</v>
      </c>
      <c r="Q1850" s="1583" t="s">
        <v>4590</v>
      </c>
      <c r="R1850" s="1583"/>
      <c r="S1850" s="1583"/>
      <c r="T1850" s="1583"/>
      <c r="U1850" s="1583"/>
      <c r="V1850" s="1583"/>
      <c r="W1850" s="1583"/>
      <c r="X1850" s="1583"/>
      <c r="Y1850" s="1583"/>
      <c r="Z1850" s="1583"/>
    </row>
    <row r="1851" spans="1:26">
      <c r="A1851" s="457"/>
      <c r="B1851" s="1729"/>
      <c r="C1851" s="457" t="s">
        <v>3803</v>
      </c>
      <c r="D1851" s="457"/>
      <c r="E1851" s="457"/>
      <c r="F1851" s="457"/>
      <c r="G1851" s="457"/>
      <c r="H1851" s="1524" t="s">
        <v>2582</v>
      </c>
      <c r="I1851" s="1723">
        <f>'Part IX Scoring Criteria'!J309</f>
        <v>0</v>
      </c>
      <c r="J1851" s="1524" t="s">
        <v>2300</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3858</v>
      </c>
      <c r="D1852" s="457"/>
      <c r="E1852" s="457"/>
      <c r="F1852" s="457"/>
      <c r="G1852" s="457"/>
      <c r="H1852" s="1524" t="s">
        <v>2582</v>
      </c>
      <c r="I1852" s="1723">
        <f>'Part IX Scoring Criteria'!J310</f>
        <v>0</v>
      </c>
      <c r="J1852" s="1524" t="s">
        <v>2300</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1987</v>
      </c>
      <c r="C1853" s="457" t="s">
        <v>962</v>
      </c>
      <c r="D1853" s="457"/>
      <c r="E1853" s="457"/>
      <c r="F1853" s="457"/>
      <c r="G1853" s="457"/>
      <c r="H1853" s="457"/>
      <c r="I1853" s="457"/>
      <c r="J1853" s="457"/>
      <c r="K1853" s="457"/>
      <c r="L1853" s="457"/>
      <c r="M1853" s="1313"/>
      <c r="N1853" s="1696" t="s">
        <v>1987</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2533</v>
      </c>
      <c r="C1854" s="457" t="s">
        <v>963</v>
      </c>
      <c r="D1854" s="457"/>
      <c r="E1854" s="457"/>
      <c r="F1854" s="457"/>
      <c r="G1854" s="457"/>
      <c r="H1854" s="457"/>
      <c r="I1854" s="457"/>
      <c r="J1854" s="457"/>
      <c r="K1854" s="457"/>
      <c r="L1854" s="457"/>
      <c r="M1854" s="1313"/>
      <c r="N1854" s="1696" t="s">
        <v>2533</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1223</v>
      </c>
      <c r="C1855" s="457" t="s">
        <v>964</v>
      </c>
      <c r="D1855" s="457"/>
      <c r="E1855" s="457"/>
      <c r="F1855" s="457"/>
      <c r="G1855" s="457"/>
      <c r="H1855" s="457"/>
      <c r="I1855" s="457"/>
      <c r="J1855" s="457"/>
      <c r="K1855" s="457"/>
      <c r="L1855" s="457"/>
      <c r="M1855" s="1313"/>
      <c r="N1855" s="1696" t="s">
        <v>1223</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1984</v>
      </c>
      <c r="B1856" s="1503" t="s">
        <v>4591</v>
      </c>
      <c r="C1856" s="1314"/>
      <c r="D1856" s="1314"/>
      <c r="E1856" s="1314"/>
      <c r="F1856" s="1314"/>
      <c r="G1856" s="1314"/>
      <c r="H1856" s="1709" t="s">
        <v>3390</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3605</v>
      </c>
      <c r="C1857" s="1314"/>
      <c r="D1857" s="1314"/>
      <c r="E1857" s="1314"/>
      <c r="F1857" s="1314"/>
      <c r="G1857" s="1314"/>
      <c r="H1857" s="1709"/>
      <c r="I1857" s="1314"/>
      <c r="J1857" s="1314"/>
      <c r="K1857" s="1314"/>
      <c r="L1857" s="1314"/>
      <c r="M1857" s="1313">
        <v>3</v>
      </c>
      <c r="N1857" s="1620" t="s">
        <v>1984</v>
      </c>
      <c r="O1857" s="1658">
        <f>'Part IX Scoring Criteria'!O316</f>
        <v>0</v>
      </c>
      <c r="P1857" s="1658">
        <f>'Part IX Scoring Criteria'!P316</f>
        <v>0</v>
      </c>
      <c r="Q1857" s="1314"/>
      <c r="R1857" s="1314"/>
      <c r="S1857" s="1314"/>
      <c r="T1857" s="1314"/>
      <c r="U1857" s="1314"/>
      <c r="V1857" s="1314"/>
      <c r="W1857" s="1314"/>
      <c r="X1857" s="1314"/>
      <c r="Y1857" s="1314"/>
      <c r="Z1857" s="1314"/>
    </row>
    <row r="1858" spans="1:26">
      <c r="A1858" s="1314"/>
      <c r="B1858" s="1729" t="s">
        <v>1985</v>
      </c>
      <c r="C1858" s="1577" t="s">
        <v>4592</v>
      </c>
      <c r="D1858" s="1314"/>
      <c r="E1858" s="1314"/>
      <c r="F1858" s="1314"/>
      <c r="G1858" s="1314"/>
      <c r="H1858" s="1314"/>
      <c r="I1858" s="1314"/>
      <c r="J1858" s="1314"/>
      <c r="K1858" s="1314"/>
      <c r="L1858" s="1625" t="str">
        <f>IF(OR($O1858=$M1858,$O1858=0,$O1858=""),"","* * Check Score! * *")</f>
        <v/>
      </c>
      <c r="M1858" s="1313">
        <v>3</v>
      </c>
      <c r="N1858" s="1776" t="s">
        <v>1985</v>
      </c>
      <c r="O1858" s="1658">
        <f>'Part IX Scoring Criteria'!O317</f>
        <v>0</v>
      </c>
      <c r="P1858" s="1658">
        <f>'Part IX Scoring Criteria'!P317</f>
        <v>0</v>
      </c>
      <c r="Q1858" s="1698" t="str">
        <f>IF(OR($O1858=$M1858,$O1858=0,$O1858=""),"","*CHECK!*")</f>
        <v/>
      </c>
      <c r="R1858" s="1740" t="s">
        <v>2705</v>
      </c>
      <c r="S1858" s="1314"/>
      <c r="T1858" s="1314"/>
      <c r="U1858" s="1314"/>
      <c r="V1858" s="1314"/>
      <c r="W1858" s="1314"/>
      <c r="X1858" s="1314"/>
      <c r="Y1858" s="1314"/>
      <c r="Z1858" s="1314"/>
    </row>
    <row r="1859" spans="1:26">
      <c r="A1859" s="1621" t="s">
        <v>1352</v>
      </c>
      <c r="B1859" s="1733" t="s">
        <v>1987</v>
      </c>
      <c r="C1859" s="1633" t="s">
        <v>4593</v>
      </c>
      <c r="D1859" s="1314"/>
      <c r="E1859" s="1314"/>
      <c r="F1859" s="1314"/>
      <c r="G1859" s="1524"/>
      <c r="H1859" s="1709"/>
      <c r="I1859" s="1524"/>
      <c r="L1859" s="1625" t="str">
        <f>IF(OR($O1859=$M1859,$O1859=0,$O1859=""),"","* * Check Score! * *")</f>
        <v/>
      </c>
      <c r="M1859" s="1320">
        <v>2</v>
      </c>
      <c r="N1859" s="1776" t="s">
        <v>1987</v>
      </c>
      <c r="O1859" s="1658">
        <f>'Part IX Scoring Criteria'!O318</f>
        <v>0</v>
      </c>
      <c r="P1859" s="1658">
        <f>'Part IX Scoring Criteria'!P318</f>
        <v>0</v>
      </c>
      <c r="Q1859" s="1698" t="str">
        <f>IF(OR($O1859=$M1859,$O1859=0,$O1859=""),"","*CHECK!*")</f>
        <v/>
      </c>
      <c r="R1859" s="1740" t="s">
        <v>2705</v>
      </c>
    </row>
    <row r="1860" spans="1:26">
      <c r="A1860" s="1495" t="s">
        <v>748</v>
      </c>
      <c r="B1860" s="1503" t="s">
        <v>4594</v>
      </c>
      <c r="C1860" s="1314"/>
      <c r="D1860" s="1314"/>
      <c r="E1860" s="1314"/>
      <c r="F1860" s="1314"/>
      <c r="G1860" s="1314"/>
      <c r="H1860" s="1709" t="s">
        <v>4047</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3608</v>
      </c>
      <c r="C1861" s="1314"/>
      <c r="D1861" s="1314"/>
      <c r="E1861" s="1314"/>
      <c r="F1861" s="1314"/>
      <c r="G1861" s="1314"/>
      <c r="H1861" s="1709"/>
      <c r="I1861" s="1314"/>
      <c r="J1861" s="1314"/>
      <c r="K1861" s="1314"/>
      <c r="L1861" s="1314"/>
      <c r="M1861" s="1313">
        <v>4</v>
      </c>
      <c r="N1861" s="1620" t="s">
        <v>748</v>
      </c>
      <c r="O1861" s="1658">
        <f>'Part IX Scoring Criteria'!O320</f>
        <v>0</v>
      </c>
      <c r="P1861" s="1658">
        <f>'Part IX Scoring Criteria'!P320</f>
        <v>0</v>
      </c>
      <c r="Q1861" s="1314"/>
      <c r="R1861" s="1314"/>
      <c r="S1861" s="1314"/>
      <c r="T1861" s="1314"/>
      <c r="U1861" s="1314"/>
      <c r="V1861" s="1314"/>
      <c r="W1861" s="1314"/>
      <c r="X1861" s="1314"/>
      <c r="Y1861" s="1314"/>
      <c r="Z1861" s="1314"/>
    </row>
    <row r="1862" spans="1:26">
      <c r="A1862" s="1314"/>
      <c r="B1862" s="1729" t="s">
        <v>1985</v>
      </c>
      <c r="C1862" s="1051" t="s">
        <v>3607</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1985</v>
      </c>
      <c r="O1862" s="1658">
        <f>'Part IX Scoring Criteria'!O321</f>
        <v>0</v>
      </c>
      <c r="P1862" s="1658">
        <f>'Part IX Scoring Criteria'!P321</f>
        <v>0</v>
      </c>
      <c r="Q1862" s="1698" t="str">
        <f>IF(OR($O1862=$M1862,$O1862=0,$O1862=""),"","*CHECK!*")</f>
        <v/>
      </c>
      <c r="R1862" s="1740" t="s">
        <v>2705</v>
      </c>
      <c r="S1862" s="1314"/>
      <c r="T1862" s="1314"/>
      <c r="U1862" s="1314"/>
      <c r="V1862" s="1314"/>
      <c r="W1862" s="1314"/>
      <c r="X1862" s="1314"/>
      <c r="Y1862" s="1314"/>
      <c r="Z1862" s="1314"/>
    </row>
    <row r="1863" spans="1:26">
      <c r="A1863" s="1621" t="s">
        <v>1352</v>
      </c>
      <c r="B1863" s="1733" t="s">
        <v>1987</v>
      </c>
      <c r="C1863" s="1577" t="s">
        <v>4595</v>
      </c>
      <c r="D1863" s="1314"/>
      <c r="E1863" s="1314"/>
      <c r="F1863" s="1314"/>
      <c r="G1863" s="1524"/>
      <c r="H1863" s="1525"/>
      <c r="I1863" s="1524"/>
      <c r="K1863" s="1500"/>
      <c r="L1863" s="1500"/>
      <c r="M1863" s="1320">
        <v>3</v>
      </c>
      <c r="N1863" s="1776" t="s">
        <v>1987</v>
      </c>
      <c r="O1863" s="1658">
        <f>'Part IX Scoring Criteria'!O322</f>
        <v>0</v>
      </c>
      <c r="P1863" s="1658">
        <f>'Part IX Scoring Criteria'!P322</f>
        <v>0</v>
      </c>
      <c r="Q1863" s="1698" t="str">
        <f>IF(OR($O1863=$M1863,$O1863=0,$O1863=""),"","*CHECK!*")</f>
        <v/>
      </c>
      <c r="R1863" s="1740" t="s">
        <v>2705</v>
      </c>
    </row>
    <row r="1864" spans="1:26">
      <c r="A1864" s="1621" t="s">
        <v>1352</v>
      </c>
      <c r="B1864" s="1733" t="s">
        <v>2533</v>
      </c>
      <c r="C1864" s="1633" t="s">
        <v>4596</v>
      </c>
      <c r="D1864" s="1314"/>
      <c r="E1864" s="1314"/>
      <c r="F1864" s="1314"/>
      <c r="G1864" s="1524"/>
      <c r="H1864" s="1709"/>
      <c r="I1864" s="1524"/>
      <c r="K1864" s="1500"/>
      <c r="L1864" s="1500"/>
      <c r="M1864" s="1320">
        <v>2</v>
      </c>
      <c r="N1864" s="1776" t="s">
        <v>2533</v>
      </c>
      <c r="O1864" s="1658">
        <f>'Part IX Scoring Criteria'!O323</f>
        <v>0</v>
      </c>
      <c r="P1864" s="1658">
        <f>'Part IX Scoring Criteria'!P323</f>
        <v>0</v>
      </c>
      <c r="Q1864" s="1698" t="str">
        <f>IF(OR($O1864=$M1864,$O1864=0,$O1864=""),"","*CHECK!*")</f>
        <v/>
      </c>
      <c r="R1864" s="1740" t="s">
        <v>2705</v>
      </c>
    </row>
    <row r="1865" spans="1:26" ht="14.4">
      <c r="A1865" s="1314"/>
      <c r="B1865" s="1677" t="s">
        <v>3752</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15.6">
      <c r="A1866" s="1583">
        <f>'Part IX Scoring Criteria'!A325</f>
        <v>0</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4.4">
      <c r="A1867" s="1659"/>
      <c r="B1867" s="1580" t="s">
        <v>1865</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6">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7.399999999999999">
      <c r="N1869" s="1320"/>
      <c r="O1869" s="1322"/>
      <c r="P1869" s="1322"/>
      <c r="T1869" s="1726"/>
      <c r="U1869" s="1726"/>
    </row>
    <row r="1870" spans="1:26" ht="17.399999999999999">
      <c r="A1870" s="1777" t="s">
        <v>1725</v>
      </c>
      <c r="B1870" s="1661" t="s">
        <v>2825</v>
      </c>
      <c r="C1870" s="1659"/>
      <c r="D1870" s="1695"/>
      <c r="E1870" s="1695"/>
      <c r="F1870" s="1695"/>
      <c r="G1870" s="1659"/>
      <c r="H1870" s="1709" t="s">
        <v>400</v>
      </c>
      <c r="I1870" s="1659"/>
      <c r="J1870" s="1659"/>
      <c r="K1870" s="1317"/>
      <c r="L1870" s="1659"/>
      <c r="M1870" s="1496">
        <v>1</v>
      </c>
      <c r="N1870" s="1313"/>
      <c r="O1870" s="1496">
        <f>'Part IX Scoring Criteria'!O329</f>
        <v>0</v>
      </c>
      <c r="P1870" s="1496">
        <f>'Part IX Scoring Criteria'!P329</f>
        <v>0</v>
      </c>
      <c r="Q1870" s="1496" t="s">
        <v>441</v>
      </c>
      <c r="R1870" s="1659"/>
      <c r="S1870" s="1659"/>
      <c r="T1870" s="1726"/>
      <c r="U1870" s="1726"/>
      <c r="V1870" s="1659"/>
      <c r="W1870" s="1659"/>
      <c r="X1870" s="1659"/>
      <c r="Y1870" s="1659"/>
      <c r="Z1870" s="1659"/>
    </row>
    <row r="1871" spans="1:26" ht="17.399999999999999">
      <c r="A1871" s="1508" t="s">
        <v>1982</v>
      </c>
      <c r="B1871" s="1503" t="s">
        <v>2232</v>
      </c>
      <c r="C1871" s="1676"/>
      <c r="D1871" s="1709"/>
      <c r="E1871" s="1709"/>
      <c r="F1871" s="1655"/>
      <c r="H1871" s="1676"/>
      <c r="I1871" s="1676"/>
      <c r="J1871" s="1676"/>
      <c r="K1871" s="1676"/>
      <c r="L1871" s="1625" t="str">
        <f>IF(OR($O1871=$M1871,$O1871=0,$O1871=""),"","* * Check Score! * *")</f>
        <v/>
      </c>
      <c r="M1871" s="1313">
        <v>1</v>
      </c>
      <c r="N1871" s="1620" t="s">
        <v>1982</v>
      </c>
      <c r="O1871" s="1658">
        <f>'Part IX Scoring Criteria'!O330</f>
        <v>0</v>
      </c>
      <c r="P1871" s="1658">
        <f>'Part IX Scoring Criteria'!P330</f>
        <v>0</v>
      </c>
      <c r="Q1871" s="1698" t="str">
        <f>IF(OR($O1871=$M1871,$O1871=0,$O1871=""),"","*CHECK!*")</f>
        <v/>
      </c>
      <c r="R1871" s="1740" t="s">
        <v>2705</v>
      </c>
      <c r="S1871" s="1676"/>
      <c r="T1871" s="1726"/>
      <c r="U1871" s="1726"/>
      <c r="V1871" s="1676"/>
      <c r="W1871" s="1676"/>
      <c r="X1871" s="1676"/>
      <c r="Y1871" s="1676"/>
      <c r="Z1871" s="1676"/>
    </row>
    <row r="1872" spans="1:26" ht="17.399999999999999">
      <c r="A1872" s="1508"/>
      <c r="B1872" s="1524" t="s">
        <v>2690</v>
      </c>
      <c r="C1872" s="1676"/>
      <c r="D1872" s="1709"/>
      <c r="E1872" s="1709"/>
      <c r="F1872" s="1655"/>
      <c r="H1872" s="1676"/>
      <c r="I1872" s="1676"/>
      <c r="J1872" s="1676"/>
      <c r="K1872" s="1620"/>
      <c r="L1872" s="1676"/>
      <c r="M1872" s="1313"/>
      <c r="N1872" s="1620"/>
      <c r="O1872" s="1621">
        <f>'Part IX Scoring Criteria'!O333</f>
        <v>0</v>
      </c>
      <c r="P1872" s="1621">
        <f>'Part IX Scoring Criteria'!P333</f>
        <v>0</v>
      </c>
      <c r="Q1872" s="1676"/>
      <c r="R1872" s="1528"/>
      <c r="S1872" s="1676"/>
      <c r="T1872" s="1726"/>
      <c r="U1872" s="1726"/>
      <c r="V1872" s="1676"/>
      <c r="W1872" s="1676"/>
      <c r="X1872" s="1676"/>
      <c r="Y1872" s="1676"/>
      <c r="Z1872" s="1676"/>
    </row>
    <row r="1873" spans="1:26" ht="17.399999999999999">
      <c r="A1873" s="1508" t="s">
        <v>1984</v>
      </c>
      <c r="B1873" s="1503" t="s">
        <v>2233</v>
      </c>
      <c r="C1873" s="1659"/>
      <c r="D1873" s="457"/>
      <c r="E1873" s="1659"/>
      <c r="F1873" s="1659"/>
      <c r="G1873" s="1659"/>
      <c r="H1873" s="1659"/>
      <c r="I1873" s="1659"/>
      <c r="J1873" s="1659"/>
      <c r="K1873" s="457"/>
      <c r="L1873" s="1625" t="str">
        <f>IF(OR($O1873=$M1873,$O1873=0,$O1873=""),"","* * Check Score! * *")</f>
        <v/>
      </c>
      <c r="M1873" s="1313">
        <v>1</v>
      </c>
      <c r="N1873" s="1620" t="s">
        <v>1984</v>
      </c>
      <c r="O1873" s="1658">
        <f>'Part IX Scoring Criteria'!O334</f>
        <v>0</v>
      </c>
      <c r="P1873" s="1658">
        <f>'Part IX Scoring Criteria'!P334</f>
        <v>0</v>
      </c>
      <c r="Q1873" s="1698" t="str">
        <f>IF(OR($O1873=$M1873,$O1873=0,$O1873=""),"","*CHECK!*")</f>
        <v/>
      </c>
      <c r="R1873" s="1740" t="s">
        <v>2705</v>
      </c>
      <c r="S1873" s="1659"/>
      <c r="T1873" s="1726"/>
      <c r="U1873" s="1726"/>
      <c r="V1873" s="1659"/>
      <c r="W1873" s="1659"/>
      <c r="X1873" s="1659"/>
      <c r="Y1873" s="1659"/>
      <c r="Z1873" s="1659"/>
    </row>
    <row r="1874" spans="1:26" ht="17.399999999999999">
      <c r="A1874" s="1508"/>
      <c r="B1874" s="1524" t="s">
        <v>4048</v>
      </c>
      <c r="C1874" s="1659"/>
      <c r="D1874" s="457"/>
      <c r="E1874" s="1659"/>
      <c r="F1874" s="1659"/>
      <c r="G1874" s="1659"/>
      <c r="H1874" s="1578"/>
      <c r="I1874" s="1659"/>
      <c r="J1874" s="1659"/>
      <c r="K1874" s="457"/>
      <c r="L1874" s="1676"/>
      <c r="M1874" s="1313"/>
      <c r="N1874" s="1620"/>
      <c r="O1874" s="1621">
        <f>'Part IX Scoring Criteria'!O335</f>
        <v>0</v>
      </c>
      <c r="P1874" s="1621">
        <f>'Part IX Scoring Criteria'!P335</f>
        <v>0</v>
      </c>
      <c r="Q1874" s="1528"/>
      <c r="R1874" s="1625"/>
      <c r="S1874" s="1659"/>
      <c r="T1874" s="1726"/>
      <c r="U1874" s="1726"/>
      <c r="V1874" s="1659"/>
      <c r="W1874" s="1659"/>
      <c r="X1874" s="1659"/>
      <c r="Y1874" s="1659"/>
      <c r="Z1874" s="1659"/>
    </row>
    <row r="1875" spans="1:26" ht="14.4">
      <c r="A1875" s="1314"/>
      <c r="B1875" s="1580" t="s">
        <v>1865</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6">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4.4">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4.4">
      <c r="A1878" s="1777" t="s">
        <v>2780</v>
      </c>
      <c r="B1878" s="1661" t="s">
        <v>4049</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4.4">
      <c r="A1879" s="1508" t="s">
        <v>1984</v>
      </c>
      <c r="B1879" s="1503" t="s">
        <v>4050</v>
      </c>
      <c r="C1879" s="1543"/>
      <c r="D1879" s="1638"/>
      <c r="E1879" s="457"/>
      <c r="F1879" s="1659"/>
      <c r="G1879" s="1532">
        <f>'Part IX Scoring Criteria'!G343</f>
        <v>0</v>
      </c>
      <c r="H1879" s="1659"/>
      <c r="I1879" s="1659"/>
      <c r="J1879" s="1524" t="s">
        <v>2685</v>
      </c>
      <c r="K1879" s="1659"/>
      <c r="L1879" s="457"/>
      <c r="M1879" s="1659"/>
      <c r="N1879" s="1659"/>
      <c r="O1879" s="1316" t="str">
        <f>'Part I-Project Information'!$H$100</f>
        <v>No</v>
      </c>
      <c r="P1879" s="1496">
        <f>'Part IX Scoring Criteria'!P343</f>
        <v>0</v>
      </c>
      <c r="Q1879" s="1496"/>
      <c r="R1879" s="1659"/>
      <c r="S1879" s="1659"/>
      <c r="T1879" s="1659"/>
      <c r="U1879" s="1659"/>
      <c r="V1879" s="1659"/>
      <c r="W1879" s="1659"/>
      <c r="X1879" s="1659"/>
      <c r="Y1879" s="1659"/>
      <c r="Z1879" s="1659"/>
    </row>
    <row r="1880" spans="1:26" ht="14.4">
      <c r="A1880" s="1508"/>
      <c r="B1880" s="1730" t="s">
        <v>1985</v>
      </c>
      <c r="C1880" s="457" t="s">
        <v>3458</v>
      </c>
      <c r="D1880" s="1314"/>
      <c r="E1880" s="1676"/>
      <c r="F1880" s="1676"/>
      <c r="G1880" s="1676"/>
      <c r="H1880" s="1676"/>
      <c r="I1880" s="1676"/>
      <c r="J1880" s="1676"/>
      <c r="K1880" s="1676"/>
      <c r="L1880" s="1676"/>
      <c r="M1880" s="1676"/>
      <c r="N1880" s="1776" t="s">
        <v>1985</v>
      </c>
      <c r="O1880" s="1621">
        <f>'Part IX Scoring Criteria'!O344</f>
        <v>0</v>
      </c>
      <c r="P1880" s="1621">
        <f>'Part IX Scoring Criteria'!P344</f>
        <v>0</v>
      </c>
      <c r="Q1880" s="1676"/>
      <c r="R1880" s="1625"/>
      <c r="S1880" s="1676"/>
      <c r="T1880" s="1676"/>
      <c r="U1880" s="1676"/>
      <c r="V1880" s="1676"/>
      <c r="W1880" s="1676"/>
      <c r="X1880" s="1676"/>
      <c r="Y1880" s="1676"/>
      <c r="Z1880" s="1676"/>
    </row>
    <row r="1881" spans="1:26" ht="14.4">
      <c r="A1881" s="1508"/>
      <c r="B1881" s="1730" t="s">
        <v>1987</v>
      </c>
      <c r="C1881" s="457" t="s">
        <v>4067</v>
      </c>
      <c r="D1881" s="1314"/>
      <c r="E1881" s="1676"/>
      <c r="F1881" s="1676"/>
      <c r="G1881" s="1676"/>
      <c r="H1881" s="1676"/>
      <c r="I1881" s="1676"/>
      <c r="J1881" s="1676"/>
      <c r="K1881" s="1676"/>
      <c r="L1881" s="1676"/>
      <c r="M1881" s="1676"/>
      <c r="N1881" s="1776" t="s">
        <v>1987</v>
      </c>
      <c r="O1881" s="1621">
        <f>'Part IX Scoring Criteria'!O346</f>
        <v>0</v>
      </c>
      <c r="P1881" s="1621">
        <f>'Part IX Scoring Criteria'!P346</f>
        <v>0</v>
      </c>
      <c r="Q1881" s="1676"/>
      <c r="R1881" s="1625"/>
      <c r="S1881" s="1676"/>
      <c r="T1881" s="1676"/>
      <c r="U1881" s="1676"/>
      <c r="V1881" s="1676"/>
      <c r="W1881" s="1676"/>
      <c r="X1881" s="1676"/>
      <c r="Y1881" s="1676"/>
      <c r="Z1881" s="1676"/>
    </row>
    <row r="1882" spans="1:26" ht="14.4">
      <c r="A1882" s="1508"/>
      <c r="B1882" s="1730" t="s">
        <v>2533</v>
      </c>
      <c r="C1882" s="457" t="s">
        <v>4066</v>
      </c>
      <c r="D1882" s="1314"/>
      <c r="E1882" s="1676"/>
      <c r="F1882" s="1676"/>
      <c r="G1882" s="1676"/>
      <c r="H1882" s="1676"/>
      <c r="I1882" s="1676"/>
      <c r="J1882" s="1676"/>
      <c r="K1882" s="1676"/>
      <c r="L1882" s="1676"/>
      <c r="M1882" s="1676"/>
      <c r="N1882" s="1776" t="s">
        <v>2533</v>
      </c>
      <c r="O1882" s="1621">
        <f>'Part IX Scoring Criteria'!O347</f>
        <v>0</v>
      </c>
      <c r="P1882" s="1621">
        <f>'Part IX Scoring Criteria'!P347</f>
        <v>0</v>
      </c>
      <c r="Q1882" s="1676"/>
      <c r="R1882" s="1625"/>
      <c r="S1882" s="1676"/>
      <c r="T1882" s="1676"/>
      <c r="U1882" s="1676"/>
      <c r="V1882" s="1676"/>
      <c r="W1882" s="1676"/>
      <c r="X1882" s="1676"/>
      <c r="Y1882" s="1676"/>
      <c r="Z1882" s="1676"/>
    </row>
    <row r="1883" spans="1:26" ht="14.4">
      <c r="A1883" s="1508"/>
      <c r="B1883" s="1730" t="s">
        <v>1223</v>
      </c>
      <c r="C1883" s="457" t="s">
        <v>4068</v>
      </c>
      <c r="D1883" s="1314"/>
      <c r="E1883" s="1676"/>
      <c r="F1883" s="1676"/>
      <c r="G1883" s="1676"/>
      <c r="H1883" s="1676"/>
      <c r="I1883" s="1676"/>
      <c r="J1883" s="1676"/>
      <c r="K1883" s="1676"/>
      <c r="L1883" s="1676"/>
      <c r="M1883" s="1676"/>
      <c r="N1883" s="1776" t="s">
        <v>1223</v>
      </c>
      <c r="O1883" s="1621">
        <f>'Part IX Scoring Criteria'!O350</f>
        <v>0</v>
      </c>
      <c r="P1883" s="1621">
        <f>'Part IX Scoring Criteria'!P350</f>
        <v>0</v>
      </c>
      <c r="Q1883" s="1676"/>
      <c r="R1883" s="1625"/>
      <c r="S1883" s="1676"/>
      <c r="T1883" s="1676"/>
      <c r="U1883" s="1676"/>
      <c r="V1883" s="1676"/>
      <c r="W1883" s="1676"/>
      <c r="X1883" s="1676"/>
      <c r="Y1883" s="1676"/>
      <c r="Z1883" s="1676"/>
    </row>
    <row r="1884" spans="1:26" ht="14.4">
      <c r="A1884" s="1508" t="s">
        <v>1982</v>
      </c>
      <c r="B1884" s="1503" t="s">
        <v>4051</v>
      </c>
      <c r="C1884" s="1543"/>
      <c r="D1884" s="1638"/>
      <c r="E1884" s="457"/>
      <c r="F1884" s="1659"/>
      <c r="G1884" s="1532">
        <f>'Part IX Scoring Criteria'!G351</f>
        <v>0</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4.4">
      <c r="A1885" s="1777"/>
      <c r="B1885" s="1730" t="s">
        <v>1985</v>
      </c>
      <c r="C1885" s="457" t="s">
        <v>3458</v>
      </c>
      <c r="D1885" s="457"/>
      <c r="E1885" s="457"/>
      <c r="F1885" s="1676"/>
      <c r="G1885" s="1676"/>
      <c r="H1885" s="1676"/>
      <c r="I1885" s="1676"/>
      <c r="J1885" s="1676"/>
      <c r="K1885" s="1676"/>
      <c r="L1885" s="1676"/>
      <c r="M1885" s="1496"/>
      <c r="N1885" s="1776" t="s">
        <v>1985</v>
      </c>
      <c r="O1885" s="1621">
        <f>'Part IX Scoring Criteria'!O352</f>
        <v>0</v>
      </c>
      <c r="P1885" s="1621">
        <f>'Part IX Scoring Criteria'!P352</f>
        <v>0</v>
      </c>
      <c r="Q1885" s="1496"/>
      <c r="R1885" s="1676"/>
      <c r="S1885" s="1676"/>
      <c r="T1885" s="1676"/>
      <c r="U1885" s="1676"/>
      <c r="V1885" s="1676"/>
      <c r="W1885" s="1676"/>
      <c r="X1885" s="1676"/>
      <c r="Y1885" s="1676"/>
      <c r="Z1885" s="1676"/>
    </row>
    <row r="1886" spans="1:26" ht="14.4">
      <c r="A1886" s="1508"/>
      <c r="B1886" s="1730" t="s">
        <v>1987</v>
      </c>
      <c r="C1886" s="457" t="s">
        <v>4080</v>
      </c>
      <c r="D1886" s="1314"/>
      <c r="E1886" s="1676"/>
      <c r="F1886" s="1676"/>
      <c r="G1886" s="1676"/>
      <c r="H1886" s="1676"/>
      <c r="I1886" s="1676"/>
      <c r="J1886" s="1676"/>
      <c r="K1886" s="1676"/>
      <c r="L1886" s="1676"/>
      <c r="M1886" s="1676"/>
      <c r="N1886" s="1776" t="s">
        <v>1987</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4.4">
      <c r="A1887" s="1508"/>
      <c r="B1887" s="1730" t="s">
        <v>2533</v>
      </c>
      <c r="C1887" s="457" t="s">
        <v>4068</v>
      </c>
      <c r="D1887" s="1314"/>
      <c r="E1887" s="1676"/>
      <c r="F1887" s="1676"/>
      <c r="G1887" s="1676"/>
      <c r="H1887" s="1676"/>
      <c r="I1887" s="1676"/>
      <c r="J1887" s="1676"/>
      <c r="K1887" s="1676"/>
      <c r="L1887" s="1676"/>
      <c r="M1887" s="1676"/>
      <c r="N1887" s="1776" t="s">
        <v>2533</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4.4">
      <c r="A1888" s="1659"/>
      <c r="B1888" s="1580" t="s">
        <v>1865</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6">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4.4">
      <c r="A1891" s="1660" t="s">
        <v>2250</v>
      </c>
      <c r="B1891" s="1661" t="s">
        <v>4052</v>
      </c>
      <c r="C1891" s="1719"/>
      <c r="D1891" s="1719"/>
      <c r="E1891" s="1719"/>
      <c r="F1891" s="1719"/>
      <c r="G1891" s="1719"/>
      <c r="H1891" s="457" t="s">
        <v>3574</v>
      </c>
      <c r="I1891" s="1612" t="str">
        <f>'Part I-Project Information'!$H$105</f>
        <v>Rural</v>
      </c>
      <c r="J1891" s="1524"/>
      <c r="K1891" s="1719"/>
      <c r="L1891" s="1625" t="str">
        <f>IF(OR($O1891=$M1891,$O1891=0,$O1891=""),"","* * Check Score! * *")</f>
        <v/>
      </c>
      <c r="M1891" s="1496">
        <v>1</v>
      </c>
      <c r="N1891" s="1720"/>
      <c r="O1891" s="1496">
        <f>'Part IX Scoring Criteria'!O359</f>
        <v>1</v>
      </c>
      <c r="P1891" s="1496">
        <f>'Part IX Scoring Criteria'!P359</f>
        <v>0</v>
      </c>
      <c r="Q1891" s="1496" t="s">
        <v>441</v>
      </c>
      <c r="R1891" s="1740" t="s">
        <v>2705</v>
      </c>
      <c r="S1891" s="1719"/>
      <c r="T1891" s="1719"/>
      <c r="U1891" s="1719"/>
      <c r="V1891" s="1719"/>
      <c r="W1891" s="1719"/>
      <c r="X1891" s="1719"/>
      <c r="Y1891" s="1719"/>
      <c r="Z1891" s="1719"/>
    </row>
    <row r="1892" spans="1:26" ht="15" customHeight="1">
      <c r="A1892" s="1583" t="s">
        <v>4597</v>
      </c>
      <c r="B1892" s="1583"/>
      <c r="C1892" s="1583"/>
      <c r="D1892" s="1583"/>
      <c r="E1892" s="1583"/>
      <c r="F1892" s="1583"/>
      <c r="G1892" s="1583"/>
      <c r="H1892" s="1583"/>
      <c r="I1892" s="1604" t="s">
        <v>4141</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4.4">
      <c r="A1893" s="1583"/>
      <c r="B1893" s="1583"/>
      <c r="C1893" s="1583"/>
      <c r="D1893" s="1583"/>
      <c r="E1893" s="1583"/>
      <c r="F1893" s="1583"/>
      <c r="G1893" s="1583"/>
      <c r="H1893" s="1583"/>
      <c r="I1893" s="457">
        <f>'Part IX Scoring Criteria'!I361</f>
        <v>1</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4.4">
      <c r="A1894" s="1583"/>
      <c r="B1894" s="1583"/>
      <c r="C1894" s="1583"/>
      <c r="D1894" s="1583"/>
      <c r="E1894" s="1583"/>
      <c r="F1894" s="1583"/>
      <c r="G1894" s="1583"/>
      <c r="H1894" s="1583"/>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4.4">
      <c r="A1895" s="1314"/>
      <c r="B1895" s="1677" t="s">
        <v>3752</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71.400000000000006">
      <c r="A1896" s="1583" t="str">
        <f>'Part IX Scoring Criteria'!A365</f>
        <v>Woodstone Apartments II is the only project applied for by the project team.</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4.4">
      <c r="A1897" s="1314"/>
      <c r="B1897" s="1549" t="s">
        <v>1865</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6">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4.4">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4.4">
      <c r="A1900" s="1660" t="s">
        <v>4098</v>
      </c>
      <c r="B1900" s="1661" t="s">
        <v>1671</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6">
      <c r="A1901" s="1508" t="s">
        <v>1982</v>
      </c>
      <c r="B1901" s="1612" t="s">
        <v>3612</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0</v>
      </c>
      <c r="P1901" s="1658">
        <f>'Part IX Scoring Criteria'!P369</f>
        <v>0</v>
      </c>
      <c r="Q1901" s="1698" t="str">
        <f>IF(OR($O1901=$M1901,$O1901=0,$O1901=""),"","*CHECK!*")</f>
        <v/>
      </c>
      <c r="R1901" s="1740" t="s">
        <v>2705</v>
      </c>
      <c r="S1901" s="1659"/>
      <c r="T1901" s="1659"/>
      <c r="U1901" s="1659"/>
      <c r="V1901" s="1659"/>
      <c r="W1901" s="1659"/>
      <c r="X1901" s="1659"/>
      <c r="Y1901" s="1659"/>
      <c r="Z1901" s="1659"/>
    </row>
    <row r="1902" spans="1:26" ht="14.4">
      <c r="A1902" s="1659"/>
      <c r="B1902" s="1524" t="s">
        <v>4056</v>
      </c>
      <c r="C1902" s="1659"/>
      <c r="D1902" s="1676"/>
      <c r="E1902" s="1543"/>
      <c r="F1902" s="457"/>
      <c r="G1902" s="457"/>
      <c r="H1902" s="457" t="str">
        <f>'Part IX Scoring Criteria'!I370</f>
        <v>&lt; Select applicable GICH &gt;</v>
      </c>
      <c r="I1902" s="457">
        <f>'Part IX Scoring Criteria'!J370</f>
        <v>0</v>
      </c>
      <c r="J1902" s="457">
        <f>'Part IX Scoring Criteria'!K370</f>
        <v>0</v>
      </c>
      <c r="K1902" s="1659"/>
      <c r="L1902" s="1659"/>
      <c r="M1902" s="1659"/>
      <c r="N1902" s="1620" t="s">
        <v>1982</v>
      </c>
      <c r="O1902" s="1626" t="s">
        <v>2509</v>
      </c>
      <c r="P1902" s="1626" t="s">
        <v>2509</v>
      </c>
      <c r="Q1902" s="1659"/>
      <c r="R1902" s="1659"/>
      <c r="S1902" s="1659"/>
      <c r="T1902" s="1659"/>
      <c r="U1902" s="1659"/>
      <c r="V1902" s="1659"/>
      <c r="W1902" s="1659"/>
      <c r="X1902" s="1659"/>
      <c r="Y1902" s="1659"/>
      <c r="Z1902" s="1659"/>
    </row>
    <row r="1903" spans="1:26">
      <c r="A1903" s="457"/>
      <c r="B1903" s="1776" t="s">
        <v>1985</v>
      </c>
      <c r="C1903" s="1524" t="s">
        <v>4053</v>
      </c>
      <c r="D1903" s="457"/>
      <c r="E1903" s="457"/>
      <c r="F1903" s="457"/>
      <c r="G1903" s="457"/>
      <c r="H1903" s="457"/>
      <c r="I1903" s="457"/>
      <c r="J1903" s="457"/>
      <c r="K1903" s="457"/>
      <c r="L1903" s="457"/>
      <c r="M1903" s="457"/>
      <c r="N1903" s="1776" t="s">
        <v>1985</v>
      </c>
      <c r="O1903" s="1621">
        <f>'Part IX Scoring Criteria'!O374</f>
        <v>0</v>
      </c>
      <c r="P1903" s="1621">
        <f>'Part IX Scoring Criteria'!P374</f>
        <v>0</v>
      </c>
      <c r="Q1903" s="457"/>
      <c r="R1903" s="457"/>
      <c r="S1903" s="457"/>
      <c r="T1903" s="457"/>
      <c r="U1903" s="457"/>
      <c r="V1903" s="457"/>
      <c r="W1903" s="457"/>
      <c r="X1903" s="457"/>
      <c r="Y1903" s="457"/>
      <c r="Z1903" s="457"/>
    </row>
    <row r="1904" spans="1:26">
      <c r="A1904" s="457"/>
      <c r="B1904" s="1776" t="s">
        <v>1987</v>
      </c>
      <c r="C1904" s="1524" t="s">
        <v>4054</v>
      </c>
      <c r="D1904" s="457"/>
      <c r="E1904" s="457"/>
      <c r="F1904" s="457"/>
      <c r="G1904" s="457"/>
      <c r="H1904" s="457"/>
      <c r="I1904" s="457"/>
      <c r="J1904" s="457"/>
      <c r="K1904" s="457"/>
      <c r="L1904" s="457"/>
      <c r="M1904" s="457"/>
      <c r="N1904" s="1776" t="s">
        <v>1987</v>
      </c>
      <c r="O1904" s="1621">
        <f>'Part IX Scoring Criteria'!O375</f>
        <v>0</v>
      </c>
      <c r="P1904" s="1621">
        <f>'Part IX Scoring Criteria'!P375</f>
        <v>0</v>
      </c>
      <c r="Q1904" s="457"/>
      <c r="R1904" s="457"/>
      <c r="S1904" s="457"/>
      <c r="T1904" s="457"/>
      <c r="U1904" s="457"/>
      <c r="V1904" s="457"/>
      <c r="W1904" s="457"/>
      <c r="X1904" s="457"/>
      <c r="Y1904" s="457"/>
      <c r="Z1904" s="457"/>
    </row>
    <row r="1905" spans="1:26">
      <c r="A1905" s="457"/>
      <c r="B1905" s="1776" t="s">
        <v>2533</v>
      </c>
      <c r="C1905" s="1524" t="s">
        <v>4055</v>
      </c>
      <c r="D1905" s="457"/>
      <c r="E1905" s="457"/>
      <c r="F1905" s="457"/>
      <c r="G1905" s="457"/>
      <c r="H1905" s="457"/>
      <c r="I1905" s="457"/>
      <c r="J1905" s="457"/>
      <c r="K1905" s="457"/>
      <c r="L1905" s="457"/>
      <c r="M1905" s="457"/>
      <c r="N1905" s="1776" t="s">
        <v>2533</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3613</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c r="A1908" s="1508" t="s">
        <v>1984</v>
      </c>
      <c r="B1908" s="1503" t="s">
        <v>2795</v>
      </c>
      <c r="D1908" s="1314"/>
      <c r="H1908" s="1778" t="s">
        <v>3483</v>
      </c>
      <c r="I1908" s="1778"/>
      <c r="J1908" s="1778"/>
      <c r="K1908" s="1778"/>
      <c r="L1908" s="1778"/>
      <c r="M1908" s="1316">
        <v>1</v>
      </c>
      <c r="N1908" s="1620" t="s">
        <v>1984</v>
      </c>
      <c r="O1908" s="1658" t="e">
        <f>'Part IX Scoring Criteria'!#REF!</f>
        <v>#REF!</v>
      </c>
      <c r="P1908" s="1658" t="e">
        <f>'Part IX Scoring Criteria'!#REF!</f>
        <v>#REF!</v>
      </c>
      <c r="Q1908" s="1698" t="e">
        <f>IF(OR($O1908=$M1908,$O1908=0,$O1908=""),"","*CHECK!*")</f>
        <v>#REF!</v>
      </c>
      <c r="R1908" s="1740" t="s">
        <v>2705</v>
      </c>
    </row>
    <row r="1909" spans="1:26">
      <c r="A1909" s="1314"/>
      <c r="B1909" s="457" t="s">
        <v>2796</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3615</v>
      </c>
      <c r="C1910" s="457" t="str">
        <f>'Part I-Project Information'!$F$38</f>
        <v>Leesburg</v>
      </c>
      <c r="D1910" s="1314"/>
      <c r="E1910" s="457" t="s">
        <v>3482</v>
      </c>
      <c r="F1910" s="457" t="str">
        <f>'Part I-Project Information'!$J$39</f>
        <v>Lee</v>
      </c>
      <c r="G1910" s="1314"/>
      <c r="H1910" s="1524" t="s">
        <v>451</v>
      </c>
      <c r="I1910" s="1524" t="str">
        <f>'Part I-Project Information'!$N$39</f>
        <v>No</v>
      </c>
      <c r="J1910" s="1314"/>
      <c r="K1910" s="1524" t="s">
        <v>3614</v>
      </c>
      <c r="L1910" s="1754" t="str">
        <f>'Part I-Project Information'!$O$38</f>
        <v>203.00</v>
      </c>
      <c r="M1910" s="1754"/>
      <c r="N1910" s="1754"/>
      <c r="O1910" s="1754"/>
      <c r="P1910" s="1754"/>
      <c r="Q1910" s="1314"/>
      <c r="R1910" s="1314"/>
      <c r="S1910" s="1314"/>
      <c r="T1910" s="1314"/>
      <c r="U1910" s="1314"/>
      <c r="V1910" s="1314"/>
      <c r="W1910" s="1314"/>
      <c r="X1910" s="1314"/>
      <c r="Y1910" s="1314"/>
      <c r="Z1910" s="1314"/>
    </row>
    <row r="1911" spans="1:26" ht="14.4">
      <c r="A1911" s="1314"/>
      <c r="B1911" s="1677" t="s">
        <v>3752</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15.6">
      <c r="A1912" s="1583">
        <f>'Part IX Scoring Criteria'!A380</f>
        <v>0</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4.4">
      <c r="A1913" s="1314"/>
      <c r="B1913" s="1549" t="s">
        <v>1865</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6">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4.4">
      <c r="A1916" s="1660" t="s">
        <v>4099</v>
      </c>
      <c r="B1916" s="1661" t="s">
        <v>4059</v>
      </c>
      <c r="C1916" s="1659"/>
      <c r="D1916" s="1543"/>
      <c r="E1916" s="1543"/>
      <c r="F1916" s="457"/>
      <c r="G1916" s="457"/>
      <c r="H1916" s="1503" t="s">
        <v>2792</v>
      </c>
      <c r="I1916" s="1659"/>
      <c r="J1916" s="1503" t="str">
        <f>'Part I-Project Information'!$H$105</f>
        <v>Rural</v>
      </c>
      <c r="K1916" s="1659"/>
      <c r="L1916" s="1625" t="str">
        <f>IF(OR($O1916=$M1916,$O1916=$M1923,$O1916=$M1941,$O1916=0,$O1916=""),"","* * Check Score! * *")</f>
        <v/>
      </c>
      <c r="M1916" s="1658">
        <v>4</v>
      </c>
      <c r="N1916" s="1313"/>
      <c r="O1916" s="1658">
        <f>'Part IX Scoring Criteria'!O384</f>
        <v>0</v>
      </c>
      <c r="P1916" s="1658">
        <f>'Part IX Scoring Criteria'!P384</f>
        <v>0</v>
      </c>
      <c r="Q1916" s="1496" t="s">
        <v>441</v>
      </c>
      <c r="R1916" s="1659"/>
      <c r="S1916" s="1659"/>
      <c r="T1916" s="1659"/>
      <c r="U1916" s="1659"/>
      <c r="V1916" s="1659"/>
      <c r="W1916" s="1659"/>
      <c r="X1916" s="1659"/>
      <c r="Y1916" s="1659"/>
      <c r="Z1916" s="1659"/>
    </row>
    <row r="1917" spans="1:26" ht="14.4">
      <c r="A1917" s="1314"/>
      <c r="B1917" s="1612" t="s">
        <v>2881</v>
      </c>
      <c r="C1917" s="1659"/>
      <c r="D1917" s="1659"/>
      <c r="E1917" s="1543"/>
      <c r="F1917" s="457"/>
      <c r="G1917" s="457"/>
      <c r="H1917" s="457"/>
      <c r="I1917" s="457"/>
      <c r="J1917" s="1659"/>
      <c r="K1917" s="1578"/>
      <c r="L1917" s="1779"/>
      <c r="M1917" s="1659"/>
      <c r="N1917" s="1659"/>
      <c r="O1917" s="1578" t="s">
        <v>2509</v>
      </c>
      <c r="P1917" s="1578" t="s">
        <v>2509</v>
      </c>
      <c r="Q1917" s="1659"/>
      <c r="R1917" s="1659"/>
      <c r="S1917" s="1659"/>
      <c r="T1917" s="1659"/>
      <c r="U1917" s="1659"/>
      <c r="V1917" s="1659"/>
      <c r="W1917" s="1659"/>
      <c r="X1917" s="1659"/>
      <c r="Y1917" s="1659"/>
      <c r="Z1917" s="1659"/>
    </row>
    <row r="1918" spans="1:26" ht="14.4">
      <c r="A1918" s="1051"/>
      <c r="B1918" s="1620" t="s">
        <v>2434</v>
      </c>
      <c r="C1918" s="1051" t="s">
        <v>2826</v>
      </c>
      <c r="D1918" s="1051"/>
      <c r="E1918" s="1543"/>
      <c r="F1918" s="457"/>
      <c r="G1918" s="457"/>
      <c r="H1918" s="457"/>
      <c r="I1918" s="457"/>
      <c r="J1918" s="1659"/>
      <c r="K1918" s="1578"/>
      <c r="L1918" s="1648" t="str">
        <f>IF(OR(O1918="No",O1918="",O1919="No",O1919="",O1920="No",O1920="",O1921="No",O1921=""),"Unmet criterion results in no points!","")</f>
        <v/>
      </c>
      <c r="M1918" s="1648"/>
      <c r="N1918" s="1620" t="s">
        <v>2434</v>
      </c>
      <c r="O1918" s="1621">
        <f>'Part IX Scoring Criteria'!O386</f>
        <v>0</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2435</v>
      </c>
      <c r="C1919" s="1051" t="s">
        <v>3806</v>
      </c>
      <c r="D1919" s="1051"/>
      <c r="E1919" s="1051"/>
      <c r="F1919" s="1051"/>
      <c r="G1919" s="1051"/>
      <c r="H1919" s="1051"/>
      <c r="I1919" s="1051"/>
      <c r="J1919" s="1051"/>
      <c r="K1919" s="1051"/>
      <c r="L1919" s="1648"/>
      <c r="M1919" s="1648"/>
      <c r="N1919" s="1627" t="s">
        <v>2435</v>
      </c>
      <c r="O1919" s="1621">
        <f>'Part IX Scoring Criteria'!O387</f>
        <v>0</v>
      </c>
      <c r="P1919" s="1621">
        <f>'Part IX Scoring Criteria'!P387</f>
        <v>0</v>
      </c>
      <c r="Q1919" s="1051"/>
      <c r="R1919" s="1648"/>
      <c r="S1919" s="1648"/>
      <c r="T1919" s="1051"/>
      <c r="U1919" s="1051"/>
      <c r="V1919" s="1051"/>
      <c r="W1919" s="1051"/>
      <c r="X1919" s="1051"/>
      <c r="Y1919" s="1051"/>
      <c r="Z1919" s="1051"/>
    </row>
    <row r="1920" spans="1:26">
      <c r="A1920" s="1051"/>
      <c r="B1920" s="1620" t="s">
        <v>2436</v>
      </c>
      <c r="C1920" s="1051" t="s">
        <v>3805</v>
      </c>
      <c r="D1920" s="1051"/>
      <c r="E1920" s="1051"/>
      <c r="F1920" s="1051"/>
      <c r="G1920" s="1051"/>
      <c r="H1920" s="1051"/>
      <c r="I1920" s="1051"/>
      <c r="J1920" s="1051"/>
      <c r="K1920" s="1051"/>
      <c r="L1920" s="1648"/>
      <c r="M1920" s="1648"/>
      <c r="N1920" s="1620" t="s">
        <v>2436</v>
      </c>
      <c r="O1920" s="1621">
        <f>'Part IX Scoring Criteria'!O388</f>
        <v>0</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2437</v>
      </c>
      <c r="C1921" s="1550" t="s">
        <v>4060</v>
      </c>
      <c r="D1921" s="1550"/>
      <c r="E1921" s="1550"/>
      <c r="F1921" s="1550"/>
      <c r="G1921" s="1550"/>
      <c r="H1921" s="1550"/>
      <c r="I1921" s="1550"/>
      <c r="J1921" s="1550"/>
      <c r="K1921" s="1550"/>
      <c r="L1921" s="1550"/>
      <c r="M1921" s="1550"/>
      <c r="N1921" s="1627" t="s">
        <v>2437</v>
      </c>
      <c r="O1921" s="1628">
        <f>'Part IX Scoring Criteria'!O389</f>
        <v>0</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1982</v>
      </c>
      <c r="B1923" s="1503" t="s">
        <v>4061</v>
      </c>
      <c r="L1923" s="1625" t="str">
        <f>IF(OR($O1923=$M1923,$O1923=0,$O1923=""),"","* * Check Score! * *")</f>
        <v/>
      </c>
      <c r="M1923" s="1316">
        <v>3</v>
      </c>
      <c r="N1923" s="1620" t="s">
        <v>1982</v>
      </c>
      <c r="O1923" s="1658">
        <f>'Part IX Scoring Criteria'!O391</f>
        <v>0</v>
      </c>
      <c r="P1923" s="1658">
        <f>'Part IX Scoring Criteria'!P391</f>
        <v>0</v>
      </c>
      <c r="Q1923" s="1698" t="str">
        <f>IF(OR($O1923=$M1923,$O1923=0,$O1923=""),"","*CHECK!*")</f>
        <v/>
      </c>
      <c r="R1923" s="1740" t="s">
        <v>2705</v>
      </c>
    </row>
    <row r="1924" spans="1:26" ht="12.75" customHeight="1">
      <c r="A1924" s="1780"/>
      <c r="B1924" s="1712" t="s">
        <v>1985</v>
      </c>
      <c r="C1924" s="1583" t="s">
        <v>4062</v>
      </c>
      <c r="D1924" s="1583"/>
      <c r="E1924" s="1583"/>
      <c r="F1924" s="1583"/>
      <c r="G1924" s="1583"/>
      <c r="H1924" s="1583"/>
      <c r="I1924" s="1583"/>
      <c r="J1924" s="1722" t="s">
        <v>1989</v>
      </c>
      <c r="K1924" s="1722"/>
      <c r="M1924" s="1722" t="s">
        <v>1989</v>
      </c>
      <c r="N1924" s="1722"/>
      <c r="O1924" s="1722"/>
      <c r="P1924" s="1722"/>
    </row>
    <row r="1925" spans="1:26" ht="14.4">
      <c r="A1925" s="1624"/>
      <c r="B1925" s="1620" t="s">
        <v>2434</v>
      </c>
      <c r="C1925" s="457" t="s">
        <v>1481</v>
      </c>
      <c r="D1925" s="1659"/>
      <c r="E1925" s="1659"/>
      <c r="F1925" s="1659"/>
      <c r="G1925" s="1659"/>
      <c r="H1925" s="1659"/>
      <c r="I1925" s="1620" t="s">
        <v>2434</v>
      </c>
      <c r="J1925" s="1545">
        <f>'Part IX Scoring Criteria'!J394</f>
        <v>0</v>
      </c>
      <c r="K1925" s="1545">
        <f>'Part IX Scoring Criteria'!K394</f>
        <v>0</v>
      </c>
      <c r="L1925" s="1620" t="s">
        <v>2434</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2435</v>
      </c>
      <c r="C1926" s="457" t="s">
        <v>3619</v>
      </c>
      <c r="I1926" s="1627" t="s">
        <v>2435</v>
      </c>
      <c r="J1926" s="1545">
        <f>'Part IX Scoring Criteria'!J395</f>
        <v>0</v>
      </c>
      <c r="K1926" s="1545">
        <f>'Part IX Scoring Criteria'!K395</f>
        <v>0</v>
      </c>
      <c r="L1926" s="1627" t="s">
        <v>2435</v>
      </c>
      <c r="M1926" s="1545">
        <f>'Part IX Scoring Criteria'!M395</f>
        <v>0</v>
      </c>
      <c r="N1926" s="1545">
        <f>'Part IX Scoring Criteria'!N395</f>
        <v>0</v>
      </c>
      <c r="O1926" s="1545">
        <f>'Part IX Scoring Criteria'!O395</f>
        <v>0</v>
      </c>
      <c r="P1926" s="1545">
        <f>'Part IX Scoring Criteria'!P395</f>
        <v>0</v>
      </c>
      <c r="R1926" s="1625"/>
    </row>
    <row r="1927" spans="1:26">
      <c r="B1927" s="1620" t="s">
        <v>2436</v>
      </c>
      <c r="C1927" s="457" t="s">
        <v>2625</v>
      </c>
      <c r="I1927" s="1620" t="s">
        <v>2436</v>
      </c>
      <c r="J1927" s="1545">
        <f>'Part IX Scoring Criteria'!J396</f>
        <v>0</v>
      </c>
      <c r="K1927" s="1545">
        <f>'Part IX Scoring Criteria'!K396</f>
        <v>0</v>
      </c>
      <c r="L1927" s="1620" t="s">
        <v>2436</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2437</v>
      </c>
      <c r="C1928" s="457" t="s">
        <v>3459</v>
      </c>
      <c r="I1928" s="1620" t="s">
        <v>2437</v>
      </c>
      <c r="J1928" s="1545">
        <f>'Part IX Scoring Criteria'!J397</f>
        <v>0</v>
      </c>
      <c r="K1928" s="1545">
        <f>'Part IX Scoring Criteria'!K397</f>
        <v>0</v>
      </c>
      <c r="L1928" s="1620" t="s">
        <v>2437</v>
      </c>
      <c r="M1928" s="1545">
        <f>'Part IX Scoring Criteria'!M397</f>
        <v>0</v>
      </c>
      <c r="N1928" s="1545">
        <f>'Part IX Scoring Criteria'!N397</f>
        <v>0</v>
      </c>
      <c r="O1928" s="1545">
        <f>'Part IX Scoring Criteria'!O397</f>
        <v>0</v>
      </c>
      <c r="P1928" s="1545">
        <f>'Part IX Scoring Criteria'!P397</f>
        <v>0</v>
      </c>
      <c r="R1928" s="1625"/>
    </row>
    <row r="1929" spans="1:26" ht="14.4">
      <c r="A1929" s="1624"/>
      <c r="B1929" s="1627" t="s">
        <v>2438</v>
      </c>
      <c r="C1929" s="457" t="s">
        <v>2729</v>
      </c>
      <c r="D1929" s="1659"/>
      <c r="E1929" s="1659"/>
      <c r="F1929" s="1659"/>
      <c r="G1929" s="1659"/>
      <c r="H1929" s="1659"/>
      <c r="I1929" s="1627" t="s">
        <v>2438</v>
      </c>
      <c r="J1929" s="1545">
        <f>'Part IX Scoring Criteria'!J398</f>
        <v>0</v>
      </c>
      <c r="K1929" s="1545">
        <f>'Part IX Scoring Criteria'!K398</f>
        <v>0</v>
      </c>
      <c r="L1929" s="1627" t="s">
        <v>2438</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2454</v>
      </c>
      <c r="C1930" s="457" t="s">
        <v>1480</v>
      </c>
      <c r="I1930" s="1620" t="s">
        <v>2454</v>
      </c>
      <c r="J1930" s="1545">
        <f>'Part IX Scoring Criteria'!J399</f>
        <v>0</v>
      </c>
      <c r="K1930" s="1545">
        <f>'Part IX Scoring Criteria'!K399</f>
        <v>0</v>
      </c>
      <c r="L1930" s="1620" t="s">
        <v>2454</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2455</v>
      </c>
      <c r="C1931" s="457" t="s">
        <v>3617</v>
      </c>
      <c r="I1931" s="1620" t="s">
        <v>2455</v>
      </c>
      <c r="J1931" s="1545">
        <f>'Part IX Scoring Criteria'!J400</f>
        <v>0</v>
      </c>
      <c r="K1931" s="1545">
        <f>'Part IX Scoring Criteria'!K400</f>
        <v>0</v>
      </c>
      <c r="L1931" s="1620" t="s">
        <v>2455</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2456</v>
      </c>
      <c r="C1932" s="457" t="s">
        <v>4598</v>
      </c>
      <c r="I1932" s="1620" t="s">
        <v>2456</v>
      </c>
      <c r="J1932" s="1545">
        <f>'Part IX Scoring Criteria'!J401</f>
        <v>0</v>
      </c>
      <c r="K1932" s="1545">
        <f>'Part IX Scoring Criteria'!K401</f>
        <v>0</v>
      </c>
      <c r="L1932" s="1620" t="s">
        <v>2456</v>
      </c>
      <c r="M1932" s="1545">
        <f>'Part IX Scoring Criteria'!M401</f>
        <v>0</v>
      </c>
      <c r="N1932" s="1545">
        <f>'Part IX Scoring Criteria'!N401</f>
        <v>0</v>
      </c>
      <c r="O1932" s="1545">
        <f>'Part IX Scoring Criteria'!O401</f>
        <v>0</v>
      </c>
      <c r="P1932" s="1545">
        <f>'Part IX Scoring Criteria'!P401</f>
        <v>0</v>
      </c>
      <c r="R1932" s="1625"/>
    </row>
    <row r="1933" spans="1:26">
      <c r="B1933" s="1620" t="s">
        <v>2457</v>
      </c>
      <c r="C1933" s="457" t="s">
        <v>3618</v>
      </c>
      <c r="I1933" s="1620" t="s">
        <v>2457</v>
      </c>
      <c r="J1933" s="1545">
        <f>'Part IX Scoring Criteria'!J402</f>
        <v>0</v>
      </c>
      <c r="K1933" s="1545">
        <f>'Part IX Scoring Criteria'!K402</f>
        <v>0</v>
      </c>
      <c r="L1933" s="1620" t="s">
        <v>2457</v>
      </c>
      <c r="M1933" s="1545">
        <f>'Part IX Scoring Criteria'!M402</f>
        <v>0</v>
      </c>
      <c r="N1933" s="1545">
        <f>'Part IX Scoring Criteria'!N402</f>
        <v>0</v>
      </c>
      <c r="O1933" s="1545">
        <f>'Part IX Scoring Criteria'!O402</f>
        <v>0</v>
      </c>
      <c r="P1933" s="1545">
        <f>'Part IX Scoring Criteria'!P402</f>
        <v>0</v>
      </c>
      <c r="R1933" s="1625"/>
    </row>
    <row r="1934" spans="1:26">
      <c r="B1934" s="1620" t="s">
        <v>3620</v>
      </c>
      <c r="C1934" s="457" t="s">
        <v>4135</v>
      </c>
      <c r="I1934" s="1620" t="s">
        <v>3620</v>
      </c>
      <c r="J1934" s="1545">
        <f>'Part IX Scoring Criteria'!J403</f>
        <v>0</v>
      </c>
      <c r="K1934" s="1545">
        <f>'Part IX Scoring Criteria'!K403</f>
        <v>0</v>
      </c>
      <c r="L1934" s="1620" t="s">
        <v>3620</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4599</v>
      </c>
      <c r="H1935" s="1612" t="s">
        <v>2627</v>
      </c>
      <c r="J1935" s="1545">
        <f>SUM(J1925:K1934)</f>
        <v>0</v>
      </c>
      <c r="K1935" s="1545"/>
      <c r="M1935" s="1545">
        <f>SUM($M1925:$M1934)</f>
        <v>0</v>
      </c>
      <c r="N1935" s="1545"/>
      <c r="O1935" s="1545"/>
      <c r="P1935" s="1545"/>
      <c r="R1935" s="1625"/>
    </row>
    <row r="1936" spans="1:26" ht="14.4">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ht="13.8">
      <c r="B1937" s="1780" t="s">
        <v>1987</v>
      </c>
      <c r="C1937" s="1531" t="s">
        <v>2626</v>
      </c>
      <c r="E1937" s="1524" t="s">
        <v>2628</v>
      </c>
      <c r="H1937" s="1607">
        <f>'Part IX Scoring Criteria'!I407</f>
        <v>0</v>
      </c>
      <c r="I1937" s="1316"/>
      <c r="J1937" s="1545">
        <f>'Part IV-A-Uses of Funds'!$G$132</f>
        <v>5168536</v>
      </c>
      <c r="K1937" s="1545"/>
      <c r="M1937" s="1311"/>
      <c r="N1937" s="1311"/>
      <c r="P1937" s="1311"/>
    </row>
    <row r="1938" spans="1:26" ht="12.75" customHeight="1">
      <c r="A1938" s="1570" t="s">
        <v>4600</v>
      </c>
      <c r="B1938" s="1570"/>
      <c r="C1938" s="1570"/>
      <c r="D1938" s="1570"/>
      <c r="E1938" s="1647" t="s">
        <v>2629</v>
      </c>
      <c r="H1938" s="1859">
        <f>'Part IX Scoring Criteria'!I408</f>
        <v>0</v>
      </c>
      <c r="I1938" s="1316"/>
      <c r="J1938" s="1783">
        <f>IF($J1937=0,0,$J1935/$J1937)</f>
        <v>0</v>
      </c>
      <c r="K1938" s="1783"/>
      <c r="M1938" s="1783">
        <f>IF($J1937=0,0,$M1935/$J1937)</f>
        <v>0</v>
      </c>
      <c r="N1938" s="1783"/>
      <c r="O1938" s="1783"/>
      <c r="P1938" s="1783"/>
    </row>
    <row r="1939" spans="1:26" ht="14.4">
      <c r="A1939" s="1570"/>
      <c r="B1939" s="1570"/>
      <c r="C1939" s="1570"/>
      <c r="D1939" s="1570"/>
      <c r="E1939" s="1638" t="s">
        <v>4240</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0</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7.399999999999999">
      <c r="A1941" s="1508" t="s">
        <v>1984</v>
      </c>
      <c r="B1941" s="1681" t="s">
        <v>3621</v>
      </c>
      <c r="C1941" s="1676"/>
      <c r="D1941" s="457"/>
      <c r="E1941" s="457"/>
      <c r="F1941" s="1496"/>
      <c r="G1941" s="1676"/>
      <c r="H1941" s="457"/>
      <c r="I1941" s="1496"/>
      <c r="J1941" s="1524"/>
      <c r="K1941" s="1524"/>
      <c r="L1941" s="1625" t="str">
        <f>IF(OR($O1941=$M1941,$O1941=0,$O1941=""),"","* * Check Score! * *")</f>
        <v/>
      </c>
      <c r="M1941" s="1316">
        <v>1</v>
      </c>
      <c r="N1941" s="1620" t="s">
        <v>1984</v>
      </c>
      <c r="O1941" s="1658">
        <f>'Part IX Scoring Criteria'!O411</f>
        <v>0</v>
      </c>
      <c r="P1941" s="1658">
        <f>'Part IX Scoring Criteria'!P411</f>
        <v>0</v>
      </c>
      <c r="Q1941" s="1496" t="s">
        <v>441</v>
      </c>
      <c r="R1941" s="1740" t="s">
        <v>2705</v>
      </c>
      <c r="S1941" s="1676"/>
      <c r="T1941" s="1676"/>
      <c r="U1941" s="1676"/>
      <c r="V1941" s="1726"/>
      <c r="W1941" s="1726"/>
      <c r="X1941" s="1676"/>
      <c r="Y1941" s="1676"/>
      <c r="Z1941" s="1676"/>
    </row>
    <row r="1942" spans="1:26" ht="18.75" customHeight="1">
      <c r="A1942" s="1508"/>
      <c r="B1942" s="1627" t="s">
        <v>2434</v>
      </c>
      <c r="C1942" s="1583" t="s">
        <v>4063</v>
      </c>
      <c r="D1942" s="1583"/>
      <c r="E1942" s="1583"/>
      <c r="F1942" s="1583"/>
      <c r="G1942" s="1583"/>
      <c r="H1942" s="1583"/>
      <c r="I1942" s="1583"/>
      <c r="J1942" s="1583"/>
      <c r="K1942" s="1583"/>
      <c r="L1942" s="1583"/>
      <c r="M1942" s="1583"/>
      <c r="N1942" s="1627" t="s">
        <v>2434</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7.399999999999999">
      <c r="A1943" s="1508"/>
      <c r="B1943" s="1620" t="s">
        <v>2435</v>
      </c>
      <c r="C1943" s="457" t="s">
        <v>3798</v>
      </c>
      <c r="D1943" s="457"/>
      <c r="E1943" s="457"/>
      <c r="F1943" s="457"/>
      <c r="G1943" s="457"/>
      <c r="H1943" s="457"/>
      <c r="I1943" s="457"/>
      <c r="J1943" s="457"/>
      <c r="K1943" s="457"/>
      <c r="L1943" s="1659"/>
      <c r="M1943" s="457"/>
      <c r="N1943" s="1627" t="s">
        <v>2435</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2436</v>
      </c>
      <c r="C1944" s="1051" t="s">
        <v>4064</v>
      </c>
      <c r="N1944" s="1620" t="s">
        <v>2436</v>
      </c>
      <c r="O1944" s="1621">
        <f>'Part IX Scoring Criteria'!O414</f>
        <v>0</v>
      </c>
      <c r="P1944" s="1621">
        <f>'Part IX Scoring Criteria'!P414</f>
        <v>0</v>
      </c>
    </row>
    <row r="1945" spans="1:26">
      <c r="B1945" s="1677" t="s">
        <v>3752</v>
      </c>
      <c r="N1945" s="1320"/>
      <c r="O1945" s="1322"/>
      <c r="P1945" s="1322"/>
    </row>
    <row r="1946" spans="1:26" ht="15.6">
      <c r="A1946" s="1583">
        <f>'Part IX Scoring Criteria'!A416</f>
        <v>0</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4.4">
      <c r="A1947" s="1314"/>
      <c r="B1947" s="1354" t="s">
        <v>1865</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6">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4.4">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4.4">
      <c r="A1950" s="1777" t="s">
        <v>4097</v>
      </c>
      <c r="B1950" s="1659"/>
      <c r="C1950" s="1661" t="s">
        <v>2718</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4.4">
      <c r="A1951" s="1508" t="s">
        <v>1982</v>
      </c>
      <c r="B1951" s="1503" t="s">
        <v>3647</v>
      </c>
      <c r="C1951" s="1659"/>
      <c r="D1951" s="1314"/>
      <c r="E1951" s="1314"/>
      <c r="F1951" s="1314"/>
      <c r="G1951" s="1659"/>
      <c r="H1951" s="1659"/>
      <c r="I1951" s="1659"/>
      <c r="J1951" s="1524" t="s">
        <v>3809</v>
      </c>
      <c r="K1951" s="1659"/>
      <c r="L1951" s="1557">
        <f>'Part VI-Revenues &amp; Expenses'!$O$67*0.1</f>
        <v>4</v>
      </c>
      <c r="M1951" s="1313">
        <v>2</v>
      </c>
      <c r="N1951" s="1620" t="s">
        <v>1982</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1985</v>
      </c>
      <c r="C1952" s="1583" t="s">
        <v>3808</v>
      </c>
      <c r="D1952" s="1583"/>
      <c r="E1952" s="1583"/>
      <c r="F1952" s="1583"/>
      <c r="G1952" s="1583"/>
      <c r="H1952" s="1583"/>
      <c r="I1952" s="1583"/>
      <c r="J1952" s="1524" t="s">
        <v>3811</v>
      </c>
      <c r="K1952" s="1659"/>
      <c r="L1952" s="1557">
        <f>'Part VI-Revenues &amp; Expenses'!$O$63</f>
        <v>39</v>
      </c>
      <c r="M1952" s="1513" t="str">
        <f>IF(L1954&lt;L1953,"Check 1BR LI count!","")</f>
        <v/>
      </c>
      <c r="N1952" s="1684" t="s">
        <v>1985</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4.4">
      <c r="A1953" s="1619"/>
      <c r="B1953" s="1712"/>
      <c r="C1953" s="1583"/>
      <c r="D1953" s="1583"/>
      <c r="E1953" s="1583"/>
      <c r="F1953" s="1583"/>
      <c r="G1953" s="1583"/>
      <c r="H1953" s="1583"/>
      <c r="I1953" s="1583"/>
      <c r="J1953" s="1524" t="s">
        <v>3812</v>
      </c>
      <c r="K1953" s="1711"/>
      <c r="L1953" s="1557">
        <f>L1952*0.1</f>
        <v>3.9000000000000004</v>
      </c>
      <c r="M1953" s="1513"/>
      <c r="N1953" s="1684"/>
      <c r="O1953" s="1684"/>
      <c r="P1953" s="1684"/>
      <c r="Q1953" s="1716"/>
      <c r="R1953" s="1717"/>
      <c r="S1953" s="1711"/>
      <c r="T1953" s="1711"/>
      <c r="U1953" s="1711"/>
      <c r="V1953" s="1711"/>
      <c r="W1953" s="1711"/>
      <c r="X1953" s="1711"/>
      <c r="Y1953" s="1711"/>
      <c r="Z1953" s="1711"/>
    </row>
    <row r="1954" spans="1:26" ht="14.4">
      <c r="A1954" s="1619"/>
      <c r="B1954" s="1712"/>
      <c r="C1954" s="1583"/>
      <c r="D1954" s="1583"/>
      <c r="E1954" s="1583"/>
      <c r="F1954" s="1583"/>
      <c r="G1954" s="1583"/>
      <c r="H1954" s="1583"/>
      <c r="I1954" s="1583"/>
      <c r="J1954" s="1524" t="s">
        <v>3813</v>
      </c>
      <c r="K1954" s="1711"/>
      <c r="L1954" s="1557">
        <f>'Part VI-Revenues &amp; Expenses'!$K$63</f>
        <v>12</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1987</v>
      </c>
      <c r="C1955" s="1583" t="s">
        <v>3392</v>
      </c>
      <c r="D1955" s="1583"/>
      <c r="E1955" s="1583"/>
      <c r="F1955" s="1583"/>
      <c r="G1955" s="1583"/>
      <c r="H1955" s="1583"/>
      <c r="I1955" s="1583"/>
      <c r="J1955" s="1583"/>
      <c r="K1955" s="1583"/>
      <c r="L1955" s="1583"/>
      <c r="M1955" s="1583"/>
      <c r="N1955" s="1684" t="s">
        <v>1987</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2533</v>
      </c>
      <c r="C1956" s="1583" t="s">
        <v>3810</v>
      </c>
      <c r="D1956" s="1583"/>
      <c r="E1956" s="1583"/>
      <c r="F1956" s="1583"/>
      <c r="G1956" s="1583"/>
      <c r="H1956" s="1583"/>
      <c r="I1956" s="1583"/>
      <c r="J1956" s="1583"/>
      <c r="K1956" s="1583"/>
      <c r="L1956" s="1583"/>
      <c r="M1956" s="1583"/>
      <c r="N1956" s="1684" t="s">
        <v>2533</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1223</v>
      </c>
      <c r="C1957" s="1583" t="s">
        <v>3807</v>
      </c>
      <c r="D1957" s="1583"/>
      <c r="E1957" s="1583"/>
      <c r="F1957" s="1583"/>
      <c r="G1957" s="1583"/>
      <c r="H1957" s="1583"/>
      <c r="I1957" s="1583"/>
      <c r="J1957" s="1583"/>
      <c r="K1957" s="1583"/>
      <c r="L1957" s="1583"/>
      <c r="M1957" s="1583"/>
      <c r="N1957" s="1684" t="s">
        <v>1223</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4.4">
      <c r="A1959" s="1508" t="s">
        <v>1984</v>
      </c>
      <c r="B1959" s="1503" t="s">
        <v>2719</v>
      </c>
      <c r="C1959" s="1659"/>
      <c r="D1959" s="1524"/>
      <c r="E1959" s="1659"/>
      <c r="F1959" s="1659"/>
      <c r="G1959" s="457"/>
      <c r="H1959" s="1659"/>
      <c r="I1959" s="1659"/>
      <c r="J1959" s="1659"/>
      <c r="K1959" s="1659"/>
      <c r="L1959" s="1659"/>
      <c r="M1959" s="1313">
        <v>3</v>
      </c>
      <c r="N1959" s="1620" t="s">
        <v>1984</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1985</v>
      </c>
      <c r="C1960" s="1583" t="s">
        <v>3829</v>
      </c>
      <c r="D1960" s="1583"/>
      <c r="E1960" s="1583"/>
      <c r="F1960" s="1583"/>
      <c r="G1960" s="1583"/>
      <c r="H1960" s="1583"/>
      <c r="I1960" s="1583"/>
      <c r="J1960" s="1583"/>
      <c r="K1960" s="1583"/>
      <c r="L1960" s="1583"/>
      <c r="M1960" s="1583"/>
      <c r="N1960" s="1684" t="s">
        <v>1985</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4.4">
      <c r="A1961" s="1619"/>
      <c r="B1961" s="1712"/>
      <c r="C1961" s="1635" t="s">
        <v>3652</v>
      </c>
      <c r="D1961" s="1582"/>
      <c r="E1961" s="1582"/>
      <c r="F1961" s="1582"/>
      <c r="G1961" s="1573" t="e">
        <f>'Part IX Scoring Criteria'!#REF!</f>
        <v>#REF!</v>
      </c>
      <c r="H1961" s="1573" t="e">
        <f>'Part IX Scoring Criteria'!#REF!</f>
        <v>#REF!</v>
      </c>
      <c r="I1961" s="1573" t="e">
        <f>'Part IX Scoring Criteria'!#REF!</f>
        <v>#REF!</v>
      </c>
      <c r="J1961" s="1784" t="s">
        <v>3653</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1987</v>
      </c>
      <c r="C1962" s="1604" t="s">
        <v>3393</v>
      </c>
      <c r="D1962" s="1604"/>
      <c r="E1962" s="1604"/>
      <c r="F1962" s="1604"/>
      <c r="G1962" s="1604"/>
      <c r="H1962" s="1604"/>
      <c r="I1962" s="1604"/>
      <c r="J1962" s="1604" t="s">
        <v>3651</v>
      </c>
      <c r="K1962" s="1604"/>
      <c r="L1962" s="1557">
        <v>0</v>
      </c>
      <c r="M1962" s="1785">
        <f>IF('Part VI-Revenues &amp; Expenses'!$O$67=0,0,L1962/'Part VI-Revenues &amp; Expenses'!$O$67)</f>
        <v>0</v>
      </c>
      <c r="N1962" s="1684" t="s">
        <v>1987</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4.4">
      <c r="A1963" s="1314"/>
      <c r="B1963" s="1677" t="s">
        <v>3752</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6">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4.4">
      <c r="A1965" s="1659"/>
      <c r="B1965" s="1580" t="s">
        <v>1865</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6">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4.4">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4.4">
      <c r="A1968" s="1660" t="s">
        <v>4100</v>
      </c>
      <c r="B1968" s="1661" t="s">
        <v>2720</v>
      </c>
      <c r="C1968" s="1659"/>
      <c r="D1968" s="1524"/>
      <c r="E1968" s="1659"/>
      <c r="F1968" s="1659"/>
      <c r="G1968" s="1709" t="s">
        <v>3389</v>
      </c>
      <c r="H1968" s="1659"/>
      <c r="I1968" s="1659"/>
      <c r="J1968" s="457" t="s">
        <v>3395</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4.4">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4.4">
      <c r="A1970" s="1777"/>
      <c r="B1970" s="1727" t="s">
        <v>3460</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2830</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4.4">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4.4">
      <c r="A1972" s="1786" t="s">
        <v>1982</v>
      </c>
      <c r="B1972" s="1577" t="s">
        <v>4601</v>
      </c>
      <c r="C1972" s="1604"/>
      <c r="D1972" s="1604"/>
      <c r="E1972" s="1604"/>
      <c r="F1972" s="1604"/>
      <c r="G1972" s="1604"/>
      <c r="H1972" s="1604"/>
      <c r="I1972" s="1604"/>
      <c r="J1972" s="1711"/>
      <c r="K1972" s="1711"/>
      <c r="L1972" s="1711"/>
      <c r="M1972" s="1713">
        <v>1</v>
      </c>
      <c r="N1972" s="1627" t="s">
        <v>1982</v>
      </c>
      <c r="O1972" s="1658">
        <f>'Part IX Scoring Criteria'!O424</f>
        <v>0</v>
      </c>
      <c r="P1972" s="1658">
        <f>'Part IX Scoring Criteria'!P424</f>
        <v>0</v>
      </c>
      <c r="Q1972" s="1698" t="str">
        <f>IF(OR($O1972=$M1972,$O1972=0,$O1972=""),"","*CHECK!*")</f>
        <v/>
      </c>
      <c r="R1972" s="1740" t="s">
        <v>2705</v>
      </c>
      <c r="S1972" s="1711"/>
      <c r="T1972" s="1711"/>
      <c r="U1972" s="1711"/>
      <c r="V1972" s="1711"/>
      <c r="W1972" s="1711"/>
      <c r="X1972" s="1711"/>
      <c r="Y1972" s="1711"/>
      <c r="Z1972" s="1711"/>
    </row>
    <row r="1973" spans="1:26" ht="15" customHeight="1">
      <c r="A1973" s="1716"/>
      <c r="B1973" s="1550" t="s">
        <v>4192</v>
      </c>
      <c r="C1973" s="1550"/>
      <c r="D1973" s="1550"/>
      <c r="E1973" s="1550"/>
      <c r="F1973" s="1550"/>
      <c r="G1973" s="1550"/>
      <c r="H1973" s="1550"/>
      <c r="I1973" s="1550"/>
      <c r="J1973" s="1550"/>
      <c r="K1973" s="1550"/>
      <c r="L1973" s="1550"/>
      <c r="M1973" s="1583" t="s">
        <v>4602</v>
      </c>
      <c r="N1973" s="1583"/>
      <c r="O1973" s="1711"/>
      <c r="P1973" s="1711"/>
      <c r="Q1973" s="1335"/>
      <c r="R1973" s="1711"/>
      <c r="S1973" s="1711"/>
      <c r="T1973" s="1711"/>
      <c r="U1973" s="1711"/>
      <c r="V1973" s="1711"/>
      <c r="W1973" s="1711"/>
      <c r="X1973" s="1711"/>
      <c r="Y1973" s="1711"/>
      <c r="Z1973" s="1711"/>
    </row>
    <row r="1974" spans="1:26" ht="14.4">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4.4">
      <c r="A1975" s="1711"/>
      <c r="B1975" s="1550"/>
      <c r="C1975" s="1550"/>
      <c r="D1975" s="1550"/>
      <c r="E1975" s="1550"/>
      <c r="F1975" s="1550"/>
      <c r="G1975" s="1550"/>
      <c r="H1975" s="1550"/>
      <c r="I1975" s="1550"/>
      <c r="J1975" s="1550"/>
      <c r="K1975" s="1550"/>
      <c r="L1975" s="1550"/>
      <c r="M1975" s="1524" t="s">
        <v>2828</v>
      </c>
      <c r="N1975" s="1713"/>
      <c r="O1975" s="1787">
        <f>'Part VI-Revenues &amp; Expenses'!$O$67</f>
        <v>40</v>
      </c>
      <c r="P1975" s="1787"/>
      <c r="Q1975" s="1335"/>
      <c r="R1975" s="1711"/>
      <c r="S1975" s="1711"/>
      <c r="T1975" s="1711"/>
      <c r="U1975" s="1711"/>
      <c r="V1975" s="1711"/>
      <c r="W1975" s="1711"/>
      <c r="X1975" s="1711"/>
      <c r="Y1975" s="1711"/>
      <c r="Z1975" s="1711"/>
    </row>
    <row r="1976" spans="1:26" ht="14.4">
      <c r="A1976" s="1711"/>
      <c r="B1976" s="1550"/>
      <c r="C1976" s="1550"/>
      <c r="D1976" s="1550"/>
      <c r="E1976" s="1550"/>
      <c r="F1976" s="1550"/>
      <c r="G1976" s="1550"/>
      <c r="H1976" s="1550"/>
      <c r="I1976" s="1550"/>
      <c r="J1976" s="1550"/>
      <c r="K1976" s="1550"/>
      <c r="L1976" s="1550"/>
      <c r="M1976" s="1524" t="s">
        <v>2829</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4.4">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4.4">
      <c r="A1979" s="1789" t="s">
        <v>4603</v>
      </c>
      <c r="B1979" s="1576" t="s">
        <v>3355</v>
      </c>
      <c r="C1979" s="1604"/>
      <c r="D1979" s="1711"/>
      <c r="E1979" s="1711"/>
      <c r="F1979" s="1711"/>
      <c r="G1979" s="1711"/>
      <c r="H1979" s="1604"/>
      <c r="I1979" s="1711"/>
      <c r="J1979" s="1711"/>
      <c r="K1979" s="1711"/>
      <c r="L1979" s="1711"/>
      <c r="M1979" s="1713">
        <v>1</v>
      </c>
      <c r="N1979" s="1627" t="s">
        <v>1984</v>
      </c>
      <c r="O1979" s="1658">
        <f>'Part IX Scoring Criteria'!O431</f>
        <v>0</v>
      </c>
      <c r="P1979" s="1658">
        <f>'Part IX Scoring Criteria'!P431</f>
        <v>0</v>
      </c>
      <c r="Q1979" s="1698" t="str">
        <f>IF(OR($O1979=$M1979,$O1979=0,$O1979=""),"","*CHECK!*")</f>
        <v/>
      </c>
      <c r="R1979" s="1740" t="s">
        <v>2705</v>
      </c>
      <c r="S1979" s="1711"/>
      <c r="T1979" s="1711"/>
      <c r="U1979" s="1711"/>
      <c r="V1979" s="1711"/>
      <c r="W1979" s="1711"/>
      <c r="X1979" s="1711"/>
      <c r="Y1979" s="1711"/>
      <c r="Z1979" s="1711"/>
    </row>
    <row r="1980" spans="1:26" ht="15" customHeight="1">
      <c r="A1980" s="1789"/>
      <c r="B1980" s="1583" t="s">
        <v>4193</v>
      </c>
      <c r="C1980" s="1583"/>
      <c r="D1980" s="1583"/>
      <c r="E1980" s="1583"/>
      <c r="F1980" s="1583"/>
      <c r="G1980" s="1583"/>
      <c r="H1980" s="1583"/>
      <c r="I1980" s="1583"/>
      <c r="J1980" s="1583"/>
      <c r="K1980" s="1583"/>
      <c r="L1980" s="1583"/>
      <c r="M1980" s="1635" t="s">
        <v>2828</v>
      </c>
      <c r="N1980" s="1713"/>
      <c r="O1980" s="1787">
        <f>'Part VI-Revenues &amp; Expenses'!$O$67</f>
        <v>40</v>
      </c>
      <c r="P1980" s="1787"/>
      <c r="Q1980" s="1335"/>
      <c r="R1980" s="1711"/>
      <c r="S1980" s="1711"/>
      <c r="T1980" s="1711"/>
      <c r="U1980" s="1711"/>
      <c r="V1980" s="1711"/>
      <c r="W1980" s="1711"/>
      <c r="X1980" s="1711"/>
      <c r="Y1980" s="1711"/>
      <c r="Z1980" s="1711"/>
    </row>
    <row r="1981" spans="1:26" ht="14.4">
      <c r="A1981" s="1789"/>
      <c r="B1981" s="1583"/>
      <c r="C1981" s="1583"/>
      <c r="D1981" s="1583"/>
      <c r="E1981" s="1583"/>
      <c r="F1981" s="1583"/>
      <c r="G1981" s="1583"/>
      <c r="H1981" s="1583"/>
      <c r="I1981" s="1583"/>
      <c r="J1981" s="1583"/>
      <c r="K1981" s="1583"/>
      <c r="L1981" s="1583"/>
      <c r="M1981" s="1524" t="s">
        <v>2829</v>
      </c>
      <c r="N1981" s="1713"/>
      <c r="O1981" s="1788">
        <f>IF(O1980=0,0,L1968/O1980)</f>
        <v>0</v>
      </c>
      <c r="P1981" s="1788"/>
      <c r="Q1981" s="1335"/>
      <c r="R1981" s="1711"/>
      <c r="S1981" s="1711"/>
      <c r="T1981" s="1711"/>
      <c r="U1981" s="1711"/>
      <c r="V1981" s="1711"/>
      <c r="W1981" s="1711"/>
      <c r="X1981" s="1711"/>
      <c r="Y1981" s="1711"/>
      <c r="Z1981" s="1711"/>
    </row>
    <row r="1982" spans="1:26" ht="14.4">
      <c r="A1982" s="1314"/>
      <c r="B1982" s="1677" t="s">
        <v>3752</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15.6">
      <c r="A1983" s="1583">
        <f>'Part IX Scoring Criteria'!A436</f>
        <v>0</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4.4">
      <c r="A1984" s="1659"/>
      <c r="B1984" s="1580" t="s">
        <v>1865</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6">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4.4">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4.4">
      <c r="A1987" s="1777" t="s">
        <v>4101</v>
      </c>
      <c r="B1987" s="1661" t="s">
        <v>1672</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4.4">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4.4">
      <c r="A1989" s="1777"/>
      <c r="B1989" s="1577" t="s">
        <v>3655</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4.4">
      <c r="A1990" s="1777"/>
      <c r="B1990" s="1577" t="s">
        <v>3656</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4.4">
      <c r="A1991" s="1777"/>
      <c r="B1991" s="1577" t="s">
        <v>3657</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4.4">
      <c r="A1992" s="1549"/>
      <c r="B1992" s="1549" t="s">
        <v>1865</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6">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4.4">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4.4">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4606</v>
      </c>
      <c r="R1995" s="1658">
        <f>'Part IX Scoring Criteria'!O448</f>
        <v>31</v>
      </c>
      <c r="S1995" s="1314"/>
      <c r="T1995" s="1314"/>
      <c r="U1995" s="1314"/>
      <c r="V1995" s="1314"/>
      <c r="W1995" s="1314"/>
      <c r="X1995" s="1314"/>
      <c r="Y1995" s="1314"/>
      <c r="Z1995" s="1314"/>
    </row>
    <row r="1996" spans="1:26" ht="15.6">
      <c r="A1996" s="1659"/>
      <c r="B1996" s="1790"/>
      <c r="C1996" s="1659"/>
      <c r="F1996" s="1657"/>
      <c r="G1996" s="1657"/>
      <c r="H1996" s="1503" t="s">
        <v>4187</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6">
      <c r="A1997" s="1659"/>
      <c r="B1997" s="1790"/>
      <c r="C1997" s="1659"/>
      <c r="F1997" s="1657"/>
      <c r="G1997" s="1657"/>
      <c r="H1997" s="1503" t="s">
        <v>4188</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4.4">
      <c r="A1998" s="1314"/>
      <c r="B1998" s="1659"/>
      <c r="C1998" s="1659"/>
      <c r="D1998" s="457"/>
      <c r="E1998" s="457"/>
      <c r="F1998" s="1496"/>
      <c r="G1998" s="1659"/>
      <c r="H1998" s="1503" t="s">
        <v>4195</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6">
      <c r="A1999" s="1659"/>
      <c r="B1999" s="1790"/>
      <c r="C1999" s="1659"/>
      <c r="F1999" s="1524"/>
      <c r="G1999" s="1524"/>
      <c r="H1999" s="1657"/>
      <c r="I1999" s="1657"/>
      <c r="J1999" s="1794"/>
      <c r="K1999" s="1794"/>
      <c r="L1999" s="1659"/>
      <c r="N1999" s="1496"/>
      <c r="O1999" s="1496"/>
      <c r="P1999" s="1658"/>
    </row>
    <row r="2000" spans="1:26" ht="15" customHeight="1">
      <c r="A2000" s="1795" t="s">
        <v>3686</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15.6">
      <c r="A2001" s="1583">
        <f>'Part IX Scoring Criteria'!A454</f>
        <v>0</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6">
      <c r="A2009" s="1415" t="s">
        <v>4200</v>
      </c>
    </row>
    <row r="2010" spans="1:26" ht="13.8">
      <c r="A2010" s="1796" t="str">
        <f>'Part I-Project Information'!$F$34</f>
        <v>Woodstone Apartments II</v>
      </c>
    </row>
    <row r="2011" spans="1:26" ht="13.8">
      <c r="A2011" s="1796" t="str">
        <f>CONCATENATE('Part I-Project Information'!$F$38,", ", 'Part I-Project Information'!$J$39," County")</f>
        <v>Leesburg, Lee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5"/>
    </row>
    <row r="2015" spans="1:26" ht="13.8">
      <c r="A2015" s="1365"/>
    </row>
    <row r="2016" spans="1:26" ht="13.8">
      <c r="A2016" s="1365"/>
    </row>
    <row r="2017" spans="1:1" ht="13.8">
      <c r="A2017" s="1365"/>
    </row>
    <row r="2018" spans="1:1" ht="13.8">
      <c r="A2018" s="1365"/>
    </row>
    <row r="2019" spans="1:1" ht="13.8">
      <c r="A2019" s="1365"/>
    </row>
    <row r="2020" spans="1:1" ht="13.8">
      <c r="A2020" s="1365"/>
    </row>
    <row r="2021" spans="1:1" ht="13.8">
      <c r="A2021" s="1365"/>
    </row>
    <row r="2022" spans="1:1" ht="13.8">
      <c r="A2022" s="1365"/>
    </row>
    <row r="2023" spans="1:1" ht="13.8">
      <c r="A2023" s="1365"/>
    </row>
    <row r="2024" spans="1:1" ht="13.8">
      <c r="A2024" s="1365"/>
    </row>
    <row r="2025" spans="1:1" ht="13.8">
      <c r="A2025" s="1365"/>
    </row>
    <row r="2026" spans="1:1" ht="13.8">
      <c r="A2026" s="1365"/>
    </row>
    <row r="2027" spans="1:1" ht="13.8">
      <c r="A2027" s="1365"/>
    </row>
    <row r="2028" spans="1:1" ht="13.8">
      <c r="A2028" s="1365"/>
    </row>
    <row r="2029" spans="1:1" ht="13.8">
      <c r="A2029" s="1365"/>
    </row>
    <row r="2030" spans="1:1" ht="13.8">
      <c r="A2030" s="1365"/>
    </row>
    <row r="2031" spans="1:1" ht="13.8">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130" zoomScaleNormal="130" workbookViewId="0">
      <selection activeCell="A160" sqref="A1:XFD1048576"/>
    </sheetView>
  </sheetViews>
  <sheetFormatPr defaultColWidth="9.33203125" defaultRowHeight="13.8"/>
  <cols>
    <col min="1" max="1" width="2.6640625" style="312" customWidth="1"/>
    <col min="2" max="4" width="1.6640625" style="312" customWidth="1"/>
    <col min="5" max="5" width="14.6640625" style="312" customWidth="1"/>
    <col min="6" max="6" width="6.3320312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6640625" style="312" customWidth="1"/>
    <col min="14" max="14" width="9.44140625" style="312" customWidth="1"/>
    <col min="15" max="15" width="9.6640625" style="312" customWidth="1"/>
    <col min="16" max="19" width="6.33203125" style="312" customWidth="1"/>
    <col min="20" max="24" width="11.5546875" style="312" customWidth="1"/>
    <col min="25" max="16384" width="9.33203125" style="312"/>
  </cols>
  <sheetData>
    <row r="1" spans="1:27" s="294" customFormat="1" ht="13.95" customHeight="1">
      <c r="A1" s="3031" t="str">
        <f>CONCATENATE("PART TWO - DEVELOPMENT TEAM INFORMATION","  -  ",'Part I-Project Information'!$O$6," ",'Part I-Project Information'!$F$34,", ",'Part I-Project Information'!F38,", ",'Part I-Project Information'!J39," County")</f>
        <v>PART TWO - DEVELOPMENT TEAM INFORMATION  -  2019-049 Woodstone Apartments II, Leesburg, Lee County</v>
      </c>
      <c r="B1" s="3032"/>
      <c r="C1" s="3032"/>
      <c r="D1" s="3032"/>
      <c r="E1" s="3032"/>
      <c r="F1" s="3032"/>
      <c r="G1" s="3032"/>
      <c r="H1" s="3032"/>
      <c r="I1" s="3032"/>
      <c r="J1" s="3032"/>
      <c r="K1" s="3032"/>
      <c r="L1" s="3032"/>
      <c r="M1" s="3032"/>
      <c r="N1" s="3032"/>
      <c r="O1" s="3032"/>
      <c r="P1" s="3032"/>
      <c r="Q1" s="3032"/>
      <c r="R1" s="3032"/>
      <c r="S1" s="3033"/>
    </row>
    <row r="2" spans="1:27" ht="12" customHeight="1" thickBot="1">
      <c r="A2" s="954" t="s">
        <v>4456</v>
      </c>
      <c r="B2" s="955"/>
      <c r="C2" s="955"/>
      <c r="D2" s="955"/>
      <c r="E2" s="955"/>
      <c r="F2" s="955"/>
      <c r="G2" s="955"/>
      <c r="H2" s="955"/>
      <c r="I2" s="955"/>
      <c r="J2" s="955"/>
      <c r="K2" s="955"/>
      <c r="L2" s="955"/>
      <c r="M2" s="955"/>
      <c r="N2" s="955"/>
      <c r="O2" s="955"/>
      <c r="P2" s="955"/>
      <c r="Q2" s="955"/>
      <c r="R2" s="955"/>
      <c r="S2" s="955"/>
    </row>
    <row r="3" spans="1:27" s="294" customFormat="1" ht="13.2" customHeight="1" thickBot="1">
      <c r="A3" s="296" t="s">
        <v>615</v>
      </c>
      <c r="B3" s="299" t="s">
        <v>1857</v>
      </c>
      <c r="C3" s="299"/>
      <c r="E3" s="299"/>
      <c r="F3" s="299"/>
      <c r="G3" s="299"/>
      <c r="H3" s="1275" t="s">
        <v>4253</v>
      </c>
      <c r="O3" s="3034" t="str">
        <f>'Part I-Project Information'!$B$6</f>
        <v>April 2019 Final</v>
      </c>
      <c r="P3" s="3035"/>
      <c r="Q3" s="3035"/>
      <c r="R3" s="3035"/>
      <c r="S3" s="3036"/>
    </row>
    <row r="4" spans="1:27" s="294" customFormat="1" ht="8.6999999999999993" customHeight="1">
      <c r="A4" s="296"/>
      <c r="B4" s="296"/>
      <c r="C4" s="296"/>
      <c r="D4" s="299"/>
      <c r="E4" s="299"/>
      <c r="F4" s="299"/>
      <c r="G4" s="299"/>
      <c r="H4" s="299"/>
      <c r="I4" s="299"/>
      <c r="J4" s="299"/>
    </row>
    <row r="5" spans="1:27" s="294" customFormat="1" ht="11.25" customHeight="1">
      <c r="B5" s="296" t="s">
        <v>1982</v>
      </c>
      <c r="C5" s="299" t="s">
        <v>1853</v>
      </c>
      <c r="H5" s="3014" t="s">
        <v>5135</v>
      </c>
      <c r="I5" s="3017"/>
      <c r="J5" s="3017"/>
      <c r="K5" s="3017"/>
      <c r="L5" s="3017"/>
      <c r="M5" s="3017"/>
      <c r="N5" s="3018"/>
      <c r="O5" s="2261" t="s">
        <v>1988</v>
      </c>
      <c r="P5" s="2261"/>
      <c r="Q5" s="3014" t="s">
        <v>5154</v>
      </c>
      <c r="R5" s="3017"/>
      <c r="S5" s="3018"/>
      <c r="Y5" s="1063"/>
      <c r="Z5" s="1064"/>
      <c r="AA5" s="2266"/>
    </row>
    <row r="6" spans="1:27" s="294" customFormat="1" ht="11.25" customHeight="1">
      <c r="D6" s="333"/>
      <c r="E6" s="2258" t="s">
        <v>1020</v>
      </c>
      <c r="F6" s="306"/>
      <c r="H6" s="2854" t="s">
        <v>5155</v>
      </c>
      <c r="I6" s="3026"/>
      <c r="J6" s="3026"/>
      <c r="K6" s="3027"/>
      <c r="L6" s="3026"/>
      <c r="M6" s="3026"/>
      <c r="N6" s="3028"/>
      <c r="O6" s="2261" t="s">
        <v>1746</v>
      </c>
      <c r="Q6" s="2780" t="s">
        <v>5156</v>
      </c>
      <c r="R6" s="2840"/>
      <c r="S6" s="2841"/>
      <c r="V6" s="1063"/>
      <c r="W6" s="1063"/>
      <c r="X6" s="1063"/>
      <c r="Y6" s="1063"/>
      <c r="Z6" s="1064"/>
      <c r="AA6" s="2266"/>
    </row>
    <row r="7" spans="1:27" s="294" customFormat="1" ht="11.25" customHeight="1">
      <c r="D7" s="333"/>
      <c r="E7" s="2258" t="s">
        <v>617</v>
      </c>
      <c r="H7" s="2854" t="s">
        <v>5139</v>
      </c>
      <c r="I7" s="3027"/>
      <c r="J7" s="2860"/>
      <c r="K7" s="2518" t="s">
        <v>761</v>
      </c>
      <c r="L7" s="2822" t="s">
        <v>5157</v>
      </c>
      <c r="M7" s="3026"/>
      <c r="N7" s="3028"/>
      <c r="O7" s="2261" t="s">
        <v>1720</v>
      </c>
      <c r="Q7" s="2777">
        <v>2568786054</v>
      </c>
      <c r="R7" s="2778"/>
      <c r="S7" s="2779"/>
    </row>
    <row r="8" spans="1:27" s="294" customFormat="1" ht="11.25" customHeight="1">
      <c r="D8" s="333"/>
      <c r="E8" s="2258" t="s">
        <v>1798</v>
      </c>
      <c r="H8" s="2493" t="s">
        <v>837</v>
      </c>
      <c r="I8" s="1054" t="s">
        <v>2228</v>
      </c>
      <c r="J8" s="3037">
        <v>359501832</v>
      </c>
      <c r="K8" s="3038"/>
      <c r="L8" s="294" t="s">
        <v>3685</v>
      </c>
      <c r="M8" s="3039" t="s">
        <v>5158</v>
      </c>
      <c r="N8" s="3040"/>
      <c r="O8" s="2261" t="s">
        <v>1978</v>
      </c>
      <c r="Q8" s="2777"/>
      <c r="R8" s="2778"/>
      <c r="S8" s="2779"/>
    </row>
    <row r="9" spans="1:27" s="294" customFormat="1" ht="11.25" customHeight="1">
      <c r="D9" s="333"/>
      <c r="E9" s="2258" t="s">
        <v>4254</v>
      </c>
      <c r="H9" s="3012">
        <v>2568786054</v>
      </c>
      <c r="I9" s="3041"/>
      <c r="J9" s="2519"/>
      <c r="K9" s="2269" t="s">
        <v>1983</v>
      </c>
      <c r="L9" s="2852" t="s">
        <v>5160</v>
      </c>
      <c r="M9" s="2775"/>
      <c r="N9" s="2775"/>
      <c r="O9" s="2869"/>
      <c r="P9" s="2869"/>
      <c r="Q9" s="2775"/>
      <c r="R9" s="2775"/>
      <c r="S9" s="2776"/>
    </row>
    <row r="10" spans="1:27" s="294" customFormat="1" ht="11.25" customHeight="1">
      <c r="D10" s="333"/>
      <c r="E10" s="1275" t="s">
        <v>4253</v>
      </c>
      <c r="H10" s="328"/>
      <c r="K10" s="269"/>
      <c r="N10" s="365" t="s">
        <v>3563</v>
      </c>
      <c r="Q10" s="2269"/>
    </row>
    <row r="11" spans="1:27" s="294" customFormat="1" ht="4.2" customHeight="1">
      <c r="D11" s="334"/>
      <c r="E11" s="2258"/>
      <c r="F11" s="299"/>
      <c r="G11" s="299"/>
      <c r="H11" s="299"/>
      <c r="I11" s="299"/>
      <c r="J11" s="299"/>
      <c r="N11" s="299"/>
      <c r="O11" s="299"/>
      <c r="P11" s="299"/>
      <c r="Q11" s="299"/>
      <c r="R11" s="299"/>
      <c r="S11" s="299"/>
      <c r="T11" s="299"/>
    </row>
    <row r="12" spans="1:27" s="294" customFormat="1" ht="11.25" customHeight="1">
      <c r="B12" s="332" t="s">
        <v>1984</v>
      </c>
      <c r="C12" s="299" t="s">
        <v>1854</v>
      </c>
      <c r="F12" s="299"/>
      <c r="G12" s="299"/>
      <c r="H12" s="299"/>
      <c r="I12" s="299"/>
      <c r="N12" s="2520" t="s">
        <v>1283</v>
      </c>
      <c r="W12" s="2520"/>
      <c r="X12" s="2520"/>
      <c r="Y12" s="2520"/>
      <c r="Z12" s="2520"/>
    </row>
    <row r="13" spans="1:27" s="294" customFormat="1" ht="11.25" customHeight="1">
      <c r="C13" s="335" t="s">
        <v>1985</v>
      </c>
      <c r="D13" s="332" t="s">
        <v>1986</v>
      </c>
      <c r="H13" s="2266"/>
      <c r="I13" s="2266"/>
      <c r="J13" s="2266"/>
      <c r="N13" s="1067"/>
      <c r="W13" s="2521"/>
      <c r="X13" s="2521"/>
      <c r="Y13" s="2521"/>
      <c r="Z13" s="2521"/>
    </row>
    <row r="14" spans="1:27" s="294" customFormat="1" ht="11.25" customHeight="1">
      <c r="D14" s="296" t="s">
        <v>2115</v>
      </c>
      <c r="E14" s="294" t="s">
        <v>1855</v>
      </c>
      <c r="H14" s="3014" t="s">
        <v>5159</v>
      </c>
      <c r="I14" s="3017"/>
      <c r="J14" s="3017"/>
      <c r="K14" s="3017"/>
      <c r="L14" s="3017"/>
      <c r="M14" s="3017"/>
      <c r="N14" s="3018"/>
      <c r="O14" s="2261" t="s">
        <v>1988</v>
      </c>
      <c r="P14" s="2261"/>
      <c r="Q14" s="3014" t="s">
        <v>5154</v>
      </c>
      <c r="R14" s="3017"/>
      <c r="S14" s="3018"/>
    </row>
    <row r="15" spans="1:27" s="294" customFormat="1" ht="11.25" customHeight="1">
      <c r="D15" s="333"/>
      <c r="E15" s="2258" t="s">
        <v>1020</v>
      </c>
      <c r="F15" s="306"/>
      <c r="H15" s="2854" t="s">
        <v>5155</v>
      </c>
      <c r="I15" s="3026"/>
      <c r="J15" s="3026"/>
      <c r="K15" s="3027"/>
      <c r="L15" s="3026"/>
      <c r="M15" s="3026"/>
      <c r="N15" s="3028"/>
      <c r="O15" s="2261" t="s">
        <v>1746</v>
      </c>
      <c r="Q15" s="2780" t="s">
        <v>5282</v>
      </c>
      <c r="R15" s="2840"/>
      <c r="S15" s="2841"/>
    </row>
    <row r="16" spans="1:27" s="294" customFormat="1" ht="11.25" customHeight="1">
      <c r="D16" s="333"/>
      <c r="E16" s="2258" t="s">
        <v>617</v>
      </c>
      <c r="H16" s="2854" t="s">
        <v>5139</v>
      </c>
      <c r="I16" s="3027"/>
      <c r="J16" s="2860"/>
      <c r="K16" s="2273" t="s">
        <v>2703</v>
      </c>
      <c r="L16" s="2854"/>
      <c r="M16" s="3026"/>
      <c r="N16" s="2860"/>
      <c r="O16" s="2261" t="s">
        <v>1720</v>
      </c>
      <c r="Q16" s="2777">
        <v>2568786054</v>
      </c>
      <c r="R16" s="2778"/>
      <c r="S16" s="2779"/>
    </row>
    <row r="17" spans="3:19" s="294" customFormat="1" ht="11.25" customHeight="1">
      <c r="D17" s="296"/>
      <c r="E17" s="2258" t="s">
        <v>1798</v>
      </c>
      <c r="H17" s="2493" t="s">
        <v>837</v>
      </c>
      <c r="K17" s="1054" t="s">
        <v>2228</v>
      </c>
      <c r="L17" s="2904">
        <v>359501832</v>
      </c>
      <c r="M17" s="3029"/>
      <c r="O17" s="2261" t="s">
        <v>1978</v>
      </c>
      <c r="Q17" s="2777"/>
      <c r="R17" s="2778"/>
      <c r="S17" s="2779"/>
    </row>
    <row r="18" spans="3:19" s="294" customFormat="1" ht="11.25" customHeight="1">
      <c r="D18" s="333"/>
      <c r="E18" s="2258" t="s">
        <v>4254</v>
      </c>
      <c r="H18" s="3012">
        <v>2568786054</v>
      </c>
      <c r="I18" s="3013"/>
      <c r="J18" s="2522"/>
      <c r="K18" s="2269" t="s">
        <v>1983</v>
      </c>
      <c r="L18" s="2774" t="s">
        <v>5160</v>
      </c>
      <c r="M18" s="2775"/>
      <c r="N18" s="2869"/>
      <c r="O18" s="2869"/>
      <c r="P18" s="2869"/>
      <c r="Q18" s="2775"/>
      <c r="R18" s="2775"/>
      <c r="S18" s="2776"/>
    </row>
    <row r="19" spans="3:19" ht="4.2" customHeight="1">
      <c r="D19" s="321"/>
      <c r="H19" s="2523"/>
      <c r="I19" s="2523"/>
      <c r="J19" s="2523"/>
      <c r="K19" s="2269"/>
      <c r="L19" s="2523"/>
      <c r="M19" s="2523"/>
      <c r="N19" s="2263"/>
      <c r="O19" s="2524"/>
      <c r="P19" s="2524"/>
      <c r="Q19" s="2269"/>
      <c r="R19" s="2524"/>
      <c r="S19" s="2524"/>
    </row>
    <row r="20" spans="3:19" s="294" customFormat="1" ht="11.25" customHeight="1">
      <c r="D20" s="296" t="s">
        <v>2116</v>
      </c>
      <c r="E20" s="294" t="s">
        <v>1856</v>
      </c>
      <c r="F20" s="2266"/>
      <c r="H20" s="3014"/>
      <c r="I20" s="3017"/>
      <c r="J20" s="3017"/>
      <c r="K20" s="3017"/>
      <c r="L20" s="3017"/>
      <c r="M20" s="3017"/>
      <c r="N20" s="3018"/>
      <c r="O20" s="2261" t="s">
        <v>1988</v>
      </c>
      <c r="P20" s="2261"/>
      <c r="Q20" s="3014"/>
      <c r="R20" s="3017"/>
      <c r="S20" s="3018"/>
    </row>
    <row r="21" spans="3:19" s="294" customFormat="1" ht="11.25" customHeight="1">
      <c r="D21" s="333"/>
      <c r="E21" s="2258" t="s">
        <v>1020</v>
      </c>
      <c r="F21" s="306"/>
      <c r="H21" s="2854"/>
      <c r="I21" s="3026"/>
      <c r="J21" s="3026"/>
      <c r="K21" s="3027"/>
      <c r="L21" s="3026"/>
      <c r="M21" s="3026"/>
      <c r="N21" s="3028"/>
      <c r="O21" s="2261" t="s">
        <v>1746</v>
      </c>
      <c r="Q21" s="2780"/>
      <c r="R21" s="2840"/>
      <c r="S21" s="2841"/>
    </row>
    <row r="22" spans="3:19" s="294" customFormat="1" ht="11.25" customHeight="1">
      <c r="D22" s="333"/>
      <c r="E22" s="2258" t="s">
        <v>617</v>
      </c>
      <c r="H22" s="2854"/>
      <c r="I22" s="3027"/>
      <c r="J22" s="2860"/>
      <c r="K22" s="2273" t="s">
        <v>2703</v>
      </c>
      <c r="L22" s="2854"/>
      <c r="M22" s="3026"/>
      <c r="N22" s="2860"/>
      <c r="O22" s="2261" t="s">
        <v>1720</v>
      </c>
      <c r="Q22" s="2777"/>
      <c r="R22" s="2778"/>
      <c r="S22" s="2779"/>
    </row>
    <row r="23" spans="3:19" s="294" customFormat="1" ht="11.25" customHeight="1">
      <c r="E23" s="2258" t="s">
        <v>1798</v>
      </c>
      <c r="H23" s="2493"/>
      <c r="K23" s="1054" t="s">
        <v>2228</v>
      </c>
      <c r="L23" s="2904"/>
      <c r="M23" s="3029"/>
      <c r="O23" s="2261" t="s">
        <v>1978</v>
      </c>
      <c r="Q23" s="2777"/>
      <c r="R23" s="2778"/>
      <c r="S23" s="2779"/>
    </row>
    <row r="24" spans="3:19" s="294" customFormat="1" ht="11.25" customHeight="1">
      <c r="D24" s="333"/>
      <c r="E24" s="2258" t="s">
        <v>4254</v>
      </c>
      <c r="H24" s="3012"/>
      <c r="I24" s="3013"/>
      <c r="J24" s="2522"/>
      <c r="K24" s="2269" t="s">
        <v>1983</v>
      </c>
      <c r="L24" s="2774"/>
      <c r="M24" s="2775"/>
      <c r="N24" s="2869"/>
      <c r="O24" s="2869"/>
      <c r="P24" s="2869"/>
      <c r="Q24" s="2775"/>
      <c r="R24" s="2775"/>
      <c r="S24" s="2776"/>
    </row>
    <row r="25" spans="3:19" s="294" customFormat="1" ht="4.2" customHeight="1">
      <c r="D25" s="333"/>
      <c r="E25" s="2266"/>
      <c r="F25" s="2266"/>
      <c r="G25" s="2261"/>
      <c r="H25" s="2523"/>
      <c r="I25" s="2523"/>
      <c r="J25" s="2523"/>
      <c r="K25" s="2269"/>
      <c r="L25" s="2523"/>
      <c r="M25" s="2523"/>
      <c r="N25" s="2263"/>
      <c r="O25" s="2524"/>
      <c r="P25" s="2524"/>
      <c r="Q25" s="2269"/>
      <c r="R25" s="2524"/>
      <c r="S25" s="2524"/>
    </row>
    <row r="26" spans="3:19" s="294" customFormat="1" ht="11.25" customHeight="1">
      <c r="D26" s="296" t="s">
        <v>1733</v>
      </c>
      <c r="E26" s="294" t="s">
        <v>1856</v>
      </c>
      <c r="F26" s="2266"/>
      <c r="H26" s="3014"/>
      <c r="I26" s="3017"/>
      <c r="J26" s="3017"/>
      <c r="K26" s="3017"/>
      <c r="L26" s="3017"/>
      <c r="M26" s="3017"/>
      <c r="N26" s="3018"/>
      <c r="O26" s="2261" t="s">
        <v>1988</v>
      </c>
      <c r="P26" s="2261"/>
      <c r="Q26" s="3014"/>
      <c r="R26" s="3017"/>
      <c r="S26" s="3018"/>
    </row>
    <row r="27" spans="3:19" s="294" customFormat="1" ht="11.25" customHeight="1">
      <c r="D27" s="333"/>
      <c r="E27" s="2258" t="s">
        <v>1020</v>
      </c>
      <c r="F27" s="306"/>
      <c r="H27" s="2854"/>
      <c r="I27" s="3026"/>
      <c r="J27" s="3026"/>
      <c r="K27" s="3027"/>
      <c r="L27" s="3026"/>
      <c r="M27" s="3026"/>
      <c r="N27" s="3028"/>
      <c r="O27" s="2261" t="s">
        <v>1746</v>
      </c>
      <c r="Q27" s="2780"/>
      <c r="R27" s="2840"/>
      <c r="S27" s="2841"/>
    </row>
    <row r="28" spans="3:19" s="294" customFormat="1" ht="11.25" customHeight="1">
      <c r="D28" s="333"/>
      <c r="E28" s="2258" t="s">
        <v>617</v>
      </c>
      <c r="H28" s="2854"/>
      <c r="I28" s="3027"/>
      <c r="J28" s="2860"/>
      <c r="K28" s="2273" t="s">
        <v>2703</v>
      </c>
      <c r="L28" s="2854"/>
      <c r="M28" s="3026"/>
      <c r="N28" s="2860"/>
      <c r="O28" s="2261" t="s">
        <v>1720</v>
      </c>
      <c r="Q28" s="2777"/>
      <c r="R28" s="2778"/>
      <c r="S28" s="2779"/>
    </row>
    <row r="29" spans="3:19" s="294" customFormat="1" ht="11.25" customHeight="1">
      <c r="E29" s="2258" t="s">
        <v>1798</v>
      </c>
      <c r="H29" s="2493"/>
      <c r="K29" s="1054" t="s">
        <v>2228</v>
      </c>
      <c r="L29" s="2904"/>
      <c r="M29" s="3029"/>
      <c r="O29" s="2261" t="s">
        <v>1978</v>
      </c>
      <c r="Q29" s="2777"/>
      <c r="R29" s="2778"/>
      <c r="S29" s="2779"/>
    </row>
    <row r="30" spans="3:19" s="294" customFormat="1" ht="11.25" customHeight="1">
      <c r="D30" s="333"/>
      <c r="E30" s="2258" t="s">
        <v>4254</v>
      </c>
      <c r="H30" s="3012"/>
      <c r="I30" s="3013"/>
      <c r="J30" s="2522"/>
      <c r="K30" s="2269" t="s">
        <v>1983</v>
      </c>
      <c r="L30" s="2774"/>
      <c r="M30" s="2775"/>
      <c r="N30" s="2869"/>
      <c r="O30" s="2869"/>
      <c r="P30" s="2869"/>
      <c r="Q30" s="2775"/>
      <c r="R30" s="2775"/>
      <c r="S30" s="2776"/>
    </row>
    <row r="31" spans="3:19" ht="4.2" customHeight="1"/>
    <row r="32" spans="3:19" s="294" customFormat="1" ht="11.25" customHeight="1">
      <c r="C32" s="335" t="s">
        <v>1987</v>
      </c>
      <c r="D32" s="332" t="s">
        <v>1858</v>
      </c>
      <c r="H32" s="2266"/>
      <c r="I32" s="2266"/>
      <c r="J32" s="2266"/>
      <c r="K32" s="1275" t="s">
        <v>4253</v>
      </c>
      <c r="L32" s="2266"/>
      <c r="M32" s="2266"/>
    </row>
    <row r="33" spans="3:19" s="294" customFormat="1" ht="11.25" customHeight="1">
      <c r="D33" s="296" t="s">
        <v>2115</v>
      </c>
      <c r="E33" s="294" t="s">
        <v>749</v>
      </c>
      <c r="H33" s="3014" t="s">
        <v>5161</v>
      </c>
      <c r="I33" s="3017"/>
      <c r="J33" s="3017"/>
      <c r="K33" s="3017"/>
      <c r="L33" s="3017"/>
      <c r="M33" s="3017"/>
      <c r="N33" s="3018"/>
      <c r="O33" s="2261" t="s">
        <v>1988</v>
      </c>
      <c r="P33" s="2261"/>
      <c r="Q33" s="3014" t="s">
        <v>5162</v>
      </c>
      <c r="R33" s="3017"/>
      <c r="S33" s="3018"/>
    </row>
    <row r="34" spans="3:19" s="294" customFormat="1" ht="11.25" customHeight="1">
      <c r="D34" s="333"/>
      <c r="E34" s="2258" t="s">
        <v>1020</v>
      </c>
      <c r="F34" s="306"/>
      <c r="H34" s="2854" t="s">
        <v>5163</v>
      </c>
      <c r="I34" s="3026"/>
      <c r="J34" s="3026"/>
      <c r="K34" s="3027"/>
      <c r="L34" s="3026"/>
      <c r="M34" s="3026"/>
      <c r="N34" s="3028"/>
      <c r="O34" s="2261" t="s">
        <v>1746</v>
      </c>
      <c r="Q34" s="2780" t="s">
        <v>5165</v>
      </c>
      <c r="R34" s="2840"/>
      <c r="S34" s="2841"/>
    </row>
    <row r="35" spans="3:19" s="294" customFormat="1" ht="11.25" customHeight="1">
      <c r="D35" s="333"/>
      <c r="E35" s="2258" t="s">
        <v>617</v>
      </c>
      <c r="H35" s="2854" t="s">
        <v>5164</v>
      </c>
      <c r="I35" s="3027"/>
      <c r="J35" s="2860"/>
      <c r="K35" s="2273" t="s">
        <v>2703</v>
      </c>
      <c r="L35" s="2854"/>
      <c r="M35" s="3026"/>
      <c r="N35" s="2860"/>
      <c r="O35" s="2261" t="s">
        <v>1720</v>
      </c>
      <c r="Q35" s="2777">
        <v>2052644017</v>
      </c>
      <c r="R35" s="2778"/>
      <c r="S35" s="2779"/>
    </row>
    <row r="36" spans="3:19" s="294" customFormat="1" ht="11.25" customHeight="1">
      <c r="E36" s="2258" t="s">
        <v>1798</v>
      </c>
      <c r="H36" s="2493" t="s">
        <v>837</v>
      </c>
      <c r="K36" s="1054" t="s">
        <v>2228</v>
      </c>
      <c r="L36" s="2904">
        <v>352032610</v>
      </c>
      <c r="M36" s="3029"/>
      <c r="O36" s="2261" t="s">
        <v>1978</v>
      </c>
      <c r="Q36" s="2777"/>
      <c r="R36" s="2778"/>
      <c r="S36" s="2779"/>
    </row>
    <row r="37" spans="3:19" s="294" customFormat="1" ht="11.25" customHeight="1">
      <c r="D37" s="333"/>
      <c r="E37" s="2258" t="s">
        <v>4254</v>
      </c>
      <c r="H37" s="3012">
        <v>2052644017</v>
      </c>
      <c r="I37" s="3013"/>
      <c r="J37" s="2522"/>
      <c r="K37" s="2269" t="s">
        <v>1983</v>
      </c>
      <c r="L37" s="2774" t="s">
        <v>5166</v>
      </c>
      <c r="M37" s="2775"/>
      <c r="N37" s="2869"/>
      <c r="O37" s="2869"/>
      <c r="P37" s="2869"/>
      <c r="Q37" s="2775"/>
      <c r="R37" s="2775"/>
      <c r="S37" s="2776"/>
    </row>
    <row r="38" spans="3:19" ht="4.2" customHeight="1">
      <c r="H38" s="2523"/>
      <c r="I38" s="2523"/>
      <c r="J38" s="2523"/>
      <c r="K38" s="2269"/>
      <c r="L38" s="2523"/>
      <c r="M38" s="2523"/>
      <c r="N38" s="2263"/>
      <c r="O38" s="2524"/>
      <c r="P38" s="2524"/>
      <c r="Q38" s="2269"/>
      <c r="R38" s="2524"/>
      <c r="S38" s="2524"/>
    </row>
    <row r="39" spans="3:19" s="294" customFormat="1" ht="11.25" customHeight="1">
      <c r="D39" s="296" t="s">
        <v>2116</v>
      </c>
      <c r="E39" s="294" t="s">
        <v>750</v>
      </c>
      <c r="F39" s="296"/>
      <c r="H39" s="3014" t="s">
        <v>5245</v>
      </c>
      <c r="I39" s="3017"/>
      <c r="J39" s="3017"/>
      <c r="K39" s="3017"/>
      <c r="L39" s="3017"/>
      <c r="M39" s="3017"/>
      <c r="N39" s="3018"/>
      <c r="O39" s="2261" t="s">
        <v>1988</v>
      </c>
      <c r="P39" s="2261"/>
      <c r="Q39" s="3014" t="s">
        <v>5246</v>
      </c>
      <c r="R39" s="3017"/>
      <c r="S39" s="3018"/>
    </row>
    <row r="40" spans="3:19" s="294" customFormat="1" ht="11.25" customHeight="1">
      <c r="D40" s="333"/>
      <c r="E40" s="2258" t="s">
        <v>1020</v>
      </c>
      <c r="F40" s="306"/>
      <c r="H40" s="2854" t="s">
        <v>5247</v>
      </c>
      <c r="I40" s="3026"/>
      <c r="J40" s="3026"/>
      <c r="K40" s="3027"/>
      <c r="L40" s="3026"/>
      <c r="M40" s="3026"/>
      <c r="N40" s="3028"/>
      <c r="O40" s="2261" t="s">
        <v>1746</v>
      </c>
      <c r="Q40" s="2780" t="s">
        <v>5249</v>
      </c>
      <c r="R40" s="2840"/>
      <c r="S40" s="2841"/>
    </row>
    <row r="41" spans="3:19" s="294" customFormat="1" ht="11.25" customHeight="1">
      <c r="D41" s="333"/>
      <c r="E41" s="2258" t="s">
        <v>617</v>
      </c>
      <c r="H41" s="2854" t="s">
        <v>1204</v>
      </c>
      <c r="I41" s="3027"/>
      <c r="J41" s="2860"/>
      <c r="K41" s="2273" t="s">
        <v>2703</v>
      </c>
      <c r="L41" s="2854"/>
      <c r="M41" s="3026"/>
      <c r="N41" s="2860"/>
      <c r="O41" s="2261" t="s">
        <v>1720</v>
      </c>
      <c r="Q41" s="2777">
        <v>3145616818</v>
      </c>
      <c r="R41" s="2778"/>
      <c r="S41" s="2779"/>
    </row>
    <row r="42" spans="3:19" s="294" customFormat="1" ht="11.25" customHeight="1">
      <c r="D42" s="296"/>
      <c r="E42" s="2258" t="s">
        <v>1798</v>
      </c>
      <c r="H42" s="2493" t="s">
        <v>847</v>
      </c>
      <c r="K42" s="1054" t="s">
        <v>2228</v>
      </c>
      <c r="L42" s="2904">
        <v>303091857</v>
      </c>
      <c r="M42" s="3029"/>
      <c r="O42" s="2261" t="s">
        <v>1978</v>
      </c>
      <c r="Q42" s="2777"/>
      <c r="R42" s="2778"/>
      <c r="S42" s="2779"/>
    </row>
    <row r="43" spans="3:19" s="294" customFormat="1" ht="11.25" customHeight="1">
      <c r="D43" s="333"/>
      <c r="E43" s="2258" t="s">
        <v>4254</v>
      </c>
      <c r="H43" s="3012">
        <v>3145616818</v>
      </c>
      <c r="I43" s="3013"/>
      <c r="J43" s="2522"/>
      <c r="K43" s="2269" t="s">
        <v>1983</v>
      </c>
      <c r="L43" s="2774" t="s">
        <v>5248</v>
      </c>
      <c r="M43" s="2775"/>
      <c r="N43" s="2869"/>
      <c r="O43" s="2869"/>
      <c r="P43" s="2869"/>
      <c r="Q43" s="2775"/>
      <c r="R43" s="2775"/>
      <c r="S43" s="2776"/>
    </row>
    <row r="44" spans="3:19" s="294" customFormat="1" ht="4.2" customHeight="1">
      <c r="D44" s="333"/>
      <c r="E44" s="2258"/>
      <c r="F44" s="296"/>
      <c r="H44" s="328"/>
      <c r="I44" s="328"/>
      <c r="J44" s="2525"/>
      <c r="K44" s="2269"/>
      <c r="L44" s="328"/>
      <c r="M44" s="328"/>
      <c r="N44" s="2269"/>
      <c r="O44" s="328"/>
      <c r="P44" s="328"/>
      <c r="Q44" s="2269"/>
      <c r="R44" s="328"/>
      <c r="S44" s="328"/>
    </row>
    <row r="45" spans="3:19" s="294" customFormat="1" ht="11.25" customHeight="1">
      <c r="C45" s="336" t="s">
        <v>2533</v>
      </c>
      <c r="D45" s="332" t="s">
        <v>650</v>
      </c>
      <c r="H45" s="2266"/>
      <c r="I45" s="2266"/>
      <c r="J45" s="2266"/>
      <c r="K45" s="1275" t="s">
        <v>4253</v>
      </c>
      <c r="L45" s="2266"/>
      <c r="M45" s="2266"/>
    </row>
    <row r="46" spans="3:19" s="294" customFormat="1" ht="11.25" customHeight="1">
      <c r="E46" s="294" t="s">
        <v>92</v>
      </c>
      <c r="H46" s="3014"/>
      <c r="I46" s="3017"/>
      <c r="J46" s="3017"/>
      <c r="K46" s="3017"/>
      <c r="L46" s="3017"/>
      <c r="M46" s="3017"/>
      <c r="N46" s="3018"/>
      <c r="O46" s="2261" t="s">
        <v>1988</v>
      </c>
      <c r="P46" s="2261"/>
      <c r="Q46" s="3014"/>
      <c r="R46" s="3017"/>
      <c r="S46" s="3018"/>
    </row>
    <row r="47" spans="3:19" s="294" customFormat="1" ht="11.25" customHeight="1">
      <c r="D47" s="333"/>
      <c r="E47" s="2258" t="s">
        <v>1020</v>
      </c>
      <c r="F47" s="306"/>
      <c r="H47" s="2854"/>
      <c r="I47" s="3026"/>
      <c r="J47" s="3026"/>
      <c r="K47" s="3027"/>
      <c r="L47" s="3026"/>
      <c r="M47" s="3026"/>
      <c r="N47" s="3028"/>
      <c r="O47" s="2261" t="s">
        <v>1746</v>
      </c>
      <c r="Q47" s="2780"/>
      <c r="R47" s="2840"/>
      <c r="S47" s="2841"/>
    </row>
    <row r="48" spans="3:19" s="294" customFormat="1" ht="11.25" customHeight="1">
      <c r="D48" s="333"/>
      <c r="E48" s="2258" t="s">
        <v>617</v>
      </c>
      <c r="H48" s="2854"/>
      <c r="I48" s="3027"/>
      <c r="J48" s="2860"/>
      <c r="K48" s="2273" t="s">
        <v>2703</v>
      </c>
      <c r="L48" s="2854"/>
      <c r="M48" s="3026"/>
      <c r="N48" s="2860"/>
      <c r="O48" s="2261" t="s">
        <v>1720</v>
      </c>
      <c r="Q48" s="2777"/>
      <c r="R48" s="2778"/>
      <c r="S48" s="2779"/>
    </row>
    <row r="49" spans="1:19" s="294" customFormat="1" ht="11.25" customHeight="1">
      <c r="E49" s="2258" t="s">
        <v>1798</v>
      </c>
      <c r="H49" s="2493"/>
      <c r="K49" s="1054" t="s">
        <v>2228</v>
      </c>
      <c r="L49" s="2904"/>
      <c r="M49" s="3029"/>
      <c r="O49" s="2261" t="s">
        <v>1978</v>
      </c>
      <c r="Q49" s="2777"/>
      <c r="R49" s="2778"/>
      <c r="S49" s="2779"/>
    </row>
    <row r="50" spans="1:19" s="294" customFormat="1" ht="11.25" customHeight="1">
      <c r="D50" s="333"/>
      <c r="E50" s="2258" t="s">
        <v>4254</v>
      </c>
      <c r="H50" s="3012"/>
      <c r="I50" s="3013"/>
      <c r="J50" s="2522"/>
      <c r="K50" s="2269" t="s">
        <v>1983</v>
      </c>
      <c r="L50" s="2774"/>
      <c r="M50" s="2775"/>
      <c r="N50" s="2869"/>
      <c r="O50" s="2869"/>
      <c r="P50" s="2869"/>
      <c r="Q50" s="2775"/>
      <c r="R50" s="2775"/>
      <c r="S50" s="2776"/>
    </row>
    <row r="51" spans="1:19" ht="6.75" customHeight="1"/>
    <row r="52" spans="1:19" s="294" customFormat="1" ht="13.2" customHeight="1">
      <c r="A52" s="296" t="s">
        <v>739</v>
      </c>
      <c r="B52" s="296" t="s">
        <v>651</v>
      </c>
      <c r="F52" s="296"/>
      <c r="G52" s="2269"/>
      <c r="H52" s="2269"/>
      <c r="I52" s="2269"/>
      <c r="J52" s="2266"/>
      <c r="K52" s="1275" t="s">
        <v>4253</v>
      </c>
      <c r="L52" s="2266"/>
      <c r="M52" s="2266"/>
      <c r="N52" s="2266"/>
      <c r="O52" s="2266"/>
      <c r="P52" s="2266"/>
      <c r="Q52" s="2266"/>
      <c r="R52" s="2266"/>
      <c r="S52" s="2266"/>
    </row>
    <row r="53" spans="1:19" s="294" customFormat="1" ht="3" customHeight="1">
      <c r="A53" s="296"/>
      <c r="B53" s="296"/>
      <c r="F53" s="296"/>
      <c r="G53" s="2269"/>
      <c r="H53" s="2526"/>
      <c r="I53" s="2526"/>
      <c r="J53" s="2526"/>
      <c r="K53" s="2263"/>
      <c r="L53" s="2526"/>
      <c r="M53" s="2526"/>
      <c r="N53" s="2263"/>
      <c r="O53" s="2524"/>
      <c r="P53" s="2524"/>
      <c r="Q53" s="2269"/>
      <c r="R53" s="2524"/>
      <c r="S53" s="2524"/>
    </row>
    <row r="54" spans="1:19" s="294" customFormat="1" ht="11.25" customHeight="1">
      <c r="B54" s="296" t="s">
        <v>1982</v>
      </c>
      <c r="C54" s="296" t="s">
        <v>282</v>
      </c>
      <c r="H54" s="3014" t="s">
        <v>5167</v>
      </c>
      <c r="I54" s="3017"/>
      <c r="J54" s="3017"/>
      <c r="K54" s="3017"/>
      <c r="L54" s="3017"/>
      <c r="M54" s="3017"/>
      <c r="N54" s="3018"/>
      <c r="O54" s="2261" t="s">
        <v>1988</v>
      </c>
      <c r="P54" s="2261"/>
      <c r="Q54" s="3014" t="s">
        <v>5154</v>
      </c>
      <c r="R54" s="3017"/>
      <c r="S54" s="3018"/>
    </row>
    <row r="55" spans="1:19" s="294" customFormat="1" ht="11.25" customHeight="1">
      <c r="D55" s="333"/>
      <c r="E55" s="2258" t="s">
        <v>1020</v>
      </c>
      <c r="F55" s="306"/>
      <c r="H55" s="2854" t="s">
        <v>5155</v>
      </c>
      <c r="I55" s="3026"/>
      <c r="J55" s="3026"/>
      <c r="K55" s="3027"/>
      <c r="L55" s="3026"/>
      <c r="M55" s="3026"/>
      <c r="N55" s="3028"/>
      <c r="O55" s="2261" t="s">
        <v>1746</v>
      </c>
      <c r="Q55" s="2780" t="s">
        <v>5168</v>
      </c>
      <c r="R55" s="2840"/>
      <c r="S55" s="2841"/>
    </row>
    <row r="56" spans="1:19" s="294" customFormat="1" ht="11.25" customHeight="1">
      <c r="D56" s="333"/>
      <c r="E56" s="2258" t="s">
        <v>617</v>
      </c>
      <c r="H56" s="2854" t="s">
        <v>5139</v>
      </c>
      <c r="I56" s="3027"/>
      <c r="J56" s="2860"/>
      <c r="K56" s="2273" t="s">
        <v>2703</v>
      </c>
      <c r="L56" s="2854" t="s">
        <v>5169</v>
      </c>
      <c r="M56" s="3026"/>
      <c r="N56" s="2860"/>
      <c r="O56" s="2261" t="s">
        <v>1720</v>
      </c>
      <c r="Q56" s="2777">
        <v>2568786054</v>
      </c>
      <c r="R56" s="2778"/>
      <c r="S56" s="2779"/>
    </row>
    <row r="57" spans="1:19" s="294" customFormat="1" ht="11.25" customHeight="1">
      <c r="E57" s="2258" t="s">
        <v>1798</v>
      </c>
      <c r="H57" s="2493" t="s">
        <v>837</v>
      </c>
      <c r="K57" s="1054" t="s">
        <v>2228</v>
      </c>
      <c r="L57" s="2904">
        <v>359501832</v>
      </c>
      <c r="M57" s="3029"/>
      <c r="O57" s="2261" t="s">
        <v>1978</v>
      </c>
      <c r="Q57" s="2777"/>
      <c r="R57" s="2778"/>
      <c r="S57" s="2779"/>
    </row>
    <row r="58" spans="1:19" s="294" customFormat="1" ht="11.25" customHeight="1">
      <c r="D58" s="333"/>
      <c r="E58" s="2258" t="s">
        <v>4254</v>
      </c>
      <c r="H58" s="3012">
        <v>2568786054</v>
      </c>
      <c r="I58" s="3013"/>
      <c r="J58" s="2522"/>
      <c r="K58" s="2269" t="s">
        <v>1983</v>
      </c>
      <c r="L58" s="2774" t="s">
        <v>5160</v>
      </c>
      <c r="M58" s="2775"/>
      <c r="N58" s="2869"/>
      <c r="O58" s="2869"/>
      <c r="P58" s="2869"/>
      <c r="Q58" s="2775"/>
      <c r="R58" s="2775"/>
      <c r="S58" s="2776"/>
    </row>
    <row r="59" spans="1:19" s="294" customFormat="1" ht="6.6" customHeight="1">
      <c r="D59" s="333"/>
      <c r="E59" s="2266"/>
      <c r="F59" s="2266"/>
      <c r="G59" s="2261"/>
      <c r="H59" s="2523"/>
      <c r="I59" s="2523"/>
      <c r="J59" s="2523"/>
      <c r="K59" s="2269"/>
      <c r="L59" s="2523"/>
      <c r="M59" s="2523"/>
      <c r="N59" s="2263"/>
      <c r="O59" s="2524"/>
      <c r="P59" s="2524"/>
      <c r="Q59" s="2269"/>
      <c r="R59" s="2524"/>
      <c r="S59" s="2524"/>
    </row>
    <row r="60" spans="1:19" s="294" customFormat="1" ht="11.25" customHeight="1">
      <c r="B60" s="296" t="s">
        <v>1984</v>
      </c>
      <c r="C60" s="296" t="s">
        <v>283</v>
      </c>
      <c r="H60" s="3014"/>
      <c r="I60" s="3017"/>
      <c r="J60" s="3017"/>
      <c r="K60" s="3017"/>
      <c r="L60" s="3017"/>
      <c r="M60" s="3017"/>
      <c r="N60" s="3018"/>
      <c r="O60" s="2261" t="s">
        <v>1988</v>
      </c>
      <c r="P60" s="2261"/>
      <c r="Q60" s="3014"/>
      <c r="R60" s="3017"/>
      <c r="S60" s="3018"/>
    </row>
    <row r="61" spans="1:19" s="294" customFormat="1" ht="11.25" customHeight="1">
      <c r="D61" s="333"/>
      <c r="E61" s="2258" t="s">
        <v>1020</v>
      </c>
      <c r="F61" s="306"/>
      <c r="H61" s="2854"/>
      <c r="I61" s="3026"/>
      <c r="J61" s="3026"/>
      <c r="K61" s="3027"/>
      <c r="L61" s="3026"/>
      <c r="M61" s="3026"/>
      <c r="N61" s="3028"/>
      <c r="O61" s="2261" t="s">
        <v>1746</v>
      </c>
      <c r="Q61" s="2780"/>
      <c r="R61" s="2840"/>
      <c r="S61" s="2841"/>
    </row>
    <row r="62" spans="1:19" s="294" customFormat="1" ht="11.25" customHeight="1">
      <c r="D62" s="333"/>
      <c r="E62" s="2258" t="s">
        <v>617</v>
      </c>
      <c r="H62" s="2854"/>
      <c r="I62" s="3027"/>
      <c r="J62" s="2860"/>
      <c r="K62" s="2273" t="s">
        <v>2703</v>
      </c>
      <c r="L62" s="2854"/>
      <c r="M62" s="3026"/>
      <c r="N62" s="2860"/>
      <c r="O62" s="2261" t="s">
        <v>1720</v>
      </c>
      <c r="Q62" s="2777"/>
      <c r="R62" s="2778"/>
      <c r="S62" s="2779"/>
    </row>
    <row r="63" spans="1:19" s="294" customFormat="1" ht="11.25" customHeight="1">
      <c r="E63" s="2258" t="s">
        <v>1798</v>
      </c>
      <c r="H63" s="2493"/>
      <c r="K63" s="1054" t="s">
        <v>2228</v>
      </c>
      <c r="L63" s="2904"/>
      <c r="M63" s="3029"/>
      <c r="O63" s="2261" t="s">
        <v>1978</v>
      </c>
      <c r="Q63" s="2777"/>
      <c r="R63" s="2778"/>
      <c r="S63" s="2779"/>
    </row>
    <row r="64" spans="1:19" s="294" customFormat="1" ht="11.25" customHeight="1">
      <c r="D64" s="333"/>
      <c r="E64" s="2258" t="s">
        <v>4254</v>
      </c>
      <c r="H64" s="3012"/>
      <c r="I64" s="3013"/>
      <c r="J64" s="2522"/>
      <c r="K64" s="2269" t="s">
        <v>1983</v>
      </c>
      <c r="L64" s="2774"/>
      <c r="M64" s="2775"/>
      <c r="N64" s="2869"/>
      <c r="O64" s="2869"/>
      <c r="P64" s="2869"/>
      <c r="Q64" s="2775"/>
      <c r="R64" s="2775"/>
      <c r="S64" s="2776"/>
    </row>
    <row r="65" spans="1:19" s="294" customFormat="1" ht="6.6" customHeight="1">
      <c r="D65" s="333"/>
      <c r="E65" s="2266"/>
      <c r="F65" s="2266"/>
      <c r="G65" s="2261"/>
      <c r="H65" s="2523"/>
      <c r="I65" s="2523"/>
      <c r="J65" s="2523"/>
      <c r="K65" s="2269"/>
      <c r="L65" s="2523"/>
      <c r="M65" s="2523"/>
      <c r="N65" s="2263"/>
      <c r="O65" s="2524"/>
      <c r="P65" s="2524"/>
      <c r="Q65" s="2269"/>
      <c r="R65" s="2524"/>
      <c r="S65" s="2524"/>
    </row>
    <row r="66" spans="1:19" s="294" customFormat="1" ht="11.25" customHeight="1">
      <c r="B66" s="296" t="s">
        <v>748</v>
      </c>
      <c r="C66" s="296" t="s">
        <v>1527</v>
      </c>
      <c r="H66" s="3014"/>
      <c r="I66" s="3017"/>
      <c r="J66" s="3017"/>
      <c r="K66" s="3017"/>
      <c r="L66" s="3017"/>
      <c r="M66" s="3017"/>
      <c r="N66" s="3018"/>
      <c r="O66" s="2261" t="s">
        <v>1988</v>
      </c>
      <c r="P66" s="2261"/>
      <c r="Q66" s="3014"/>
      <c r="R66" s="3017"/>
      <c r="S66" s="3018"/>
    </row>
    <row r="67" spans="1:19" s="294" customFormat="1" ht="11.25" customHeight="1">
      <c r="D67" s="333"/>
      <c r="E67" s="2258" t="s">
        <v>1020</v>
      </c>
      <c r="F67" s="306"/>
      <c r="H67" s="2854"/>
      <c r="I67" s="3026"/>
      <c r="J67" s="3026"/>
      <c r="K67" s="3027"/>
      <c r="L67" s="3026"/>
      <c r="M67" s="3026"/>
      <c r="N67" s="3028"/>
      <c r="O67" s="2261" t="s">
        <v>1746</v>
      </c>
      <c r="Q67" s="2780"/>
      <c r="R67" s="2840"/>
      <c r="S67" s="2841"/>
    </row>
    <row r="68" spans="1:19" s="294" customFormat="1" ht="11.25" customHeight="1">
      <c r="D68" s="333"/>
      <c r="E68" s="2258" t="s">
        <v>617</v>
      </c>
      <c r="H68" s="2854"/>
      <c r="I68" s="3027"/>
      <c r="J68" s="2860"/>
      <c r="K68" s="2273" t="s">
        <v>2703</v>
      </c>
      <c r="L68" s="2854"/>
      <c r="M68" s="3026"/>
      <c r="N68" s="2860"/>
      <c r="O68" s="2261" t="s">
        <v>1720</v>
      </c>
      <c r="Q68" s="2777"/>
      <c r="R68" s="2778"/>
      <c r="S68" s="2779"/>
    </row>
    <row r="69" spans="1:19" s="294" customFormat="1" ht="11.25" customHeight="1">
      <c r="E69" s="2258" t="s">
        <v>1798</v>
      </c>
      <c r="H69" s="2493"/>
      <c r="K69" s="1054" t="s">
        <v>2228</v>
      </c>
      <c r="L69" s="2904"/>
      <c r="M69" s="3029"/>
      <c r="O69" s="2261" t="s">
        <v>1978</v>
      </c>
      <c r="Q69" s="2777"/>
      <c r="R69" s="2778"/>
      <c r="S69" s="2779"/>
    </row>
    <row r="70" spans="1:19" s="294" customFormat="1" ht="11.25" customHeight="1">
      <c r="D70" s="333"/>
      <c r="E70" s="2258" t="s">
        <v>4254</v>
      </c>
      <c r="H70" s="3012"/>
      <c r="I70" s="3013"/>
      <c r="J70" s="2522"/>
      <c r="K70" s="2269" t="s">
        <v>1983</v>
      </c>
      <c r="L70" s="2774"/>
      <c r="M70" s="2775"/>
      <c r="N70" s="2869"/>
      <c r="O70" s="2869"/>
      <c r="P70" s="2869"/>
      <c r="Q70" s="2775"/>
      <c r="R70" s="2775"/>
      <c r="S70" s="2776"/>
    </row>
    <row r="71" spans="1:19" ht="6.6" customHeight="1">
      <c r="H71" s="2523"/>
      <c r="I71" s="2523"/>
      <c r="J71" s="2523"/>
      <c r="K71" s="2269"/>
      <c r="L71" s="2523"/>
      <c r="M71" s="2523"/>
      <c r="N71" s="2263"/>
      <c r="O71" s="2524"/>
      <c r="P71" s="2524"/>
      <c r="Q71" s="2269"/>
      <c r="R71" s="2524"/>
      <c r="S71" s="2524"/>
    </row>
    <row r="72" spans="1:19" s="294" customFormat="1" ht="11.25" customHeight="1">
      <c r="B72" s="296" t="s">
        <v>2114</v>
      </c>
      <c r="C72" s="296" t="s">
        <v>284</v>
      </c>
      <c r="H72" s="3014"/>
      <c r="I72" s="3017"/>
      <c r="J72" s="3017"/>
      <c r="K72" s="3017"/>
      <c r="L72" s="3017"/>
      <c r="M72" s="3017"/>
      <c r="N72" s="3018"/>
      <c r="O72" s="2261" t="s">
        <v>1988</v>
      </c>
      <c r="P72" s="2261"/>
      <c r="Q72" s="3014"/>
      <c r="R72" s="3017"/>
      <c r="S72" s="3018"/>
    </row>
    <row r="73" spans="1:19" s="294" customFormat="1" ht="11.25" customHeight="1">
      <c r="D73" s="333"/>
      <c r="E73" s="2258" t="s">
        <v>1020</v>
      </c>
      <c r="F73" s="306"/>
      <c r="H73" s="2854"/>
      <c r="I73" s="3026"/>
      <c r="J73" s="3026"/>
      <c r="K73" s="3027"/>
      <c r="L73" s="3026"/>
      <c r="M73" s="3026"/>
      <c r="N73" s="3028"/>
      <c r="O73" s="2261" t="s">
        <v>1746</v>
      </c>
      <c r="Q73" s="2780"/>
      <c r="R73" s="2840"/>
      <c r="S73" s="2841"/>
    </row>
    <row r="74" spans="1:19" s="294" customFormat="1" ht="11.25" customHeight="1">
      <c r="D74" s="333"/>
      <c r="E74" s="2258" t="s">
        <v>617</v>
      </c>
      <c r="H74" s="2854"/>
      <c r="I74" s="3027"/>
      <c r="J74" s="2860"/>
      <c r="K74" s="2273" t="s">
        <v>2703</v>
      </c>
      <c r="L74" s="2854"/>
      <c r="M74" s="3026"/>
      <c r="N74" s="2860"/>
      <c r="O74" s="2261" t="s">
        <v>1720</v>
      </c>
      <c r="Q74" s="2777"/>
      <c r="R74" s="2778"/>
      <c r="S74" s="2779"/>
    </row>
    <row r="75" spans="1:19" s="294" customFormat="1" ht="11.25" customHeight="1">
      <c r="E75" s="2258" t="s">
        <v>1798</v>
      </c>
      <c r="H75" s="2493"/>
      <c r="K75" s="1054" t="s">
        <v>2228</v>
      </c>
      <c r="L75" s="2904"/>
      <c r="M75" s="3029"/>
      <c r="O75" s="2261" t="s">
        <v>1978</v>
      </c>
      <c r="Q75" s="2777"/>
      <c r="R75" s="2778"/>
      <c r="S75" s="2779"/>
    </row>
    <row r="76" spans="1:19" s="294" customFormat="1" ht="11.25" customHeight="1">
      <c r="D76" s="333"/>
      <c r="E76" s="2258" t="s">
        <v>4254</v>
      </c>
      <c r="H76" s="3012"/>
      <c r="I76" s="3013"/>
      <c r="J76" s="2522"/>
      <c r="K76" s="2269" t="s">
        <v>1983</v>
      </c>
      <c r="L76" s="2774"/>
      <c r="M76" s="2775"/>
      <c r="N76" s="2869"/>
      <c r="O76" s="2869"/>
      <c r="P76" s="2869"/>
      <c r="Q76" s="2775"/>
      <c r="R76" s="2775"/>
      <c r="S76" s="2776"/>
    </row>
    <row r="77" spans="1:19" ht="6.75" customHeight="1"/>
    <row r="78" spans="1:19" s="2258" customFormat="1" ht="13.2" customHeight="1">
      <c r="A78" s="299" t="s">
        <v>741</v>
      </c>
      <c r="B78" s="299" t="s">
        <v>285</v>
      </c>
      <c r="D78" s="299"/>
      <c r="E78" s="2261"/>
      <c r="F78" s="2260"/>
      <c r="G78" s="2260"/>
      <c r="H78" s="2260"/>
      <c r="I78" s="2260"/>
      <c r="J78" s="2260"/>
      <c r="K78" s="1275" t="s">
        <v>4253</v>
      </c>
      <c r="L78" s="2260"/>
      <c r="M78" s="2260"/>
    </row>
    <row r="79" spans="1:19" s="2258" customFormat="1" ht="3" customHeight="1">
      <c r="A79" s="299"/>
      <c r="B79" s="299"/>
      <c r="D79" s="299"/>
      <c r="E79" s="2261"/>
      <c r="F79" s="2260"/>
      <c r="G79" s="2260"/>
      <c r="H79" s="2526"/>
      <c r="I79" s="2526"/>
      <c r="J79" s="2526"/>
      <c r="K79" s="2263"/>
      <c r="L79" s="2526"/>
      <c r="M79" s="2526"/>
      <c r="N79" s="2263"/>
      <c r="O79" s="2524"/>
      <c r="P79" s="2524"/>
      <c r="Q79" s="2269"/>
      <c r="R79" s="2524"/>
      <c r="S79" s="2524"/>
    </row>
    <row r="80" spans="1:19" s="294" customFormat="1" ht="11.25" customHeight="1">
      <c r="B80" s="296" t="s">
        <v>1982</v>
      </c>
      <c r="C80" s="296" t="s">
        <v>286</v>
      </c>
      <c r="H80" s="3014"/>
      <c r="I80" s="3017"/>
      <c r="J80" s="3017"/>
      <c r="K80" s="3017"/>
      <c r="L80" s="3017"/>
      <c r="M80" s="3017"/>
      <c r="N80" s="3018"/>
      <c r="O80" s="2261" t="s">
        <v>1988</v>
      </c>
      <c r="P80" s="2261"/>
      <c r="Q80" s="3014"/>
      <c r="R80" s="3017"/>
      <c r="S80" s="3018"/>
    </row>
    <row r="81" spans="2:19" s="294" customFormat="1" ht="11.25" customHeight="1">
      <c r="D81" s="333"/>
      <c r="E81" s="2258" t="s">
        <v>1020</v>
      </c>
      <c r="F81" s="306"/>
      <c r="H81" s="2854"/>
      <c r="I81" s="3026"/>
      <c r="J81" s="3026"/>
      <c r="K81" s="3027"/>
      <c r="L81" s="3026"/>
      <c r="M81" s="3026"/>
      <c r="N81" s="3028"/>
      <c r="O81" s="2261" t="s">
        <v>1746</v>
      </c>
      <c r="Q81" s="2780"/>
      <c r="R81" s="2840"/>
      <c r="S81" s="2841"/>
    </row>
    <row r="82" spans="2:19" s="294" customFormat="1" ht="11.25" customHeight="1">
      <c r="D82" s="333"/>
      <c r="E82" s="2258" t="s">
        <v>617</v>
      </c>
      <c r="H82" s="2854"/>
      <c r="I82" s="3027"/>
      <c r="J82" s="2860"/>
      <c r="K82" s="2273" t="s">
        <v>2703</v>
      </c>
      <c r="L82" s="2854"/>
      <c r="M82" s="3026"/>
      <c r="N82" s="2860"/>
      <c r="O82" s="2261" t="s">
        <v>1720</v>
      </c>
      <c r="Q82" s="2777"/>
      <c r="R82" s="2778"/>
      <c r="S82" s="2779"/>
    </row>
    <row r="83" spans="2:19" s="294" customFormat="1" ht="11.25" customHeight="1">
      <c r="E83" s="2258" t="s">
        <v>1798</v>
      </c>
      <c r="H83" s="2493"/>
      <c r="K83" s="1054" t="s">
        <v>2228</v>
      </c>
      <c r="L83" s="2904"/>
      <c r="M83" s="3029"/>
      <c r="O83" s="2261" t="s">
        <v>1978</v>
      </c>
      <c r="Q83" s="2777"/>
      <c r="R83" s="2778"/>
      <c r="S83" s="2779"/>
    </row>
    <row r="84" spans="2:19" s="294" customFormat="1" ht="11.25" customHeight="1">
      <c r="D84" s="333"/>
      <c r="E84" s="2258" t="s">
        <v>4254</v>
      </c>
      <c r="H84" s="3012"/>
      <c r="I84" s="3013"/>
      <c r="J84" s="2522"/>
      <c r="K84" s="2269" t="s">
        <v>1983</v>
      </c>
      <c r="L84" s="2774"/>
      <c r="M84" s="2775"/>
      <c r="N84" s="2869"/>
      <c r="O84" s="2869"/>
      <c r="P84" s="2869"/>
      <c r="Q84" s="2775"/>
      <c r="R84" s="2775"/>
      <c r="S84" s="2776"/>
    </row>
    <row r="85" spans="2:19" ht="6.6" customHeight="1">
      <c r="H85" s="2523"/>
      <c r="I85" s="2523"/>
      <c r="J85" s="2523"/>
      <c r="K85" s="2269"/>
      <c r="L85" s="2523"/>
      <c r="M85" s="2523"/>
      <c r="N85" s="2263"/>
      <c r="O85" s="2524"/>
      <c r="P85" s="2524"/>
      <c r="Q85" s="2269"/>
      <c r="R85" s="2524"/>
      <c r="S85" s="2524"/>
    </row>
    <row r="86" spans="2:19" s="294" customFormat="1" ht="11.25" customHeight="1">
      <c r="B86" s="296" t="s">
        <v>1984</v>
      </c>
      <c r="C86" s="296" t="s">
        <v>287</v>
      </c>
      <c r="H86" s="3014" t="s">
        <v>5170</v>
      </c>
      <c r="I86" s="3017"/>
      <c r="J86" s="3017"/>
      <c r="K86" s="3017"/>
      <c r="L86" s="3017"/>
      <c r="M86" s="3017"/>
      <c r="N86" s="3018"/>
      <c r="O86" s="2261" t="s">
        <v>1988</v>
      </c>
      <c r="P86" s="2261"/>
      <c r="Q86" s="3014" t="s">
        <v>5154</v>
      </c>
      <c r="R86" s="3017"/>
      <c r="S86" s="3018"/>
    </row>
    <row r="87" spans="2:19" s="294" customFormat="1" ht="11.25" customHeight="1">
      <c r="D87" s="333"/>
      <c r="E87" s="2258" t="s">
        <v>1020</v>
      </c>
      <c r="F87" s="306"/>
      <c r="H87" s="2854" t="s">
        <v>5155</v>
      </c>
      <c r="I87" s="3026"/>
      <c r="J87" s="3026"/>
      <c r="K87" s="3027"/>
      <c r="L87" s="3026"/>
      <c r="M87" s="3026"/>
      <c r="N87" s="3028"/>
      <c r="O87" s="2261" t="s">
        <v>1746</v>
      </c>
      <c r="Q87" s="2780" t="s">
        <v>5168</v>
      </c>
      <c r="R87" s="2840"/>
      <c r="S87" s="2841"/>
    </row>
    <row r="88" spans="2:19" s="294" customFormat="1" ht="11.25" customHeight="1">
      <c r="D88" s="333"/>
      <c r="E88" s="2258" t="s">
        <v>617</v>
      </c>
      <c r="H88" s="2854" t="s">
        <v>5139</v>
      </c>
      <c r="I88" s="3027"/>
      <c r="J88" s="2860"/>
      <c r="K88" s="2273" t="s">
        <v>2703</v>
      </c>
      <c r="L88" s="2854" t="s">
        <v>5169</v>
      </c>
      <c r="M88" s="3026"/>
      <c r="N88" s="2860"/>
      <c r="O88" s="2261" t="s">
        <v>1720</v>
      </c>
      <c r="Q88" s="2777">
        <v>2568786054</v>
      </c>
      <c r="R88" s="2778"/>
      <c r="S88" s="2779"/>
    </row>
    <row r="89" spans="2:19" s="294" customFormat="1" ht="11.25" customHeight="1">
      <c r="E89" s="2258" t="s">
        <v>1798</v>
      </c>
      <c r="H89" s="2493" t="s">
        <v>837</v>
      </c>
      <c r="K89" s="1054" t="s">
        <v>2228</v>
      </c>
      <c r="L89" s="2904">
        <v>359501832</v>
      </c>
      <c r="M89" s="3029"/>
      <c r="O89" s="2261" t="s">
        <v>1978</v>
      </c>
      <c r="Q89" s="2777"/>
      <c r="R89" s="2778"/>
      <c r="S89" s="2779"/>
    </row>
    <row r="90" spans="2:19" s="294" customFormat="1" ht="11.25" customHeight="1">
      <c r="D90" s="333"/>
      <c r="E90" s="2258" t="s">
        <v>4254</v>
      </c>
      <c r="H90" s="3012">
        <v>2568786054</v>
      </c>
      <c r="I90" s="3013"/>
      <c r="J90" s="2522"/>
      <c r="K90" s="2269" t="s">
        <v>1983</v>
      </c>
      <c r="L90" s="2774" t="s">
        <v>5160</v>
      </c>
      <c r="M90" s="2775"/>
      <c r="N90" s="2869"/>
      <c r="O90" s="2869"/>
      <c r="P90" s="2869"/>
      <c r="Q90" s="2775"/>
      <c r="R90" s="2775"/>
      <c r="S90" s="2776"/>
    </row>
    <row r="91" spans="2:19" ht="6.6" customHeight="1">
      <c r="H91" s="2523"/>
      <c r="I91" s="2523"/>
      <c r="J91" s="2523"/>
      <c r="K91" s="2269"/>
      <c r="L91" s="2523"/>
      <c r="M91" s="2523"/>
      <c r="N91" s="2263"/>
      <c r="O91" s="2524"/>
      <c r="P91" s="2524"/>
      <c r="Q91" s="2269"/>
      <c r="R91" s="2524"/>
      <c r="S91" s="2524"/>
    </row>
    <row r="92" spans="2:19" s="294" customFormat="1" ht="11.25" customHeight="1">
      <c r="B92" s="296" t="s">
        <v>748</v>
      </c>
      <c r="C92" s="296" t="s">
        <v>288</v>
      </c>
      <c r="F92" s="312"/>
      <c r="H92" s="3014" t="s">
        <v>5171</v>
      </c>
      <c r="I92" s="3017"/>
      <c r="J92" s="3017"/>
      <c r="K92" s="3017"/>
      <c r="L92" s="3017"/>
      <c r="M92" s="3017"/>
      <c r="N92" s="3018"/>
      <c r="O92" s="2261" t="s">
        <v>1988</v>
      </c>
      <c r="P92" s="2261"/>
      <c r="Q92" s="3014" t="s">
        <v>5154</v>
      </c>
      <c r="R92" s="3017"/>
      <c r="S92" s="3018"/>
    </row>
    <row r="93" spans="2:19" s="294" customFormat="1" ht="11.25" customHeight="1">
      <c r="D93" s="333"/>
      <c r="E93" s="2258" t="s">
        <v>1020</v>
      </c>
      <c r="F93" s="306"/>
      <c r="H93" s="2854" t="s">
        <v>5172</v>
      </c>
      <c r="I93" s="3026"/>
      <c r="J93" s="3026"/>
      <c r="K93" s="3027"/>
      <c r="L93" s="3026"/>
      <c r="M93" s="3026"/>
      <c r="N93" s="3028"/>
      <c r="O93" s="2261" t="s">
        <v>1746</v>
      </c>
      <c r="Q93" s="2780" t="s">
        <v>5173</v>
      </c>
      <c r="R93" s="2840"/>
      <c r="S93" s="2841"/>
    </row>
    <row r="94" spans="2:19" s="294" customFormat="1" ht="11.25" customHeight="1">
      <c r="D94" s="333"/>
      <c r="E94" s="2258" t="s">
        <v>617</v>
      </c>
      <c r="H94" s="2854" t="s">
        <v>5139</v>
      </c>
      <c r="I94" s="3027"/>
      <c r="J94" s="2860"/>
      <c r="K94" s="2273" t="s">
        <v>2703</v>
      </c>
      <c r="L94" s="2854" t="s">
        <v>5174</v>
      </c>
      <c r="M94" s="3026"/>
      <c r="N94" s="2860"/>
      <c r="O94" s="2261" t="s">
        <v>1720</v>
      </c>
      <c r="Q94" s="2777">
        <v>2568786054</v>
      </c>
      <c r="R94" s="2778"/>
      <c r="S94" s="2779"/>
    </row>
    <row r="95" spans="2:19" s="294" customFormat="1" ht="11.25" customHeight="1">
      <c r="D95" s="333"/>
      <c r="E95" s="2258" t="s">
        <v>1798</v>
      </c>
      <c r="H95" s="2493" t="s">
        <v>837</v>
      </c>
      <c r="K95" s="1054" t="s">
        <v>2228</v>
      </c>
      <c r="L95" s="2904">
        <v>359501832</v>
      </c>
      <c r="M95" s="3029"/>
      <c r="O95" s="2261" t="s">
        <v>1978</v>
      </c>
      <c r="Q95" s="2777"/>
      <c r="R95" s="2778"/>
      <c r="S95" s="2779"/>
    </row>
    <row r="96" spans="2:19" s="294" customFormat="1" ht="11.25" customHeight="1">
      <c r="D96" s="333"/>
      <c r="E96" s="2258" t="s">
        <v>4254</v>
      </c>
      <c r="H96" s="3012">
        <v>2568786054</v>
      </c>
      <c r="I96" s="3013"/>
      <c r="J96" s="2522"/>
      <c r="K96" s="2269" t="s">
        <v>1983</v>
      </c>
      <c r="L96" s="2774" t="s">
        <v>5160</v>
      </c>
      <c r="M96" s="2775"/>
      <c r="N96" s="2869"/>
      <c r="O96" s="2869"/>
      <c r="P96" s="2869"/>
      <c r="Q96" s="2775"/>
      <c r="R96" s="2775"/>
      <c r="S96" s="2776"/>
    </row>
    <row r="97" spans="2:19" ht="6.6" customHeight="1">
      <c r="H97" s="2523"/>
      <c r="I97" s="2523"/>
      <c r="J97" s="2523"/>
      <c r="K97" s="2269"/>
      <c r="L97" s="2523"/>
      <c r="M97" s="2523"/>
      <c r="N97" s="2263"/>
      <c r="O97" s="2524"/>
      <c r="P97" s="2524"/>
      <c r="Q97" s="2269"/>
      <c r="R97" s="2524"/>
      <c r="S97" s="2524"/>
    </row>
    <row r="98" spans="2:19" s="294" customFormat="1" ht="11.25" customHeight="1">
      <c r="B98" s="296" t="s">
        <v>2114</v>
      </c>
      <c r="C98" s="296" t="s">
        <v>289</v>
      </c>
      <c r="H98" s="3014" t="s">
        <v>5175</v>
      </c>
      <c r="I98" s="3017"/>
      <c r="J98" s="3017"/>
      <c r="K98" s="3017"/>
      <c r="L98" s="3017"/>
      <c r="M98" s="3017"/>
      <c r="N98" s="3018"/>
      <c r="O98" s="2261" t="s">
        <v>1988</v>
      </c>
      <c r="P98" s="2261"/>
      <c r="Q98" s="3014" t="s">
        <v>5176</v>
      </c>
      <c r="R98" s="3017"/>
      <c r="S98" s="3018"/>
    </row>
    <row r="99" spans="2:19" s="294" customFormat="1" ht="11.25" customHeight="1">
      <c r="D99" s="333"/>
      <c r="E99" s="2258" t="s">
        <v>1020</v>
      </c>
      <c r="F99" s="306"/>
      <c r="H99" s="2854" t="s">
        <v>5177</v>
      </c>
      <c r="I99" s="3026"/>
      <c r="J99" s="3026"/>
      <c r="K99" s="3027"/>
      <c r="L99" s="3026"/>
      <c r="M99" s="3026"/>
      <c r="N99" s="3028"/>
      <c r="O99" s="2261" t="s">
        <v>1746</v>
      </c>
      <c r="Q99" s="2780" t="s">
        <v>5178</v>
      </c>
      <c r="R99" s="2840"/>
      <c r="S99" s="2841"/>
    </row>
    <row r="100" spans="2:19" s="294" customFormat="1" ht="11.25" customHeight="1">
      <c r="D100" s="333"/>
      <c r="E100" s="2258" t="s">
        <v>617</v>
      </c>
      <c r="H100" s="2854" t="s">
        <v>1695</v>
      </c>
      <c r="I100" s="3027"/>
      <c r="J100" s="2860"/>
      <c r="K100" s="2273" t="s">
        <v>2703</v>
      </c>
      <c r="L100" s="2854"/>
      <c r="M100" s="3026"/>
      <c r="N100" s="2860"/>
      <c r="O100" s="2261" t="s">
        <v>1720</v>
      </c>
      <c r="Q100" s="2777">
        <v>2296718235</v>
      </c>
      <c r="R100" s="2778"/>
      <c r="S100" s="2779"/>
    </row>
    <row r="101" spans="2:19" s="294" customFormat="1" ht="11.25" customHeight="1">
      <c r="D101" s="333"/>
      <c r="E101" s="2258" t="s">
        <v>1798</v>
      </c>
      <c r="H101" s="2493" t="s">
        <v>847</v>
      </c>
      <c r="K101" s="1054" t="s">
        <v>2228</v>
      </c>
      <c r="L101" s="2904">
        <v>316015601</v>
      </c>
      <c r="M101" s="3029"/>
      <c r="O101" s="2261" t="s">
        <v>1978</v>
      </c>
      <c r="Q101" s="2777"/>
      <c r="R101" s="2778"/>
      <c r="S101" s="2779"/>
    </row>
    <row r="102" spans="2:19" ht="11.25" customHeight="1">
      <c r="E102" s="2258" t="s">
        <v>4254</v>
      </c>
      <c r="F102" s="294"/>
      <c r="G102" s="294"/>
      <c r="H102" s="3012">
        <v>2296718235</v>
      </c>
      <c r="I102" s="3013"/>
      <c r="J102" s="2522"/>
      <c r="K102" s="2269" t="s">
        <v>1983</v>
      </c>
      <c r="L102" s="2774" t="s">
        <v>5179</v>
      </c>
      <c r="M102" s="2775"/>
      <c r="N102" s="2869"/>
      <c r="O102" s="2869"/>
      <c r="P102" s="2869"/>
      <c r="Q102" s="2775"/>
      <c r="R102" s="2775"/>
      <c r="S102" s="2776"/>
    </row>
    <row r="103" spans="2:19" ht="6" customHeight="1">
      <c r="E103" s="2258"/>
      <c r="F103" s="294"/>
      <c r="G103" s="2266"/>
      <c r="H103" s="2523"/>
      <c r="I103" s="2523"/>
      <c r="J103" s="2523"/>
      <c r="K103" s="2269"/>
      <c r="L103" s="2523"/>
      <c r="M103" s="2523"/>
      <c r="N103" s="2263"/>
      <c r="O103" s="2524"/>
      <c r="P103" s="2524"/>
      <c r="Q103" s="2269"/>
      <c r="R103" s="2524"/>
      <c r="S103" s="2524"/>
    </row>
    <row r="104" spans="2:19" s="294" customFormat="1" ht="11.25" customHeight="1">
      <c r="B104" s="296" t="s">
        <v>1734</v>
      </c>
      <c r="C104" s="296" t="s">
        <v>290</v>
      </c>
      <c r="H104" s="3014" t="s">
        <v>5180</v>
      </c>
      <c r="I104" s="3017"/>
      <c r="J104" s="3017"/>
      <c r="K104" s="3017"/>
      <c r="L104" s="3017"/>
      <c r="M104" s="3017"/>
      <c r="N104" s="3018"/>
      <c r="O104" s="2261" t="s">
        <v>1988</v>
      </c>
      <c r="P104" s="2261"/>
      <c r="Q104" s="3014" t="s">
        <v>5181</v>
      </c>
      <c r="R104" s="3017"/>
      <c r="S104" s="3018"/>
    </row>
    <row r="105" spans="2:19" s="294" customFormat="1" ht="11.25" customHeight="1">
      <c r="D105" s="333"/>
      <c r="E105" s="2258" t="s">
        <v>1020</v>
      </c>
      <c r="F105" s="306"/>
      <c r="H105" s="2854" t="s">
        <v>5182</v>
      </c>
      <c r="I105" s="3026"/>
      <c r="J105" s="3026"/>
      <c r="K105" s="3027"/>
      <c r="L105" s="3026"/>
      <c r="M105" s="3026"/>
      <c r="N105" s="3028"/>
      <c r="O105" s="2261" t="s">
        <v>1746</v>
      </c>
      <c r="Q105" s="2780" t="s">
        <v>1849</v>
      </c>
      <c r="R105" s="2840"/>
      <c r="S105" s="2841"/>
    </row>
    <row r="106" spans="2:19" s="294" customFormat="1" ht="11.25" customHeight="1">
      <c r="D106" s="333"/>
      <c r="E106" s="2258" t="s">
        <v>617</v>
      </c>
      <c r="H106" s="2854" t="s">
        <v>5183</v>
      </c>
      <c r="I106" s="3027"/>
      <c r="J106" s="2860"/>
      <c r="K106" s="2273" t="s">
        <v>2703</v>
      </c>
      <c r="L106" s="2854"/>
      <c r="M106" s="3026"/>
      <c r="N106" s="2860"/>
      <c r="O106" s="2261" t="s">
        <v>1720</v>
      </c>
      <c r="Q106" s="2777">
        <v>2565433707</v>
      </c>
      <c r="R106" s="2778"/>
      <c r="S106" s="2779"/>
    </row>
    <row r="107" spans="2:19" s="294" customFormat="1" ht="11.25" customHeight="1">
      <c r="D107" s="333"/>
      <c r="E107" s="2258" t="s">
        <v>1798</v>
      </c>
      <c r="H107" s="2493" t="s">
        <v>837</v>
      </c>
      <c r="K107" s="1054" t="s">
        <v>2228</v>
      </c>
      <c r="L107" s="2904">
        <v>359063217</v>
      </c>
      <c r="M107" s="3029"/>
      <c r="O107" s="2261" t="s">
        <v>1978</v>
      </c>
      <c r="Q107" s="2777"/>
      <c r="R107" s="2778"/>
      <c r="S107" s="2779"/>
    </row>
    <row r="108" spans="2:19" ht="11.25" customHeight="1">
      <c r="E108" s="2258" t="s">
        <v>4254</v>
      </c>
      <c r="F108" s="294"/>
      <c r="G108" s="294"/>
      <c r="H108" s="3012">
        <v>2565433707</v>
      </c>
      <c r="I108" s="3013"/>
      <c r="J108" s="2522"/>
      <c r="K108" s="2269" t="s">
        <v>1983</v>
      </c>
      <c r="L108" s="2774" t="s">
        <v>5184</v>
      </c>
      <c r="M108" s="2775"/>
      <c r="N108" s="2869"/>
      <c r="O108" s="2869"/>
      <c r="P108" s="2869"/>
      <c r="Q108" s="2775"/>
      <c r="R108" s="2775"/>
      <c r="S108" s="2776"/>
    </row>
    <row r="109" spans="2:19" ht="6.6" customHeight="1">
      <c r="E109" s="2258"/>
      <c r="F109" s="294"/>
      <c r="G109" s="2266"/>
      <c r="H109" s="2523"/>
      <c r="I109" s="2523"/>
      <c r="J109" s="2523"/>
      <c r="K109" s="2269"/>
      <c r="L109" s="2523"/>
      <c r="M109" s="2523"/>
      <c r="N109" s="2263"/>
      <c r="O109" s="2524"/>
      <c r="P109" s="2524"/>
      <c r="Q109" s="2269"/>
      <c r="R109" s="2524"/>
      <c r="S109" s="2524"/>
    </row>
    <row r="110" spans="2:19" s="294" customFormat="1" ht="11.25" customHeight="1">
      <c r="B110" s="296" t="s">
        <v>1735</v>
      </c>
      <c r="C110" s="296" t="s">
        <v>291</v>
      </c>
      <c r="H110" s="3014" t="s">
        <v>5185</v>
      </c>
      <c r="I110" s="3017"/>
      <c r="J110" s="3017"/>
      <c r="K110" s="3017"/>
      <c r="L110" s="3017"/>
      <c r="M110" s="3017"/>
      <c r="N110" s="3018"/>
      <c r="O110" s="2261" t="s">
        <v>1988</v>
      </c>
      <c r="P110" s="2261"/>
      <c r="Q110" s="3014" t="s">
        <v>5186</v>
      </c>
      <c r="R110" s="3017"/>
      <c r="S110" s="3018"/>
    </row>
    <row r="111" spans="2:19" s="294" customFormat="1" ht="11.25" customHeight="1">
      <c r="D111" s="333"/>
      <c r="E111" s="2258" t="s">
        <v>1020</v>
      </c>
      <c r="F111" s="306"/>
      <c r="H111" s="2854" t="s">
        <v>5187</v>
      </c>
      <c r="I111" s="3026"/>
      <c r="J111" s="3026"/>
      <c r="K111" s="3027"/>
      <c r="L111" s="3026"/>
      <c r="M111" s="3026"/>
      <c r="N111" s="3028"/>
      <c r="O111" s="2261" t="s">
        <v>1746</v>
      </c>
      <c r="Q111" s="2780" t="s">
        <v>5188</v>
      </c>
      <c r="R111" s="2840"/>
      <c r="S111" s="2841"/>
    </row>
    <row r="112" spans="2:19" s="294" customFormat="1" ht="11.25" customHeight="1">
      <c r="D112" s="333"/>
      <c r="E112" s="2258" t="s">
        <v>617</v>
      </c>
      <c r="H112" s="2854" t="s">
        <v>184</v>
      </c>
      <c r="I112" s="3027"/>
      <c r="J112" s="2860"/>
      <c r="K112" s="2273" t="s">
        <v>2703</v>
      </c>
      <c r="L112" s="2854"/>
      <c r="M112" s="3026"/>
      <c r="N112" s="2860"/>
      <c r="O112" s="2261" t="s">
        <v>1720</v>
      </c>
      <c r="Q112" s="2777">
        <v>3342724044</v>
      </c>
      <c r="R112" s="2778"/>
      <c r="S112" s="2779"/>
    </row>
    <row r="113" spans="1:22" s="294" customFormat="1" ht="11.25" customHeight="1">
      <c r="D113" s="337"/>
      <c r="E113" s="2258" t="s">
        <v>1798</v>
      </c>
      <c r="H113" s="2493" t="s">
        <v>837</v>
      </c>
      <c r="K113" s="1054" t="s">
        <v>2228</v>
      </c>
      <c r="L113" s="2904">
        <v>361177026</v>
      </c>
      <c r="M113" s="3029"/>
      <c r="O113" s="2261" t="s">
        <v>1978</v>
      </c>
      <c r="Q113" s="2777"/>
      <c r="R113" s="2778"/>
      <c r="S113" s="2779"/>
    </row>
    <row r="114" spans="1:22" s="294" customFormat="1" ht="11.25" customHeight="1">
      <c r="D114" s="337"/>
      <c r="E114" s="2258" t="s">
        <v>4254</v>
      </c>
      <c r="H114" s="3012">
        <v>3342724044</v>
      </c>
      <c r="I114" s="3013"/>
      <c r="J114" s="2522"/>
      <c r="K114" s="2269" t="s">
        <v>1983</v>
      </c>
      <c r="L114" s="2774" t="s">
        <v>5189</v>
      </c>
      <c r="M114" s="2775"/>
      <c r="N114" s="2869"/>
      <c r="O114" s="2869"/>
      <c r="P114" s="2869"/>
      <c r="Q114" s="2775"/>
      <c r="R114" s="2775"/>
      <c r="S114" s="2776"/>
    </row>
    <row r="115" spans="1:22" ht="3" customHeight="1"/>
    <row r="116" spans="1:22" s="294" customFormat="1" ht="12" customHeight="1">
      <c r="A116" s="296" t="s">
        <v>1791</v>
      </c>
      <c r="B116" s="296" t="s">
        <v>2602</v>
      </c>
      <c r="F116" s="296"/>
      <c r="G116" s="2269"/>
      <c r="H116" s="2269"/>
      <c r="I116" s="2269"/>
      <c r="J116" s="2269"/>
      <c r="K116" s="2269"/>
      <c r="L116" s="2269"/>
      <c r="M116" s="2269"/>
      <c r="N116" s="2269"/>
      <c r="O116" s="2269"/>
      <c r="P116" s="2269"/>
      <c r="Q116" s="2273"/>
    </row>
    <row r="117" spans="1:22" s="294" customFormat="1" ht="11.25" customHeight="1">
      <c r="B117" s="296" t="s">
        <v>1982</v>
      </c>
      <c r="C117" s="296" t="s">
        <v>3575</v>
      </c>
      <c r="H117" s="3014" t="s">
        <v>5190</v>
      </c>
      <c r="I117" s="3015"/>
      <c r="J117" s="3016"/>
      <c r="K117" s="2269" t="s">
        <v>2473</v>
      </c>
      <c r="L117" s="3014" t="s">
        <v>5283</v>
      </c>
      <c r="M117" s="3017"/>
      <c r="N117" s="3018"/>
      <c r="O117" s="2258" t="s">
        <v>3576</v>
      </c>
      <c r="Q117" s="3019" t="s">
        <v>5263</v>
      </c>
      <c r="R117" s="3020"/>
      <c r="S117" s="3021"/>
    </row>
    <row r="118" spans="1:22" s="294" customFormat="1" ht="11.25" customHeight="1">
      <c r="D118" s="333"/>
      <c r="E118" s="2258" t="s">
        <v>1020</v>
      </c>
      <c r="F118" s="306"/>
      <c r="H118" s="2842" t="s">
        <v>5265</v>
      </c>
      <c r="I118" s="3022"/>
      <c r="J118" s="3023"/>
      <c r="K118" s="2843"/>
      <c r="L118" s="3022"/>
      <c r="M118" s="3022"/>
      <c r="N118" s="3024"/>
      <c r="O118" s="2258" t="s">
        <v>617</v>
      </c>
      <c r="Q118" s="3025" t="s">
        <v>1021</v>
      </c>
      <c r="R118" s="2846"/>
      <c r="S118" s="2847"/>
    </row>
    <row r="119" spans="1:22" s="294" customFormat="1" ht="11.25" customHeight="1">
      <c r="D119" s="333"/>
      <c r="E119" s="2258" t="s">
        <v>1798</v>
      </c>
      <c r="H119" s="2527" t="s">
        <v>847</v>
      </c>
      <c r="I119" s="1054" t="s">
        <v>2228</v>
      </c>
      <c r="J119" s="2859">
        <v>301204886</v>
      </c>
      <c r="K119" s="2860"/>
      <c r="L119" s="2269" t="s">
        <v>1983</v>
      </c>
      <c r="M119" s="2852" t="s">
        <v>5264</v>
      </c>
      <c r="N119" s="2869"/>
      <c r="O119" s="2869"/>
      <c r="P119" s="2869"/>
      <c r="Q119" s="2775"/>
      <c r="R119" s="2775"/>
      <c r="S119" s="2776"/>
    </row>
    <row r="120" spans="1:22" ht="12" customHeight="1">
      <c r="B120" s="296" t="s">
        <v>1984</v>
      </c>
      <c r="C120" s="296" t="s">
        <v>5009</v>
      </c>
      <c r="H120" s="2153"/>
      <c r="I120" s="2153"/>
      <c r="J120" s="2153"/>
      <c r="K120" s="2153"/>
      <c r="L120" s="2153"/>
      <c r="M120" s="2153"/>
      <c r="N120" s="2153"/>
      <c r="O120" s="2153"/>
      <c r="P120" s="2153"/>
      <c r="Q120" s="2153"/>
      <c r="R120" s="2153"/>
      <c r="S120" s="2153"/>
    </row>
    <row r="121" spans="1:22" ht="11.25" customHeight="1" thickBot="1">
      <c r="A121" s="3006" t="s">
        <v>3878</v>
      </c>
      <c r="B121" s="3006"/>
      <c r="C121" s="3006"/>
      <c r="D121" s="3006"/>
      <c r="E121" s="3007"/>
      <c r="F121" s="2528" t="s">
        <v>2509</v>
      </c>
      <c r="G121" s="3008" t="s">
        <v>3476</v>
      </c>
      <c r="H121" s="3009"/>
      <c r="I121" s="3009"/>
      <c r="J121" s="3009"/>
      <c r="K121" s="3009"/>
      <c r="L121" s="3009"/>
      <c r="M121" s="3009"/>
      <c r="N121" s="3009"/>
      <c r="O121" s="3009"/>
      <c r="P121" s="3009"/>
      <c r="Q121" s="3009"/>
      <c r="R121" s="3009"/>
      <c r="S121" s="3010"/>
    </row>
    <row r="122" spans="1:22" s="294" customFormat="1" ht="25.5" customHeight="1" thickBot="1">
      <c r="B122" s="497"/>
      <c r="C122" s="1091" t="s">
        <v>1985</v>
      </c>
      <c r="D122" s="2977" t="s">
        <v>2835</v>
      </c>
      <c r="E122" s="2977"/>
      <c r="F122" s="2529" t="s">
        <v>2988</v>
      </c>
      <c r="G122" s="3011" t="s">
        <v>5192</v>
      </c>
      <c r="H122" s="2971"/>
      <c r="I122" s="2971"/>
      <c r="J122" s="2971"/>
      <c r="K122" s="2971"/>
      <c r="L122" s="2971"/>
      <c r="M122" s="2971"/>
      <c r="N122" s="2971"/>
      <c r="O122" s="2971"/>
      <c r="P122" s="2971"/>
      <c r="Q122" s="2971"/>
      <c r="R122" s="2971"/>
      <c r="S122" s="2973"/>
      <c r="U122" s="3030" t="s">
        <v>2030</v>
      </c>
      <c r="V122" s="3030"/>
    </row>
    <row r="123" spans="1:22" s="294" customFormat="1" ht="25.5" customHeight="1" thickBot="1">
      <c r="B123" s="497"/>
      <c r="C123" s="606" t="s">
        <v>1987</v>
      </c>
      <c r="D123" s="2795" t="s">
        <v>2900</v>
      </c>
      <c r="E123" s="2766"/>
      <c r="F123" s="2529" t="s">
        <v>2991</v>
      </c>
      <c r="G123" s="2951"/>
      <c r="H123" s="2951"/>
      <c r="I123" s="2951"/>
      <c r="J123" s="2951"/>
      <c r="K123" s="2951"/>
      <c r="L123" s="2951"/>
      <c r="M123" s="2951"/>
      <c r="N123" s="2951"/>
      <c r="O123" s="2951"/>
      <c r="P123" s="2951"/>
      <c r="Q123" s="2951"/>
      <c r="R123" s="2951"/>
      <c r="S123" s="2953"/>
      <c r="U123" s="3030"/>
      <c r="V123" s="3030"/>
    </row>
    <row r="124" spans="1:22" s="294" customFormat="1" ht="25.5" customHeight="1" thickBot="1">
      <c r="B124" s="497"/>
      <c r="C124" s="606" t="s">
        <v>2533</v>
      </c>
      <c r="D124" s="2795" t="s">
        <v>2876</v>
      </c>
      <c r="E124" s="2766"/>
      <c r="F124" s="2529" t="s">
        <v>2988</v>
      </c>
      <c r="G124" s="2951" t="s">
        <v>5193</v>
      </c>
      <c r="H124" s="2951"/>
      <c r="I124" s="2951"/>
      <c r="J124" s="2951"/>
      <c r="K124" s="2951"/>
      <c r="L124" s="2951"/>
      <c r="M124" s="2951"/>
      <c r="N124" s="2951"/>
      <c r="O124" s="2951"/>
      <c r="P124" s="2951"/>
      <c r="Q124" s="2951"/>
      <c r="R124" s="2951"/>
      <c r="S124" s="2953"/>
      <c r="U124" s="3030"/>
      <c r="V124" s="3030"/>
    </row>
    <row r="125" spans="1:22" s="294" customFormat="1" ht="25.5" customHeight="1" thickBot="1">
      <c r="B125" s="497"/>
      <c r="C125" s="606" t="s">
        <v>1223</v>
      </c>
      <c r="D125" s="2795" t="s">
        <v>2836</v>
      </c>
      <c r="E125" s="2766"/>
      <c r="F125" s="2529" t="s">
        <v>2991</v>
      </c>
      <c r="G125" s="2951"/>
      <c r="H125" s="2951"/>
      <c r="I125" s="2951"/>
      <c r="J125" s="2951"/>
      <c r="K125" s="2951"/>
      <c r="L125" s="2951"/>
      <c r="M125" s="2951"/>
      <c r="N125" s="2951"/>
      <c r="O125" s="2951"/>
      <c r="P125" s="2951"/>
      <c r="Q125" s="2951"/>
      <c r="R125" s="2951"/>
      <c r="S125" s="2953"/>
      <c r="U125" s="3030"/>
      <c r="V125" s="3030"/>
    </row>
    <row r="126" spans="1:22" s="294" customFormat="1" ht="25.5" customHeight="1" thickBot="1">
      <c r="B126" s="497"/>
      <c r="C126" s="606" t="s">
        <v>1224</v>
      </c>
      <c r="D126" s="2795" t="s">
        <v>3464</v>
      </c>
      <c r="E126" s="2766"/>
      <c r="F126" s="2529" t="s">
        <v>2991</v>
      </c>
      <c r="G126" s="2951"/>
      <c r="H126" s="2951"/>
      <c r="I126" s="2951"/>
      <c r="J126" s="2951"/>
      <c r="K126" s="2951"/>
      <c r="L126" s="2951"/>
      <c r="M126" s="2951"/>
      <c r="N126" s="2951"/>
      <c r="O126" s="2951"/>
      <c r="P126" s="2951"/>
      <c r="Q126" s="2951"/>
      <c r="R126" s="2951"/>
      <c r="S126" s="2953"/>
      <c r="U126" s="3030"/>
      <c r="V126" s="3030"/>
    </row>
    <row r="127" spans="1:22" s="294" customFormat="1" ht="25.5" customHeight="1" thickBot="1">
      <c r="B127" s="497"/>
      <c r="C127" s="606" t="s">
        <v>1880</v>
      </c>
      <c r="D127" s="2795" t="s">
        <v>3465</v>
      </c>
      <c r="E127" s="2766"/>
      <c r="F127" s="2529" t="s">
        <v>2991</v>
      </c>
      <c r="G127" s="2951"/>
      <c r="H127" s="2951"/>
      <c r="I127" s="2951"/>
      <c r="J127" s="2951"/>
      <c r="K127" s="2951"/>
      <c r="L127" s="2951"/>
      <c r="M127" s="2951"/>
      <c r="N127" s="2951"/>
      <c r="O127" s="2951"/>
      <c r="P127" s="2951"/>
      <c r="Q127" s="2951"/>
      <c r="R127" s="2951"/>
      <c r="S127" s="2953"/>
      <c r="U127" s="3030"/>
      <c r="V127" s="3030"/>
    </row>
    <row r="128" spans="1:22" s="294" customFormat="1" ht="25.5" customHeight="1" thickBot="1">
      <c r="B128" s="497"/>
      <c r="C128" s="606" t="s">
        <v>502</v>
      </c>
      <c r="D128" s="2795" t="s">
        <v>2837</v>
      </c>
      <c r="E128" s="2766"/>
      <c r="F128" s="2529" t="s">
        <v>2991</v>
      </c>
      <c r="G128" s="2951"/>
      <c r="H128" s="2951"/>
      <c r="I128" s="2951"/>
      <c r="J128" s="2951"/>
      <c r="K128" s="2951"/>
      <c r="L128" s="2951"/>
      <c r="M128" s="2951"/>
      <c r="N128" s="2951"/>
      <c r="O128" s="2951"/>
      <c r="P128" s="2951"/>
      <c r="Q128" s="2951"/>
      <c r="R128" s="2951"/>
      <c r="S128" s="2953"/>
    </row>
    <row r="129" spans="1:22" s="294" customFormat="1" ht="25.5" customHeight="1" thickBot="1">
      <c r="B129" s="497"/>
      <c r="C129" s="606" t="s">
        <v>503</v>
      </c>
      <c r="D129" s="2795" t="s">
        <v>5030</v>
      </c>
      <c r="E129" s="2766"/>
      <c r="F129" s="2529" t="s">
        <v>2991</v>
      </c>
      <c r="G129" s="2951"/>
      <c r="H129" s="2951"/>
      <c r="I129" s="2951"/>
      <c r="J129" s="2951"/>
      <c r="K129" s="2951"/>
      <c r="L129" s="2951"/>
      <c r="M129" s="2951"/>
      <c r="N129" s="2951"/>
      <c r="O129" s="2951"/>
      <c r="P129" s="2951"/>
      <c r="Q129" s="2951"/>
      <c r="R129" s="2951"/>
      <c r="S129" s="2953"/>
    </row>
    <row r="130" spans="1:22" s="294" customFormat="1" ht="25.5" customHeight="1" thickBot="1">
      <c r="B130" s="497"/>
      <c r="C130" s="606" t="s">
        <v>5029</v>
      </c>
      <c r="D130" s="2974" t="s">
        <v>5191</v>
      </c>
      <c r="E130" s="2975"/>
      <c r="F130" s="2529" t="s">
        <v>2988</v>
      </c>
      <c r="G130" s="2958" t="s">
        <v>5194</v>
      </c>
      <c r="H130" s="2958"/>
      <c r="I130" s="2958"/>
      <c r="J130" s="2958"/>
      <c r="K130" s="2958"/>
      <c r="L130" s="2958"/>
      <c r="M130" s="2958"/>
      <c r="N130" s="2958"/>
      <c r="O130" s="2958"/>
      <c r="P130" s="2958"/>
      <c r="Q130" s="2958"/>
      <c r="R130" s="2958"/>
      <c r="S130" s="2960"/>
    </row>
    <row r="131" spans="1:22" s="294" customFormat="1" ht="13.2" customHeight="1">
      <c r="A131" s="296" t="s">
        <v>1793</v>
      </c>
      <c r="B131" s="296" t="s">
        <v>2845</v>
      </c>
      <c r="F131" s="296"/>
      <c r="G131" s="2269"/>
      <c r="H131" s="2269"/>
      <c r="I131" s="2269"/>
      <c r="J131" s="2269"/>
      <c r="K131" s="2269"/>
      <c r="L131" s="2269"/>
      <c r="M131" s="2269"/>
      <c r="N131" s="2269"/>
      <c r="O131" s="2269"/>
      <c r="P131" s="2269"/>
      <c r="Q131" s="2273"/>
    </row>
    <row r="132" spans="1:22" s="294" customFormat="1" ht="2.25" customHeight="1">
      <c r="A132" s="296"/>
      <c r="B132" s="296"/>
      <c r="F132" s="296"/>
      <c r="G132" s="2269"/>
      <c r="H132" s="2269"/>
      <c r="I132" s="2269"/>
      <c r="J132" s="2269"/>
      <c r="K132" s="2269"/>
      <c r="L132" s="2269"/>
      <c r="M132" s="2269"/>
      <c r="N132" s="2269"/>
      <c r="O132" s="2269"/>
      <c r="P132" s="2269"/>
      <c r="Q132" s="2273"/>
    </row>
    <row r="133" spans="1:22" ht="13.2" customHeight="1">
      <c r="B133" s="296" t="s">
        <v>748</v>
      </c>
      <c r="C133" s="296" t="s">
        <v>5010</v>
      </c>
    </row>
    <row r="134" spans="1:22" s="294" customFormat="1" ht="13.5" customHeight="1">
      <c r="A134" s="2976" t="s">
        <v>639</v>
      </c>
      <c r="B134" s="2977"/>
      <c r="C134" s="2977"/>
      <c r="D134" s="2977"/>
      <c r="E134" s="2981" t="s">
        <v>3446</v>
      </c>
      <c r="F134" s="2982"/>
      <c r="G134" s="2982"/>
      <c r="H134" s="2982"/>
      <c r="I134" s="2983"/>
      <c r="J134" s="2987" t="s">
        <v>3447</v>
      </c>
      <c r="K134" s="2990" t="s">
        <v>2906</v>
      </c>
      <c r="L134" s="2990" t="s">
        <v>2907</v>
      </c>
      <c r="M134" s="2993" t="s">
        <v>3456</v>
      </c>
      <c r="N134" s="2994"/>
      <c r="O134" s="2994"/>
      <c r="P134" s="2994"/>
      <c r="Q134" s="2994"/>
      <c r="R134" s="2994"/>
      <c r="S134" s="2995"/>
    </row>
    <row r="135" spans="1:22" s="294" customFormat="1" ht="13.5" customHeight="1">
      <c r="A135" s="2978"/>
      <c r="B135" s="2766"/>
      <c r="C135" s="2766"/>
      <c r="D135" s="2766"/>
      <c r="E135" s="2984"/>
      <c r="F135" s="2985"/>
      <c r="G135" s="2985"/>
      <c r="H135" s="2985"/>
      <c r="I135" s="2986"/>
      <c r="J135" s="2988"/>
      <c r="K135" s="2991"/>
      <c r="L135" s="2991"/>
      <c r="M135" s="2996"/>
      <c r="N135" s="2997"/>
      <c r="O135" s="2997"/>
      <c r="P135" s="2997"/>
      <c r="Q135" s="2997"/>
      <c r="R135" s="2997"/>
      <c r="S135" s="2998"/>
    </row>
    <row r="136" spans="1:22" s="294" customFormat="1" ht="13.5" customHeight="1">
      <c r="A136" s="2978"/>
      <c r="B136" s="2766"/>
      <c r="C136" s="2766"/>
      <c r="D136" s="2766"/>
      <c r="E136" s="2984"/>
      <c r="F136" s="2985"/>
      <c r="G136" s="2985"/>
      <c r="H136" s="2985"/>
      <c r="I136" s="2986"/>
      <c r="J136" s="2988"/>
      <c r="K136" s="2991"/>
      <c r="L136" s="2991"/>
      <c r="M136" s="2996"/>
      <c r="N136" s="2997"/>
      <c r="O136" s="2997"/>
      <c r="P136" s="2997"/>
      <c r="Q136" s="2997"/>
      <c r="R136" s="2997"/>
      <c r="S136" s="2998"/>
    </row>
    <row r="137" spans="1:22" s="294" customFormat="1" ht="23.25" customHeight="1">
      <c r="A137" s="2978"/>
      <c r="B137" s="2766"/>
      <c r="C137" s="2766"/>
      <c r="D137" s="2766"/>
      <c r="E137" s="2999" t="s">
        <v>3716</v>
      </c>
      <c r="F137" s="3000"/>
      <c r="G137" s="3000"/>
      <c r="H137" s="3001"/>
      <c r="I137" s="607"/>
      <c r="J137" s="2988"/>
      <c r="K137" s="2991"/>
      <c r="L137" s="2991"/>
      <c r="M137" s="2996"/>
      <c r="N137" s="2997"/>
      <c r="O137" s="2997"/>
      <c r="P137" s="2997"/>
      <c r="Q137" s="2997"/>
      <c r="R137" s="2997"/>
      <c r="S137" s="2998"/>
    </row>
    <row r="138" spans="1:22" s="294" customFormat="1" ht="13.5" customHeight="1">
      <c r="A138" s="2979"/>
      <c r="B138" s="2980"/>
      <c r="C138" s="2980"/>
      <c r="D138" s="2980"/>
      <c r="E138" s="3002"/>
      <c r="F138" s="3003"/>
      <c r="G138" s="3003"/>
      <c r="H138" s="3004"/>
      <c r="I138" s="2157" t="s">
        <v>2509</v>
      </c>
      <c r="J138" s="2989"/>
      <c r="K138" s="2992"/>
      <c r="L138" s="2991"/>
      <c r="M138" s="2158" t="s">
        <v>2509</v>
      </c>
      <c r="N138" s="2945" t="s">
        <v>2905</v>
      </c>
      <c r="O138" s="2945"/>
      <c r="P138" s="2945"/>
      <c r="Q138" s="2945"/>
      <c r="R138" s="2945"/>
      <c r="S138" s="3005"/>
    </row>
    <row r="139" spans="1:22" s="294" customFormat="1" ht="24" customHeight="1">
      <c r="A139" s="2967" t="s">
        <v>3441</v>
      </c>
      <c r="B139" s="2968"/>
      <c r="C139" s="2968"/>
      <c r="D139" s="2969"/>
      <c r="E139" s="2970"/>
      <c r="F139" s="2971"/>
      <c r="G139" s="2971"/>
      <c r="H139" s="2971"/>
      <c r="I139" s="2530" t="s">
        <v>2991</v>
      </c>
      <c r="J139" s="2531" t="s">
        <v>2991</v>
      </c>
      <c r="K139" s="2532" t="s">
        <v>5158</v>
      </c>
      <c r="L139" s="2533">
        <v>1E-4</v>
      </c>
      <c r="M139" s="2534" t="s">
        <v>2988</v>
      </c>
      <c r="N139" s="2972" t="s">
        <v>5195</v>
      </c>
      <c r="O139" s="2971"/>
      <c r="P139" s="2971"/>
      <c r="Q139" s="2971"/>
      <c r="R139" s="2971"/>
      <c r="S139" s="2973"/>
    </row>
    <row r="140" spans="1:22" s="294" customFormat="1" ht="24" customHeight="1">
      <c r="A140" s="2947" t="s">
        <v>3442</v>
      </c>
      <c r="B140" s="2948"/>
      <c r="C140" s="2948"/>
      <c r="D140" s="2949"/>
      <c r="E140" s="2950"/>
      <c r="F140" s="2951"/>
      <c r="G140" s="2951"/>
      <c r="H140" s="2951"/>
      <c r="I140" s="2535" t="s">
        <v>4940</v>
      </c>
      <c r="J140" s="2536" t="s">
        <v>4940</v>
      </c>
      <c r="K140" s="2537"/>
      <c r="L140" s="2538"/>
      <c r="M140" s="2539" t="s">
        <v>4940</v>
      </c>
      <c r="N140" s="2952"/>
      <c r="O140" s="2951"/>
      <c r="P140" s="2951"/>
      <c r="Q140" s="2951"/>
      <c r="R140" s="2951"/>
      <c r="S140" s="2953"/>
      <c r="U140" s="3030" t="s">
        <v>2030</v>
      </c>
      <c r="V140" s="3030"/>
    </row>
    <row r="141" spans="1:22" s="294" customFormat="1" ht="24" customHeight="1">
      <c r="A141" s="2947" t="s">
        <v>3443</v>
      </c>
      <c r="B141" s="2948"/>
      <c r="C141" s="2948"/>
      <c r="D141" s="2949"/>
      <c r="E141" s="2950"/>
      <c r="F141" s="2951"/>
      <c r="G141" s="2951"/>
      <c r="H141" s="2951"/>
      <c r="I141" s="2535" t="s">
        <v>4940</v>
      </c>
      <c r="J141" s="2536" t="s">
        <v>4940</v>
      </c>
      <c r="K141" s="2537"/>
      <c r="L141" s="2538"/>
      <c r="M141" s="2539" t="s">
        <v>4940</v>
      </c>
      <c r="N141" s="2952"/>
      <c r="O141" s="2951"/>
      <c r="P141" s="2951"/>
      <c r="Q141" s="2951"/>
      <c r="R141" s="2951"/>
      <c r="S141" s="2953"/>
      <c r="U141" s="3030"/>
      <c r="V141" s="3030"/>
    </row>
    <row r="142" spans="1:22" s="294" customFormat="1" ht="24" customHeight="1">
      <c r="A142" s="2947" t="s">
        <v>3444</v>
      </c>
      <c r="B142" s="2948"/>
      <c r="C142" s="2948"/>
      <c r="D142" s="2949"/>
      <c r="E142" s="2950"/>
      <c r="F142" s="2951"/>
      <c r="G142" s="2951"/>
      <c r="H142" s="2951"/>
      <c r="I142" s="2535" t="s">
        <v>2991</v>
      </c>
      <c r="J142" s="2536" t="s">
        <v>2991</v>
      </c>
      <c r="K142" s="2537" t="s">
        <v>5158</v>
      </c>
      <c r="L142" s="2538">
        <v>0.9899</v>
      </c>
      <c r="M142" s="2539" t="s">
        <v>2991</v>
      </c>
      <c r="N142" s="2952"/>
      <c r="O142" s="2951"/>
      <c r="P142" s="2951"/>
      <c r="Q142" s="2951"/>
      <c r="R142" s="2951"/>
      <c r="S142" s="2953"/>
      <c r="U142" s="3030"/>
      <c r="V142" s="3030"/>
    </row>
    <row r="143" spans="1:22" s="294" customFormat="1" ht="24" customHeight="1">
      <c r="A143" s="2947" t="s">
        <v>3445</v>
      </c>
      <c r="B143" s="2948"/>
      <c r="C143" s="2948"/>
      <c r="D143" s="2949"/>
      <c r="E143" s="2950"/>
      <c r="F143" s="2951"/>
      <c r="G143" s="2951"/>
      <c r="H143" s="2951"/>
      <c r="I143" s="2535" t="s">
        <v>2991</v>
      </c>
      <c r="J143" s="2536" t="s">
        <v>2991</v>
      </c>
      <c r="K143" s="2537" t="s">
        <v>5158</v>
      </c>
      <c r="L143" s="2538">
        <v>0.01</v>
      </c>
      <c r="M143" s="2539" t="s">
        <v>2991</v>
      </c>
      <c r="N143" s="2952"/>
      <c r="O143" s="2951"/>
      <c r="P143" s="2951"/>
      <c r="Q143" s="2951"/>
      <c r="R143" s="2951"/>
      <c r="S143" s="2953"/>
      <c r="U143" s="3030"/>
      <c r="V143" s="3030"/>
    </row>
    <row r="144" spans="1:22" s="294" customFormat="1" ht="24" customHeight="1">
      <c r="A144" s="2947" t="s">
        <v>2893</v>
      </c>
      <c r="B144" s="2948"/>
      <c r="C144" s="2948"/>
      <c r="D144" s="2949"/>
      <c r="E144" s="2950"/>
      <c r="F144" s="2951"/>
      <c r="G144" s="2951"/>
      <c r="H144" s="2951"/>
      <c r="I144" s="2535" t="s">
        <v>4940</v>
      </c>
      <c r="J144" s="2536" t="s">
        <v>4940</v>
      </c>
      <c r="K144" s="2537"/>
      <c r="L144" s="2538"/>
      <c r="M144" s="2539" t="s">
        <v>4940</v>
      </c>
      <c r="N144" s="2952"/>
      <c r="O144" s="2951"/>
      <c r="P144" s="2951"/>
      <c r="Q144" s="2951"/>
      <c r="R144" s="2951"/>
      <c r="S144" s="2953"/>
      <c r="U144" s="3030"/>
      <c r="V144" s="3030"/>
    </row>
    <row r="145" spans="1:24" s="294" customFormat="1" ht="24" customHeight="1">
      <c r="A145" s="2947" t="s">
        <v>652</v>
      </c>
      <c r="B145" s="2948"/>
      <c r="C145" s="2948"/>
      <c r="D145" s="2949"/>
      <c r="E145" s="2950"/>
      <c r="F145" s="2951"/>
      <c r="G145" s="2951"/>
      <c r="H145" s="2951"/>
      <c r="I145" s="2535" t="s">
        <v>2991</v>
      </c>
      <c r="J145" s="2536" t="s">
        <v>2991</v>
      </c>
      <c r="K145" s="2537" t="s">
        <v>5158</v>
      </c>
      <c r="L145" s="2538"/>
      <c r="M145" s="2539" t="s">
        <v>2988</v>
      </c>
      <c r="N145" s="2952" t="s">
        <v>5195</v>
      </c>
      <c r="O145" s="2951"/>
      <c r="P145" s="2951"/>
      <c r="Q145" s="2951"/>
      <c r="R145" s="2951"/>
      <c r="S145" s="2953"/>
      <c r="U145" s="3030"/>
      <c r="V145" s="3030"/>
    </row>
    <row r="146" spans="1:24" s="294" customFormat="1" ht="24" customHeight="1">
      <c r="A146" s="2947" t="s">
        <v>2894</v>
      </c>
      <c r="B146" s="2948"/>
      <c r="C146" s="2948"/>
      <c r="D146" s="2949"/>
      <c r="E146" s="2950"/>
      <c r="F146" s="2951"/>
      <c r="G146" s="2951"/>
      <c r="H146" s="2951"/>
      <c r="I146" s="2535" t="s">
        <v>4940</v>
      </c>
      <c r="J146" s="2536" t="s">
        <v>4940</v>
      </c>
      <c r="K146" s="2537"/>
      <c r="L146" s="2538"/>
      <c r="M146" s="2539" t="s">
        <v>4940</v>
      </c>
      <c r="N146" s="2952"/>
      <c r="O146" s="2951"/>
      <c r="P146" s="2951"/>
      <c r="Q146" s="2951"/>
      <c r="R146" s="2951"/>
      <c r="S146" s="2953"/>
    </row>
    <row r="147" spans="1:24" s="294" customFormat="1" ht="24" customHeight="1">
      <c r="A147" s="2947" t="s">
        <v>2895</v>
      </c>
      <c r="B147" s="2948"/>
      <c r="C147" s="2948"/>
      <c r="D147" s="2949"/>
      <c r="E147" s="2950"/>
      <c r="F147" s="2951"/>
      <c r="G147" s="2951"/>
      <c r="H147" s="2951"/>
      <c r="I147" s="2535" t="s">
        <v>4940</v>
      </c>
      <c r="J147" s="2536" t="s">
        <v>4940</v>
      </c>
      <c r="K147" s="2537"/>
      <c r="L147" s="2538"/>
      <c r="M147" s="2539" t="s">
        <v>4940</v>
      </c>
      <c r="N147" s="2952"/>
      <c r="O147" s="2951"/>
      <c r="P147" s="2951"/>
      <c r="Q147" s="2951"/>
      <c r="R147" s="2951"/>
      <c r="S147" s="2953"/>
    </row>
    <row r="148" spans="1:24" s="294" customFormat="1" ht="24" customHeight="1">
      <c r="A148" s="2947" t="s">
        <v>2897</v>
      </c>
      <c r="B148" s="2948"/>
      <c r="C148" s="2948"/>
      <c r="D148" s="2949"/>
      <c r="E148" s="2950"/>
      <c r="F148" s="2951"/>
      <c r="G148" s="2951"/>
      <c r="H148" s="2951"/>
      <c r="I148" s="2535" t="s">
        <v>4940</v>
      </c>
      <c r="J148" s="2536" t="s">
        <v>4940</v>
      </c>
      <c r="K148" s="2537"/>
      <c r="L148" s="2538"/>
      <c r="M148" s="2539" t="s">
        <v>4940</v>
      </c>
      <c r="N148" s="2952"/>
      <c r="O148" s="2951"/>
      <c r="P148" s="2951"/>
      <c r="Q148" s="2951"/>
      <c r="R148" s="2951"/>
      <c r="S148" s="2953"/>
    </row>
    <row r="149" spans="1:24" s="294" customFormat="1" ht="24" customHeight="1">
      <c r="A149" s="2947" t="s">
        <v>2896</v>
      </c>
      <c r="B149" s="2948"/>
      <c r="C149" s="2948"/>
      <c r="D149" s="2949"/>
      <c r="E149" s="2950"/>
      <c r="F149" s="2951"/>
      <c r="G149" s="2951"/>
      <c r="H149" s="2951"/>
      <c r="I149" s="2535" t="s">
        <v>4940</v>
      </c>
      <c r="J149" s="2536" t="s">
        <v>4940</v>
      </c>
      <c r="K149" s="2537"/>
      <c r="L149" s="2538"/>
      <c r="M149" s="2539" t="s">
        <v>4940</v>
      </c>
      <c r="N149" s="2952"/>
      <c r="O149" s="2951"/>
      <c r="P149" s="2951"/>
      <c r="Q149" s="2951"/>
      <c r="R149" s="2951"/>
      <c r="S149" s="2953"/>
    </row>
    <row r="150" spans="1:24" s="294" customFormat="1" ht="24" customHeight="1">
      <c r="A150" s="2947" t="s">
        <v>1528</v>
      </c>
      <c r="B150" s="2948"/>
      <c r="C150" s="2948"/>
      <c r="D150" s="2949"/>
      <c r="E150" s="2950"/>
      <c r="F150" s="2951"/>
      <c r="G150" s="2951"/>
      <c r="H150" s="2951"/>
      <c r="I150" s="2535" t="s">
        <v>2991</v>
      </c>
      <c r="J150" s="2536" t="s">
        <v>2991</v>
      </c>
      <c r="K150" s="2537" t="s">
        <v>5158</v>
      </c>
      <c r="L150" s="2538"/>
      <c r="M150" s="2539" t="s">
        <v>2988</v>
      </c>
      <c r="N150" s="2952" t="s">
        <v>5195</v>
      </c>
      <c r="O150" s="2951"/>
      <c r="P150" s="2951"/>
      <c r="Q150" s="2951"/>
      <c r="R150" s="2951"/>
      <c r="S150" s="2953"/>
    </row>
    <row r="151" spans="1:24" s="294" customFormat="1" ht="24" customHeight="1">
      <c r="A151" s="2954" t="s">
        <v>2898</v>
      </c>
      <c r="B151" s="2955"/>
      <c r="C151" s="2955"/>
      <c r="D151" s="2956"/>
      <c r="E151" s="2957"/>
      <c r="F151" s="2958"/>
      <c r="G151" s="2958"/>
      <c r="H151" s="2958"/>
      <c r="I151" s="2540" t="s">
        <v>2991</v>
      </c>
      <c r="J151" s="2541" t="s">
        <v>2991</v>
      </c>
      <c r="K151" s="2542" t="s">
        <v>5158</v>
      </c>
      <c r="L151" s="2543"/>
      <c r="M151" s="2544" t="s">
        <v>2988</v>
      </c>
      <c r="N151" s="2959" t="s">
        <v>5195</v>
      </c>
      <c r="O151" s="2958"/>
      <c r="P151" s="2958"/>
      <c r="Q151" s="2958"/>
      <c r="R151" s="2958"/>
      <c r="S151" s="2960"/>
    </row>
    <row r="152" spans="1:24" s="2266" customFormat="1" ht="12" customHeight="1">
      <c r="G152" s="304"/>
      <c r="H152" s="304"/>
      <c r="I152" s="304"/>
      <c r="J152" s="2269"/>
      <c r="K152" s="319" t="s">
        <v>538</v>
      </c>
      <c r="L152" s="545">
        <f>SUM(L139:S151)</f>
        <v>1</v>
      </c>
      <c r="M152" s="2269"/>
      <c r="P152" s="302"/>
    </row>
    <row r="153" spans="1:24" ht="11.25" customHeight="1">
      <c r="A153" s="321" t="s">
        <v>529</v>
      </c>
      <c r="B153" s="332"/>
      <c r="C153" s="321" t="s">
        <v>571</v>
      </c>
      <c r="N153" s="321" t="s">
        <v>529</v>
      </c>
      <c r="O153" s="321" t="s">
        <v>79</v>
      </c>
    </row>
    <row r="154" spans="1:24" ht="60" customHeight="1">
      <c r="A154" s="2961"/>
      <c r="B154" s="2962"/>
      <c r="C154" s="2962"/>
      <c r="D154" s="2962"/>
      <c r="E154" s="2962"/>
      <c r="F154" s="2962"/>
      <c r="G154" s="2962"/>
      <c r="H154" s="2962"/>
      <c r="I154" s="2962"/>
      <c r="J154" s="2962"/>
      <c r="K154" s="2962"/>
      <c r="L154" s="2962"/>
      <c r="M154" s="2963"/>
      <c r="N154" s="2964"/>
      <c r="O154" s="2965"/>
      <c r="P154" s="2965"/>
      <c r="Q154" s="2965"/>
      <c r="R154" s="2965"/>
      <c r="S154" s="2966"/>
      <c r="T154" s="2765" t="s">
        <v>2692</v>
      </c>
      <c r="U154" s="2765"/>
      <c r="V154" s="2765"/>
      <c r="W154" s="2765"/>
      <c r="X154" s="2765"/>
    </row>
    <row r="155" spans="1:24" s="294" customFormat="1" ht="12" customHeight="1">
      <c r="A155" s="299"/>
      <c r="B155" s="312"/>
      <c r="C155" s="312"/>
      <c r="D155" s="312"/>
      <c r="E155" s="312"/>
      <c r="F155" s="312"/>
      <c r="G155" s="312"/>
      <c r="H155" s="312"/>
      <c r="I155" s="312"/>
      <c r="J155" s="312"/>
      <c r="K155" s="312"/>
      <c r="L155" s="312"/>
      <c r="M155" s="312"/>
      <c r="N155" s="312"/>
      <c r="O155" s="312"/>
      <c r="T155" s="2765"/>
      <c r="U155" s="2765"/>
      <c r="V155" s="2765"/>
      <c r="W155" s="2765"/>
      <c r="X155" s="2765"/>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45" t="s">
        <v>1798</v>
      </c>
    </row>
    <row r="160" spans="1:24" s="294" customFormat="1" ht="12" customHeight="1">
      <c r="A160" s="333"/>
      <c r="B160" s="312"/>
      <c r="C160" s="312"/>
      <c r="D160" s="312"/>
      <c r="E160" s="312"/>
      <c r="F160" s="312"/>
      <c r="G160" s="312"/>
      <c r="H160" s="312"/>
      <c r="I160" s="312"/>
      <c r="J160" s="312"/>
      <c r="K160" s="312"/>
      <c r="L160" s="312"/>
      <c r="M160" s="312"/>
      <c r="N160" s="312"/>
      <c r="O160" s="312"/>
      <c r="P160" s="2546" t="s">
        <v>837</v>
      </c>
    </row>
    <row r="161" spans="1:16" s="294" customFormat="1" ht="12" customHeight="1">
      <c r="A161" s="333"/>
      <c r="B161" s="312"/>
      <c r="C161" s="312"/>
      <c r="D161" s="312"/>
      <c r="E161" s="312"/>
      <c r="F161" s="312"/>
      <c r="G161" s="312"/>
      <c r="H161" s="312"/>
      <c r="I161" s="312"/>
      <c r="J161" s="312"/>
      <c r="K161" s="312"/>
      <c r="L161" s="312"/>
      <c r="M161" s="312"/>
      <c r="N161" s="312"/>
      <c r="O161" s="312"/>
      <c r="P161" s="2546" t="s">
        <v>838</v>
      </c>
    </row>
    <row r="162" spans="1:16" s="294" customFormat="1" ht="12" customHeight="1">
      <c r="A162" s="333"/>
      <c r="B162" s="312"/>
      <c r="C162" s="312"/>
      <c r="D162" s="312"/>
      <c r="E162" s="312"/>
      <c r="F162" s="312"/>
      <c r="G162" s="312"/>
      <c r="H162" s="312"/>
      <c r="I162" s="312"/>
      <c r="J162" s="312"/>
      <c r="K162" s="312"/>
      <c r="L162" s="312"/>
      <c r="M162" s="312"/>
      <c r="N162" s="312"/>
      <c r="O162" s="312"/>
      <c r="P162" s="2546" t="s">
        <v>839</v>
      </c>
    </row>
    <row r="163" spans="1:16" s="294" customFormat="1" ht="12" customHeight="1">
      <c r="A163" s="480"/>
      <c r="B163" s="312"/>
      <c r="C163" s="312"/>
      <c r="D163" s="312"/>
      <c r="E163" s="312"/>
      <c r="F163" s="312"/>
      <c r="G163" s="312"/>
      <c r="H163" s="312"/>
      <c r="I163" s="312"/>
      <c r="J163" s="312"/>
      <c r="K163" s="312"/>
      <c r="L163" s="312"/>
      <c r="M163" s="312"/>
      <c r="N163" s="312"/>
      <c r="O163" s="312"/>
      <c r="P163" s="2546" t="s">
        <v>840</v>
      </c>
    </row>
    <row r="164" spans="1:16" s="294" customFormat="1" ht="12" customHeight="1">
      <c r="B164" s="312"/>
      <c r="C164" s="312"/>
      <c r="D164" s="312"/>
      <c r="E164" s="312"/>
      <c r="F164" s="312"/>
      <c r="G164" s="312"/>
      <c r="H164" s="312"/>
      <c r="I164" s="312"/>
      <c r="J164" s="312"/>
      <c r="K164" s="312"/>
      <c r="L164" s="312"/>
      <c r="M164" s="312"/>
      <c r="N164" s="312"/>
      <c r="O164" s="312"/>
      <c r="P164" s="2546" t="s">
        <v>841</v>
      </c>
    </row>
    <row r="165" spans="1:16" s="294" customFormat="1" ht="12" customHeight="1">
      <c r="B165" s="312"/>
      <c r="C165" s="312"/>
      <c r="D165" s="312"/>
      <c r="E165" s="312"/>
      <c r="F165" s="312"/>
      <c r="G165" s="312"/>
      <c r="H165" s="312"/>
      <c r="I165" s="312"/>
      <c r="J165" s="312"/>
      <c r="K165" s="312"/>
      <c r="L165" s="312"/>
      <c r="M165" s="312"/>
      <c r="N165" s="312"/>
      <c r="O165" s="312"/>
      <c r="P165" s="2546" t="s">
        <v>842</v>
      </c>
    </row>
    <row r="166" spans="1:16" s="294" customFormat="1" ht="12" customHeight="1">
      <c r="B166" s="312"/>
      <c r="C166" s="312"/>
      <c r="D166" s="312"/>
      <c r="E166" s="312"/>
      <c r="F166" s="312"/>
      <c r="G166" s="312"/>
      <c r="H166" s="312"/>
      <c r="I166" s="312"/>
      <c r="J166" s="312"/>
      <c r="K166" s="312"/>
      <c r="L166" s="312"/>
      <c r="M166" s="312"/>
      <c r="N166" s="312"/>
      <c r="O166" s="312"/>
      <c r="P166" s="2546" t="s">
        <v>843</v>
      </c>
    </row>
    <row r="167" spans="1:16" s="294" customFormat="1" ht="12" customHeight="1">
      <c r="B167" s="312"/>
      <c r="C167" s="312"/>
      <c r="D167" s="312"/>
      <c r="E167" s="312"/>
      <c r="F167" s="312"/>
      <c r="G167" s="312"/>
      <c r="H167" s="312"/>
      <c r="I167" s="312"/>
      <c r="J167" s="312"/>
      <c r="K167" s="312"/>
      <c r="L167" s="312"/>
      <c r="M167" s="312"/>
      <c r="N167" s="312"/>
      <c r="O167" s="312"/>
      <c r="P167" s="2546" t="s">
        <v>844</v>
      </c>
    </row>
    <row r="168" spans="1:16" ht="12" customHeight="1">
      <c r="P168" s="2546" t="s">
        <v>845</v>
      </c>
    </row>
    <row r="169" spans="1:16" ht="12" customHeight="1">
      <c r="A169" s="321"/>
      <c r="P169" s="2546" t="s">
        <v>846</v>
      </c>
    </row>
    <row r="170" spans="1:16" ht="12" customHeight="1">
      <c r="P170" s="2546" t="s">
        <v>847</v>
      </c>
    </row>
    <row r="171" spans="1:16" ht="12" customHeight="1">
      <c r="P171" s="2546" t="s">
        <v>848</v>
      </c>
    </row>
    <row r="172" spans="1:16" ht="12" customHeight="1">
      <c r="P172" s="2546" t="s">
        <v>849</v>
      </c>
    </row>
    <row r="173" spans="1:16" ht="12" customHeight="1">
      <c r="P173" s="2546" t="s">
        <v>850</v>
      </c>
    </row>
    <row r="174" spans="1:16" ht="12" customHeight="1">
      <c r="P174" s="2546" t="s">
        <v>851</v>
      </c>
    </row>
    <row r="175" spans="1:16" ht="12" customHeight="1">
      <c r="P175" s="2546" t="s">
        <v>852</v>
      </c>
    </row>
    <row r="176" spans="1:16" ht="12" customHeight="1">
      <c r="P176" s="2546" t="s">
        <v>853</v>
      </c>
    </row>
    <row r="177" spans="16:16" ht="12" customHeight="1">
      <c r="P177" s="2546" t="s">
        <v>854</v>
      </c>
    </row>
    <row r="178" spans="16:16" ht="12" customHeight="1">
      <c r="P178" s="2546" t="s">
        <v>855</v>
      </c>
    </row>
    <row r="179" spans="16:16" ht="12" customHeight="1">
      <c r="P179" s="2546" t="s">
        <v>856</v>
      </c>
    </row>
    <row r="180" spans="16:16" ht="12" customHeight="1">
      <c r="P180" s="2546" t="s">
        <v>857</v>
      </c>
    </row>
    <row r="181" spans="16:16" ht="12" customHeight="1">
      <c r="P181" s="2546" t="s">
        <v>858</v>
      </c>
    </row>
    <row r="182" spans="16:16" ht="12" customHeight="1">
      <c r="P182" s="2546" t="s">
        <v>859</v>
      </c>
    </row>
    <row r="183" spans="16:16" ht="12" customHeight="1">
      <c r="P183" s="2546" t="s">
        <v>860</v>
      </c>
    </row>
    <row r="184" spans="16:16" ht="12" customHeight="1">
      <c r="P184" s="2546" t="s">
        <v>861</v>
      </c>
    </row>
    <row r="185" spans="16:16" ht="12" customHeight="1">
      <c r="P185" s="2546" t="s">
        <v>1340</v>
      </c>
    </row>
    <row r="186" spans="16:16" ht="12" customHeight="1">
      <c r="P186" s="2546" t="s">
        <v>1341</v>
      </c>
    </row>
    <row r="187" spans="16:16" ht="12" customHeight="1">
      <c r="P187" s="2546" t="s">
        <v>1342</v>
      </c>
    </row>
    <row r="188" spans="16:16" ht="12" customHeight="1">
      <c r="P188" s="2546" t="s">
        <v>1343</v>
      </c>
    </row>
    <row r="189" spans="16:16" ht="12" customHeight="1">
      <c r="P189" s="2546" t="s">
        <v>1344</v>
      </c>
    </row>
    <row r="190" spans="16:16">
      <c r="P190" s="2546" t="s">
        <v>1345</v>
      </c>
    </row>
    <row r="191" spans="16:16" ht="12" customHeight="1">
      <c r="P191" s="2546" t="s">
        <v>1346</v>
      </c>
    </row>
    <row r="192" spans="16:16" ht="12" customHeight="1">
      <c r="P192" s="2546" t="s">
        <v>1347</v>
      </c>
    </row>
    <row r="193" spans="16:16" ht="12" customHeight="1">
      <c r="P193" s="2546" t="s">
        <v>1348</v>
      </c>
    </row>
    <row r="194" spans="16:16" ht="12" customHeight="1">
      <c r="P194" s="2546" t="s">
        <v>1349</v>
      </c>
    </row>
    <row r="195" spans="16:16" ht="12" customHeight="1">
      <c r="P195" s="2546" t="s">
        <v>1350</v>
      </c>
    </row>
    <row r="196" spans="16:16" ht="12" customHeight="1">
      <c r="P196" s="2546" t="s">
        <v>1351</v>
      </c>
    </row>
    <row r="197" spans="16:16" ht="12" customHeight="1">
      <c r="P197" s="2546" t="s">
        <v>1352</v>
      </c>
    </row>
    <row r="198" spans="16:16" ht="12" customHeight="1">
      <c r="P198" s="2546" t="s">
        <v>1353</v>
      </c>
    </row>
    <row r="199" spans="16:16" ht="12" customHeight="1">
      <c r="P199" s="2546" t="s">
        <v>1354</v>
      </c>
    </row>
    <row r="200" spans="16:16" ht="12" customHeight="1">
      <c r="P200" s="2546" t="s">
        <v>1355</v>
      </c>
    </row>
    <row r="201" spans="16:16" ht="12" customHeight="1">
      <c r="P201" s="2546" t="s">
        <v>1356</v>
      </c>
    </row>
    <row r="202" spans="16:16" ht="12" customHeight="1">
      <c r="P202" s="2546" t="s">
        <v>1357</v>
      </c>
    </row>
    <row r="203" spans="16:16" ht="12" customHeight="1">
      <c r="P203" s="2546" t="s">
        <v>1358</v>
      </c>
    </row>
    <row r="204" spans="16:16" ht="12" customHeight="1">
      <c r="P204" s="2546" t="s">
        <v>1359</v>
      </c>
    </row>
    <row r="205" spans="16:16" ht="12" customHeight="1">
      <c r="P205" s="2546" t="s">
        <v>1360</v>
      </c>
    </row>
    <row r="206" spans="16:16" ht="12" customHeight="1">
      <c r="P206" s="2546" t="s">
        <v>1361</v>
      </c>
    </row>
    <row r="207" spans="16:16" ht="12" customHeight="1">
      <c r="P207" s="2546" t="s">
        <v>1362</v>
      </c>
    </row>
    <row r="208" spans="16:16" ht="12" customHeight="1">
      <c r="P208" s="2546" t="s">
        <v>1363</v>
      </c>
    </row>
    <row r="209" spans="16:16" ht="12" customHeight="1">
      <c r="P209" s="2546" t="s">
        <v>1364</v>
      </c>
    </row>
    <row r="210" spans="16:16" ht="12" customHeight="1">
      <c r="P210" s="2546" t="s">
        <v>1365</v>
      </c>
    </row>
  </sheetData>
  <sheetProtection algorithmName="SHA-512" hashValue="CXMZHKQ1tykR6F+Ck/cYwrTM1wrxTUZ3gxWpfD8DXgnLC+TD6FzpWQEMA99WitDPJmKPdPFScwqwvzsCcGrSJQ==" saltValue="tqQE34mhGlxFS+Mlv6lu9A==" spinCount="100000" sheet="1" object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W107"/>
  <sheetViews>
    <sheetView showGridLines="0" topLeftCell="A13" zoomScaleNormal="100" workbookViewId="0">
      <selection activeCell="A13" sqref="A1:XFD1048576"/>
    </sheetView>
  </sheetViews>
  <sheetFormatPr defaultColWidth="9.33203125" defaultRowHeight="13.2"/>
  <cols>
    <col min="1" max="1" width="4.33203125" style="339" customWidth="1"/>
    <col min="2" max="17" width="8.33203125" style="339" customWidth="1"/>
    <col min="18" max="18" width="3.33203125" style="339" customWidth="1"/>
    <col min="19" max="19" width="13.5546875" style="339" customWidth="1"/>
    <col min="20" max="20" width="98.6640625" style="339" customWidth="1"/>
    <col min="21" max="16384" width="9.33203125" style="339"/>
  </cols>
  <sheetData>
    <row r="1" spans="1:20" s="269" customFormat="1" ht="13.95" customHeight="1">
      <c r="A1" s="3031" t="str">
        <f>CONCATENATE("PART THREE - SOURCES OF FUNDS","  -  ",'Part I-Project Information'!$O$6," ",'Part I-Project Information'!$F$34,", ",'Part I-Project Information'!$F$38,", ",'Part I-Project Information'!$J$39," County")</f>
        <v>PART THREE - SOURCES OF FUNDS  -  2019-049 Woodstone Apartments II, Leesburg, Lee County</v>
      </c>
      <c r="B1" s="3032"/>
      <c r="C1" s="3032"/>
      <c r="D1" s="3032"/>
      <c r="E1" s="3032"/>
      <c r="F1" s="3032"/>
      <c r="G1" s="3032"/>
      <c r="H1" s="3032"/>
      <c r="I1" s="3032"/>
      <c r="J1" s="3032"/>
      <c r="K1" s="3032"/>
      <c r="L1" s="3032"/>
      <c r="M1" s="3032"/>
      <c r="N1" s="3032"/>
      <c r="O1" s="3032"/>
      <c r="P1" s="3032"/>
      <c r="Q1" s="3033"/>
      <c r="S1" s="3150" t="str">
        <f>$A$1</f>
        <v>PART THREE - SOURCES OF FUNDS  -  2019-049 Woodstone Apartments II, Leesburg, Lee County</v>
      </c>
      <c r="T1" s="3150"/>
    </row>
    <row r="2" spans="1:20" ht="17.7" customHeight="1">
      <c r="A2" s="312"/>
      <c r="B2" s="312"/>
      <c r="C2" s="312"/>
      <c r="D2" s="312"/>
      <c r="E2" s="312"/>
      <c r="F2" s="312"/>
      <c r="G2" s="1290"/>
      <c r="H2" s="1290"/>
      <c r="I2" s="1290"/>
      <c r="J2" s="1290"/>
      <c r="K2" s="1290"/>
      <c r="L2" s="1290"/>
    </row>
    <row r="3" spans="1:20" s="269" customFormat="1" ht="13.2" customHeight="1">
      <c r="A3" s="296" t="s">
        <v>615</v>
      </c>
      <c r="B3" s="304" t="s">
        <v>2490</v>
      </c>
      <c r="C3" s="294"/>
      <c r="D3" s="2266"/>
      <c r="E3" s="2266"/>
      <c r="F3" s="2266"/>
      <c r="G3" s="2266"/>
      <c r="L3" s="3161" t="str">
        <f>'Part I-Project Information'!$B$6</f>
        <v>April 2019 Final</v>
      </c>
      <c r="M3" s="3162"/>
      <c r="N3" s="3162"/>
      <c r="O3" s="3162"/>
      <c r="P3" s="3163"/>
      <c r="S3" s="340" t="str">
        <f>B3</f>
        <v>GOVERNMENT FUNDING SOURCES  (check all that apply)</v>
      </c>
    </row>
    <row r="4" spans="1:20" s="269" customFormat="1" ht="15.75" customHeight="1">
      <c r="A4" s="321"/>
      <c r="B4" s="480"/>
      <c r="C4" s="315"/>
      <c r="D4" s="2266"/>
      <c r="E4" s="2266"/>
      <c r="F4" s="2266"/>
      <c r="G4" s="2266"/>
      <c r="S4" s="3107" t="s">
        <v>2682</v>
      </c>
      <c r="T4" s="3107"/>
    </row>
    <row r="5" spans="1:20" s="269" customFormat="1" ht="16.5" customHeight="1">
      <c r="A5" s="480"/>
      <c r="B5" s="2507" t="s">
        <v>2988</v>
      </c>
      <c r="C5" s="2261" t="s">
        <v>2409</v>
      </c>
      <c r="D5" s="294"/>
      <c r="E5" s="2507"/>
      <c r="F5" s="2261" t="s">
        <v>3720</v>
      </c>
      <c r="G5" s="294"/>
      <c r="H5" s="3156"/>
      <c r="I5" s="3157"/>
      <c r="L5" s="2507"/>
      <c r="M5" s="2261" t="s">
        <v>1536</v>
      </c>
      <c r="S5" s="3077"/>
      <c r="T5" s="3078"/>
    </row>
    <row r="6" spans="1:20" s="269" customFormat="1" ht="16.5" customHeight="1">
      <c r="A6" s="480"/>
      <c r="B6" s="2480"/>
      <c r="C6" s="2261" t="s">
        <v>5004</v>
      </c>
      <c r="D6" s="294"/>
      <c r="E6" s="2492"/>
      <c r="F6" s="2261" t="s">
        <v>3721</v>
      </c>
      <c r="H6" s="3158"/>
      <c r="I6" s="3159"/>
      <c r="L6" s="2480"/>
      <c r="M6" s="2261" t="s">
        <v>548</v>
      </c>
      <c r="S6" s="3058"/>
      <c r="T6" s="3059"/>
    </row>
    <row r="7" spans="1:20" s="269" customFormat="1" ht="16.5" customHeight="1">
      <c r="A7" s="294"/>
      <c r="B7" s="2480"/>
      <c r="C7" s="2261" t="s">
        <v>550</v>
      </c>
      <c r="F7" s="294" t="s">
        <v>5003</v>
      </c>
      <c r="H7" s="3164" t="s">
        <v>3448</v>
      </c>
      <c r="I7" s="3165"/>
      <c r="J7" s="3155"/>
      <c r="L7" s="2480"/>
      <c r="M7" s="2258" t="s">
        <v>3617</v>
      </c>
      <c r="S7" s="3058"/>
      <c r="T7" s="3059"/>
    </row>
    <row r="8" spans="1:20" s="269" customFormat="1" ht="16.5" customHeight="1">
      <c r="A8" s="480"/>
      <c r="B8" s="2480"/>
      <c r="C8" s="2261" t="s">
        <v>2600</v>
      </c>
      <c r="E8" s="2507"/>
      <c r="F8" s="2258" t="s">
        <v>2608</v>
      </c>
      <c r="L8" s="2480"/>
      <c r="M8" s="2258" t="s">
        <v>5005</v>
      </c>
      <c r="S8" s="3060"/>
      <c r="T8" s="3061"/>
    </row>
    <row r="9" spans="1:20" s="269" customFormat="1" ht="16.5" customHeight="1">
      <c r="A9" s="480"/>
      <c r="B9" s="2480"/>
      <c r="C9" s="2261" t="s">
        <v>2601</v>
      </c>
      <c r="E9" s="2480"/>
      <c r="F9" s="2258" t="s">
        <v>3719</v>
      </c>
      <c r="H9" s="3153" t="s">
        <v>3870</v>
      </c>
      <c r="I9" s="3154"/>
      <c r="J9" s="3155"/>
      <c r="L9" s="2480"/>
      <c r="M9" s="2261" t="s">
        <v>3678</v>
      </c>
      <c r="S9" s="3077"/>
      <c r="T9" s="3078"/>
    </row>
    <row r="10" spans="1:20" s="269" customFormat="1" ht="16.5" customHeight="1">
      <c r="A10" s="480"/>
      <c r="B10" s="2480"/>
      <c r="C10" s="2258" t="s">
        <v>3683</v>
      </c>
      <c r="E10" s="2547"/>
      <c r="F10" s="3160" t="s">
        <v>4717</v>
      </c>
      <c r="G10" s="2835"/>
      <c r="H10" s="2835"/>
      <c r="I10" s="2835"/>
      <c r="J10" s="2836"/>
      <c r="L10" s="2480"/>
      <c r="M10" s="294" t="s">
        <v>2609</v>
      </c>
      <c r="S10" s="3058"/>
      <c r="T10" s="3059"/>
    </row>
    <row r="11" spans="1:20" s="269" customFormat="1" ht="16.5" customHeight="1">
      <c r="A11" s="480"/>
      <c r="B11" s="2480"/>
      <c r="C11" s="294" t="s">
        <v>3885</v>
      </c>
      <c r="F11" s="3145" t="s">
        <v>4719</v>
      </c>
      <c r="G11" s="3146"/>
      <c r="H11" s="3146"/>
      <c r="I11" s="3146"/>
      <c r="J11" s="3147"/>
      <c r="L11" s="2480"/>
      <c r="M11" s="294" t="s">
        <v>3722</v>
      </c>
      <c r="S11" s="3058"/>
      <c r="T11" s="3059"/>
    </row>
    <row r="12" spans="1:20" s="269" customFormat="1" ht="16.5" customHeight="1">
      <c r="A12" s="480"/>
      <c r="B12" s="2480"/>
      <c r="C12" s="294" t="s">
        <v>2607</v>
      </c>
      <c r="E12" s="2548"/>
      <c r="F12" s="3160" t="s">
        <v>4718</v>
      </c>
      <c r="G12" s="2835"/>
      <c r="H12" s="2835"/>
      <c r="I12" s="2835"/>
      <c r="J12" s="2836"/>
      <c r="L12" s="2480"/>
      <c r="M12" s="294" t="s">
        <v>2794</v>
      </c>
      <c r="S12" s="3058"/>
      <c r="T12" s="3059"/>
    </row>
    <row r="13" spans="1:20" s="269" customFormat="1" ht="16.5" customHeight="1">
      <c r="A13" s="480"/>
      <c r="B13" s="2480"/>
      <c r="C13" s="294" t="s">
        <v>3717</v>
      </c>
      <c r="F13" s="3145" t="s">
        <v>4720</v>
      </c>
      <c r="G13" s="3146"/>
      <c r="H13" s="3146"/>
      <c r="I13" s="3146"/>
      <c r="J13" s="3147"/>
      <c r="L13" s="2480"/>
      <c r="M13" s="2258" t="s">
        <v>3884</v>
      </c>
      <c r="S13" s="3060"/>
      <c r="T13" s="3061"/>
    </row>
    <row r="14" spans="1:20" s="269" customFormat="1" ht="16.5" customHeight="1">
      <c r="A14" s="480"/>
      <c r="B14" s="2492"/>
      <c r="C14" s="2261" t="s">
        <v>1802</v>
      </c>
      <c r="E14" s="2479"/>
      <c r="F14" s="2261" t="s">
        <v>5002</v>
      </c>
      <c r="I14" s="3151"/>
      <c r="J14" s="3152"/>
      <c r="L14" s="2492"/>
      <c r="M14" s="289" t="s">
        <v>5007</v>
      </c>
    </row>
    <row r="15" spans="1:20" s="269" customFormat="1" ht="16.95" customHeight="1">
      <c r="A15" s="480"/>
      <c r="B15" s="269" t="s">
        <v>5006</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739</v>
      </c>
      <c r="B17" s="2260" t="s">
        <v>2344</v>
      </c>
      <c r="C17" s="294"/>
      <c r="D17" s="2266"/>
      <c r="E17" s="294"/>
      <c r="F17" s="294"/>
      <c r="G17" s="294"/>
      <c r="H17" s="269"/>
      <c r="L17" s="294"/>
      <c r="M17" s="2266"/>
      <c r="N17" s="3148"/>
      <c r="O17" s="3148"/>
      <c r="P17" s="294"/>
      <c r="Q17" s="294"/>
      <c r="S17" s="340" t="str">
        <f>B17</f>
        <v>CONSTRUCTION FINANCING</v>
      </c>
    </row>
    <row r="18" spans="1:20" s="340" customFormat="1" ht="5.25" customHeight="1">
      <c r="A18" s="296"/>
      <c r="B18" s="2260"/>
      <c r="C18" s="294"/>
      <c r="K18" s="294"/>
      <c r="L18" s="294"/>
      <c r="M18" s="2266"/>
      <c r="N18" s="2273"/>
      <c r="O18" s="2273"/>
      <c r="P18" s="294"/>
      <c r="Q18" s="294"/>
    </row>
    <row r="19" spans="1:20" s="269" customFormat="1" ht="16.95" customHeight="1">
      <c r="A19" s="294"/>
      <c r="B19" s="2261" t="s">
        <v>1870</v>
      </c>
      <c r="C19" s="294"/>
      <c r="D19" s="294"/>
      <c r="E19" s="294"/>
      <c r="F19" s="294"/>
      <c r="G19" s="294"/>
      <c r="H19" s="3149" t="s">
        <v>1296</v>
      </c>
      <c r="I19" s="3149"/>
      <c r="J19" s="3149"/>
      <c r="K19" s="3149"/>
      <c r="L19" s="2946" t="s">
        <v>4958</v>
      </c>
      <c r="M19" s="2946"/>
      <c r="N19" s="2946" t="s">
        <v>1506</v>
      </c>
      <c r="O19" s="2946"/>
      <c r="P19" s="2946" t="s">
        <v>1629</v>
      </c>
      <c r="Q19" s="2946"/>
      <c r="S19" s="3107" t="s">
        <v>2682</v>
      </c>
      <c r="T19" s="3107"/>
    </row>
    <row r="20" spans="1:20" s="269" customFormat="1" ht="15.75" customHeight="1">
      <c r="A20" s="294"/>
      <c r="B20" s="3109" t="s">
        <v>1590</v>
      </c>
      <c r="C20" s="3110"/>
      <c r="D20" s="3110"/>
      <c r="E20" s="2272"/>
      <c r="F20" s="2272"/>
      <c r="G20" s="2272"/>
      <c r="H20" s="3072" t="s">
        <v>5161</v>
      </c>
      <c r="I20" s="3073"/>
      <c r="J20" s="3073"/>
      <c r="K20" s="3074"/>
      <c r="L20" s="3134">
        <v>4100000</v>
      </c>
      <c r="M20" s="3135"/>
      <c r="N20" s="3136">
        <v>5.5E-2</v>
      </c>
      <c r="O20" s="3137"/>
      <c r="P20" s="3138">
        <v>18</v>
      </c>
      <c r="Q20" s="3139"/>
      <c r="S20" s="3077"/>
      <c r="T20" s="3078"/>
    </row>
    <row r="21" spans="1:20" s="269" customFormat="1" ht="15.75" customHeight="1">
      <c r="A21" s="294"/>
      <c r="B21" s="3079" t="s">
        <v>1591</v>
      </c>
      <c r="C21" s="3080"/>
      <c r="D21" s="3080"/>
      <c r="E21" s="2266"/>
      <c r="F21" s="2266"/>
      <c r="G21" s="2266"/>
      <c r="H21" s="3042"/>
      <c r="I21" s="3043"/>
      <c r="J21" s="3043"/>
      <c r="K21" s="3044"/>
      <c r="L21" s="3118"/>
      <c r="M21" s="3119"/>
      <c r="N21" s="3166"/>
      <c r="O21" s="3167"/>
      <c r="P21" s="3168"/>
      <c r="Q21" s="3169"/>
      <c r="S21" s="3058"/>
      <c r="T21" s="3059"/>
    </row>
    <row r="22" spans="1:20" s="269" customFormat="1" ht="15.75" customHeight="1">
      <c r="A22" s="294"/>
      <c r="B22" s="3170" t="s">
        <v>1592</v>
      </c>
      <c r="C22" s="3171"/>
      <c r="D22" s="3171"/>
      <c r="E22" s="2276"/>
      <c r="F22" s="2276"/>
      <c r="G22" s="2276"/>
      <c r="H22" s="3048"/>
      <c r="I22" s="3049"/>
      <c r="J22" s="3049"/>
      <c r="K22" s="3050"/>
      <c r="L22" s="3122"/>
      <c r="M22" s="3123"/>
      <c r="N22" s="3130"/>
      <c r="O22" s="3131"/>
      <c r="P22" s="3132"/>
      <c r="Q22" s="3133"/>
      <c r="S22" s="3058"/>
      <c r="T22" s="3059"/>
    </row>
    <row r="23" spans="1:20" s="269" customFormat="1" ht="15.75" customHeight="1">
      <c r="A23" s="294"/>
      <c r="B23" s="3109" t="s">
        <v>2214</v>
      </c>
      <c r="C23" s="3110"/>
      <c r="D23" s="3110"/>
      <c r="E23" s="2266"/>
      <c r="F23" s="2266"/>
      <c r="G23" s="2266"/>
      <c r="H23" s="3140"/>
      <c r="I23" s="3141"/>
      <c r="J23" s="3141"/>
      <c r="K23" s="3142"/>
      <c r="L23" s="3143"/>
      <c r="M23" s="3144"/>
      <c r="N23" s="3120"/>
      <c r="O23" s="3121"/>
      <c r="P23" s="3104"/>
      <c r="Q23" s="3104"/>
      <c r="S23" s="3058"/>
      <c r="T23" s="3059"/>
    </row>
    <row r="24" spans="1:20" s="269" customFormat="1" ht="15.75" customHeight="1">
      <c r="A24" s="294"/>
      <c r="B24" s="3079" t="s">
        <v>800</v>
      </c>
      <c r="C24" s="3080"/>
      <c r="D24" s="3080"/>
      <c r="E24" s="2266"/>
      <c r="H24" s="3042"/>
      <c r="I24" s="3043"/>
      <c r="J24" s="3043"/>
      <c r="K24" s="3044"/>
      <c r="L24" s="3118"/>
      <c r="M24" s="3119"/>
      <c r="N24" s="3120"/>
      <c r="O24" s="3121"/>
      <c r="P24" s="3104"/>
      <c r="Q24" s="3104"/>
      <c r="S24" s="3058"/>
      <c r="T24" s="3059"/>
    </row>
    <row r="25" spans="1:20" s="269" customFormat="1" ht="15.75" customHeight="1">
      <c r="A25" s="294"/>
      <c r="B25" s="3079" t="s">
        <v>640</v>
      </c>
      <c r="C25" s="3080"/>
      <c r="D25" s="3080"/>
      <c r="E25" s="2266"/>
      <c r="H25" s="3042"/>
      <c r="I25" s="3043"/>
      <c r="J25" s="3043"/>
      <c r="K25" s="3044"/>
      <c r="L25" s="3118"/>
      <c r="M25" s="3119"/>
      <c r="N25" s="3120"/>
      <c r="O25" s="3121"/>
      <c r="P25" s="3104"/>
      <c r="Q25" s="3104"/>
      <c r="S25" s="3058"/>
      <c r="T25" s="3059"/>
    </row>
    <row r="26" spans="1:20" s="269" customFormat="1" ht="15.75" customHeight="1">
      <c r="A26" s="294"/>
      <c r="B26" s="3079" t="s">
        <v>801</v>
      </c>
      <c r="C26" s="3080"/>
      <c r="D26" s="3080"/>
      <c r="E26" s="2266"/>
      <c r="H26" s="3042" t="s">
        <v>5161</v>
      </c>
      <c r="I26" s="3043"/>
      <c r="J26" s="3043"/>
      <c r="K26" s="3044"/>
      <c r="L26" s="3118">
        <v>775000</v>
      </c>
      <c r="M26" s="3119"/>
      <c r="N26" s="294"/>
      <c r="Q26" s="294"/>
      <c r="S26" s="3060"/>
      <c r="T26" s="3061"/>
    </row>
    <row r="27" spans="1:20" s="269" customFormat="1" ht="15.75" customHeight="1">
      <c r="A27" s="294"/>
      <c r="B27" s="3079" t="s">
        <v>802</v>
      </c>
      <c r="C27" s="3080"/>
      <c r="D27" s="3080"/>
      <c r="E27" s="2266"/>
      <c r="H27" s="3042" t="s">
        <v>5245</v>
      </c>
      <c r="I27" s="3043"/>
      <c r="J27" s="3043"/>
      <c r="K27" s="3044"/>
      <c r="L27" s="3118">
        <v>325000</v>
      </c>
      <c r="M27" s="3119"/>
      <c r="N27" s="294"/>
      <c r="Q27" s="294"/>
      <c r="S27" s="3077"/>
      <c r="T27" s="3078"/>
    </row>
    <row r="28" spans="1:20" s="269" customFormat="1" ht="15.75" customHeight="1">
      <c r="A28" s="294"/>
      <c r="B28" s="2265" t="s">
        <v>242</v>
      </c>
      <c r="C28" s="2266"/>
      <c r="D28" s="3062"/>
      <c r="E28" s="3062"/>
      <c r="F28" s="3062"/>
      <c r="G28" s="3062"/>
      <c r="H28" s="3042"/>
      <c r="I28" s="3043"/>
      <c r="J28" s="3043"/>
      <c r="K28" s="3044"/>
      <c r="L28" s="3118"/>
      <c r="M28" s="3119"/>
      <c r="N28" s="294"/>
      <c r="Q28" s="294"/>
      <c r="S28" s="3058"/>
      <c r="T28" s="3059"/>
    </row>
    <row r="29" spans="1:20" s="269" customFormat="1" ht="15.75" customHeight="1">
      <c r="A29" s="294"/>
      <c r="B29" s="2265" t="s">
        <v>242</v>
      </c>
      <c r="C29" s="2266"/>
      <c r="D29" s="3063"/>
      <c r="E29" s="3063"/>
      <c r="F29" s="3063"/>
      <c r="G29" s="3063"/>
      <c r="H29" s="3042"/>
      <c r="I29" s="3043"/>
      <c r="J29" s="3043"/>
      <c r="K29" s="3044"/>
      <c r="L29" s="3118"/>
      <c r="M29" s="3119"/>
      <c r="N29" s="294"/>
      <c r="S29" s="3058"/>
      <c r="T29" s="3059"/>
    </row>
    <row r="30" spans="1:20" s="269" customFormat="1" ht="15.75" customHeight="1">
      <c r="A30" s="294"/>
      <c r="B30" s="2275" t="s">
        <v>242</v>
      </c>
      <c r="C30" s="2276"/>
      <c r="D30" s="3047"/>
      <c r="E30" s="3047"/>
      <c r="F30" s="3047"/>
      <c r="G30" s="3047"/>
      <c r="H30" s="3048"/>
      <c r="I30" s="3049"/>
      <c r="J30" s="3049"/>
      <c r="K30" s="3050"/>
      <c r="L30" s="3122"/>
      <c r="M30" s="3123"/>
      <c r="N30" s="294"/>
      <c r="S30" s="3058"/>
      <c r="T30" s="3059"/>
    </row>
    <row r="31" spans="1:20" s="269" customFormat="1" ht="16.5" customHeight="1">
      <c r="A31" s="294"/>
      <c r="B31" s="2260" t="s">
        <v>1297</v>
      </c>
      <c r="C31" s="294"/>
      <c r="D31" s="294"/>
      <c r="E31" s="294"/>
      <c r="F31" s="294"/>
      <c r="G31" s="294"/>
      <c r="H31" s="294"/>
      <c r="I31" s="294"/>
      <c r="L31" s="3124">
        <f>SUM(L20:L30)</f>
        <v>5200000</v>
      </c>
      <c r="M31" s="3125"/>
      <c r="N31" s="312"/>
      <c r="S31" s="3058"/>
      <c r="T31" s="3059"/>
    </row>
    <row r="32" spans="1:20" s="269" customFormat="1" ht="16.5" customHeight="1">
      <c r="A32" s="294"/>
      <c r="B32" s="2261" t="s">
        <v>1298</v>
      </c>
      <c r="C32" s="294"/>
      <c r="D32" s="294"/>
      <c r="E32" s="294"/>
      <c r="F32" s="294"/>
      <c r="G32" s="294"/>
      <c r="H32" s="294"/>
      <c r="I32" s="294"/>
      <c r="L32" s="312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4408410</v>
      </c>
      <c r="M32" s="3127"/>
      <c r="N32" s="850"/>
      <c r="S32" s="3058"/>
      <c r="T32" s="3059"/>
    </row>
    <row r="33" spans="1:20" s="269" customFormat="1" ht="16.5" customHeight="1">
      <c r="A33" s="294"/>
      <c r="B33" s="2258" t="s">
        <v>2156</v>
      </c>
      <c r="C33" s="294"/>
      <c r="D33" s="294"/>
      <c r="E33" s="294"/>
      <c r="F33" s="294"/>
      <c r="G33" s="294"/>
      <c r="H33" s="294"/>
      <c r="I33" s="294"/>
      <c r="L33" s="3128">
        <f>L31-L32</f>
        <v>791590</v>
      </c>
      <c r="M33" s="3129"/>
      <c r="N33" s="850"/>
      <c r="S33" s="3060"/>
      <c r="T33" s="3061"/>
    </row>
    <row r="34" spans="1:20" ht="9.6" customHeight="1">
      <c r="A34" s="321"/>
      <c r="B34" s="2260"/>
      <c r="C34" s="312"/>
      <c r="D34" s="312"/>
      <c r="E34" s="312"/>
      <c r="F34" s="312"/>
      <c r="G34" s="312"/>
      <c r="H34" s="312"/>
      <c r="I34" s="312"/>
      <c r="J34" s="312"/>
      <c r="K34" s="312"/>
      <c r="L34" s="312"/>
      <c r="M34" s="2269"/>
      <c r="N34" s="2269"/>
    </row>
    <row r="35" spans="1:20" ht="9.6" customHeight="1">
      <c r="A35" s="296" t="s">
        <v>741</v>
      </c>
      <c r="B35" s="2260" t="s">
        <v>799</v>
      </c>
      <c r="C35" s="312"/>
      <c r="D35" s="312"/>
      <c r="E35" s="312"/>
      <c r="F35" s="312"/>
      <c r="G35" s="312"/>
      <c r="H35" s="312"/>
      <c r="I35" s="312"/>
      <c r="J35" s="312"/>
      <c r="K35" s="312"/>
      <c r="L35" s="312"/>
      <c r="M35" s="2269"/>
      <c r="N35" s="2269"/>
      <c r="O35" s="312"/>
      <c r="S35" s="340" t="str">
        <f>B35</f>
        <v>PERMANENT FINANCING</v>
      </c>
    </row>
    <row r="36" spans="1:20" s="269" customFormat="1" ht="13.2" customHeight="1">
      <c r="A36" s="294"/>
      <c r="B36" s="294"/>
      <c r="C36" s="294"/>
      <c r="D36" s="294"/>
      <c r="E36" s="294"/>
      <c r="F36" s="2269"/>
      <c r="G36" s="2269"/>
      <c r="H36" s="3104"/>
      <c r="I36" s="3104"/>
      <c r="K36" s="366" t="s">
        <v>2098</v>
      </c>
      <c r="L36" s="2269" t="s">
        <v>1294</v>
      </c>
      <c r="M36" s="2269" t="s">
        <v>1299</v>
      </c>
      <c r="P36" s="3105" t="s">
        <v>34</v>
      </c>
      <c r="Q36" s="3105"/>
      <c r="S36" s="340"/>
    </row>
    <row r="37" spans="1:20" s="269" customFormat="1" ht="13.2" customHeight="1">
      <c r="A37" s="294"/>
      <c r="B37" s="2274" t="s">
        <v>1870</v>
      </c>
      <c r="C37" s="2276"/>
      <c r="D37" s="2276"/>
      <c r="E37" s="2803" t="s">
        <v>1296</v>
      </c>
      <c r="F37" s="2803"/>
      <c r="G37" s="2803"/>
      <c r="H37" s="2803"/>
      <c r="I37" s="2946" t="s">
        <v>4957</v>
      </c>
      <c r="J37" s="2946"/>
      <c r="K37" s="2263" t="s">
        <v>1805</v>
      </c>
      <c r="L37" s="2263" t="s">
        <v>2213</v>
      </c>
      <c r="M37" s="2263" t="s">
        <v>2213</v>
      </c>
      <c r="N37" s="2946" t="s">
        <v>74</v>
      </c>
      <c r="O37" s="2946"/>
      <c r="P37" s="3106"/>
      <c r="Q37" s="3106"/>
      <c r="S37" s="3107" t="s">
        <v>2682</v>
      </c>
      <c r="T37" s="3107"/>
    </row>
    <row r="38" spans="1:20" s="269" customFormat="1" ht="15.75" customHeight="1">
      <c r="A38" s="294"/>
      <c r="B38" s="3109" t="s">
        <v>2613</v>
      </c>
      <c r="C38" s="3110"/>
      <c r="D38" s="3110"/>
      <c r="E38" s="3072"/>
      <c r="F38" s="3073"/>
      <c r="G38" s="3073"/>
      <c r="H38" s="3074"/>
      <c r="I38" s="3066"/>
      <c r="J38" s="3067"/>
      <c r="K38" s="2549"/>
      <c r="L38" s="2491"/>
      <c r="M38" s="2491"/>
      <c r="N38" s="3111"/>
      <c r="O38" s="3111"/>
      <c r="P38" s="3068" t="str">
        <f>IF(OR(I38&lt;=0,I38=""),"",IF(N38="Cash Flow",0,IF(N38="Amortizing",-PMT(K38/12,M38*12,I38,0,0)*12,"")))</f>
        <v/>
      </c>
      <c r="Q38" s="3068"/>
      <c r="S38" s="3077"/>
      <c r="T38" s="3078"/>
    </row>
    <row r="39" spans="1:20" s="269" customFormat="1" ht="15.75" customHeight="1">
      <c r="A39" s="294"/>
      <c r="B39" s="3079" t="s">
        <v>2614</v>
      </c>
      <c r="C39" s="3080"/>
      <c r="D39" s="3080"/>
      <c r="E39" s="3042"/>
      <c r="F39" s="3043"/>
      <c r="G39" s="3043"/>
      <c r="H39" s="3044"/>
      <c r="I39" s="3045"/>
      <c r="J39" s="3082"/>
      <c r="K39" s="2550"/>
      <c r="L39" s="2480"/>
      <c r="M39" s="2480"/>
      <c r="N39" s="3108"/>
      <c r="O39" s="3108"/>
      <c r="P39" s="3103" t="str">
        <f>IF(OR(I39&lt;=0,I39=""),"",IF(N39="Cash Flow",0,IF(N39="Amortizing",-PMT(K39/12,M39*12,I39,0,0)*12,"")))</f>
        <v/>
      </c>
      <c r="Q39" s="3103"/>
      <c r="S39" s="3058"/>
      <c r="T39" s="3059"/>
    </row>
    <row r="40" spans="1:20" s="269" customFormat="1" ht="15.75" customHeight="1">
      <c r="A40" s="294"/>
      <c r="B40" s="3079" t="s">
        <v>2615</v>
      </c>
      <c r="C40" s="3080"/>
      <c r="D40" s="3080"/>
      <c r="E40" s="3042"/>
      <c r="F40" s="3043"/>
      <c r="G40" s="3043"/>
      <c r="H40" s="3044"/>
      <c r="I40" s="3045"/>
      <c r="J40" s="3082"/>
      <c r="K40" s="2550"/>
      <c r="L40" s="2480"/>
      <c r="M40" s="2480"/>
      <c r="N40" s="3108"/>
      <c r="O40" s="3108"/>
      <c r="P40" s="3103" t="str">
        <f>IF(OR(I40&lt;=0,I40=""),"",IF(N40="Cash Flow",0,IF(N40="Amortizing",-PMT(K40/12,M40*12,I40,0,0)*12,"")))</f>
        <v/>
      </c>
      <c r="Q40" s="3103"/>
      <c r="S40" s="3058"/>
      <c r="T40" s="3059"/>
    </row>
    <row r="41" spans="1:20" s="269" customFormat="1" ht="15.75" customHeight="1">
      <c r="A41" s="294"/>
      <c r="B41" s="2265" t="s">
        <v>740</v>
      </c>
      <c r="C41" s="3089"/>
      <c r="D41" s="3090"/>
      <c r="E41" s="3042"/>
      <c r="F41" s="3043"/>
      <c r="G41" s="3043"/>
      <c r="H41" s="3044"/>
      <c r="I41" s="3091"/>
      <c r="J41" s="3092"/>
      <c r="K41" s="2551"/>
      <c r="L41" s="2492"/>
      <c r="M41" s="2492"/>
      <c r="N41" s="3094"/>
      <c r="O41" s="3094"/>
      <c r="P41" s="3093" t="str">
        <f>IF(OR(I41&lt;=0,I41=""),"",IF(N41="Cash Flow",0,IF(N41="Amortizing",-PMT(K41/12,M41*12,I41,0,0)*12,"")))</f>
        <v/>
      </c>
      <c r="Q41" s="3093"/>
      <c r="S41" s="3058"/>
      <c r="T41" s="3059"/>
    </row>
    <row r="42" spans="1:20" s="269" customFormat="1" ht="15.75" customHeight="1">
      <c r="A42" s="294"/>
      <c r="B42" s="2265" t="s">
        <v>2747</v>
      </c>
      <c r="C42" s="2266"/>
      <c r="D42" s="2267"/>
      <c r="E42" s="3042"/>
      <c r="F42" s="3043"/>
      <c r="G42" s="3043"/>
      <c r="H42" s="3044"/>
      <c r="I42" s="3045"/>
      <c r="J42" s="3082"/>
      <c r="K42" s="459"/>
      <c r="L42" s="2268"/>
      <c r="M42" s="2268"/>
      <c r="N42" s="3096"/>
      <c r="O42" s="3096"/>
      <c r="P42" s="3095"/>
      <c r="Q42" s="3095"/>
      <c r="S42" s="3058"/>
      <c r="T42" s="3059"/>
    </row>
    <row r="43" spans="1:20" s="269" customFormat="1" ht="29.25" customHeight="1">
      <c r="A43" s="294"/>
      <c r="B43" s="2275" t="s">
        <v>228</v>
      </c>
      <c r="C43" s="2276"/>
      <c r="D43" s="367">
        <f>IF(OR(I43="",I43=0,'Part IV-A-Uses of Funds'!$G$118="",'Part IV-A-Uses of Funds'!$G$118=0),"",I43/'Part IV-A-Uses of Funds'!$G$118)</f>
        <v>1.7307901315074448E-3</v>
      </c>
      <c r="E43" s="3048" t="s">
        <v>5302</v>
      </c>
      <c r="F43" s="3049"/>
      <c r="G43" s="3049"/>
      <c r="H43" s="3050"/>
      <c r="I43" s="3112">
        <v>637</v>
      </c>
      <c r="J43" s="3113"/>
      <c r="K43" s="2552"/>
      <c r="L43" s="2479"/>
      <c r="M43" s="2479"/>
      <c r="N43" s="3116" t="s">
        <v>1163</v>
      </c>
      <c r="O43" s="3117"/>
      <c r="P43" s="3114">
        <f>IF(OR(I43&lt;=0,I43=""),"",IF(N43="Cash Flow",0,IF(N43="Amortizing",-PMT(K43/12,M43*12,I43,0,0)*12,"")))</f>
        <v>0</v>
      </c>
      <c r="Q43" s="3115"/>
      <c r="S43" s="3058"/>
      <c r="T43" s="3059"/>
    </row>
    <row r="44" spans="1:20" s="269" customFormat="1" ht="3" customHeight="1">
      <c r="A44" s="294"/>
      <c r="B44" s="294"/>
      <c r="C44" s="294"/>
      <c r="D44" s="294"/>
      <c r="E44" s="294"/>
      <c r="F44" s="294"/>
      <c r="G44" s="294"/>
      <c r="H44" s="294"/>
      <c r="I44" s="2553"/>
      <c r="J44" s="2554"/>
      <c r="K44" s="2555"/>
      <c r="L44" s="2269"/>
      <c r="M44" s="2269"/>
      <c r="N44" s="2556"/>
      <c r="O44" s="2556"/>
      <c r="P44" s="2269"/>
      <c r="Q44" s="2269"/>
      <c r="S44" s="3058"/>
      <c r="T44" s="3059"/>
    </row>
    <row r="45" spans="1:20" s="269" customFormat="1" ht="14.25" customHeight="1">
      <c r="A45" s="294"/>
      <c r="B45" s="1067" t="s">
        <v>4181</v>
      </c>
      <c r="C45" s="2266"/>
      <c r="E45" s="269" t="s">
        <v>4083</v>
      </c>
      <c r="F45" s="3087" t="e">
        <f>IF(OR($I$43="",$I$43=0,'Part VII-Pro Forma'!$S$35=0,'Part VII-Pro Forma'!$S$35=""),"",VLOOKUP($L$43,'Part VII-Pro Forma'!$Q$20:$S$40,3))</f>
        <v>#N/A</v>
      </c>
      <c r="G45" s="3088"/>
      <c r="H45" s="608" t="s">
        <v>4180</v>
      </c>
      <c r="I45" s="3087" t="e">
        <f>IF(OR($I$43="",$I$43=0,'Part VII-Pro Forma'!$R$35=0,'Part VII-Pro Forma'!$R$35=""),"",VLOOKUP($L$43,'Part VII-Pro Forma'!$Q$20:$S$35,2))</f>
        <v>#N/A</v>
      </c>
      <c r="J45" s="3088"/>
      <c r="K45" s="608" t="s">
        <v>4182</v>
      </c>
      <c r="L45" s="3097" t="e">
        <f>IF(OR($F$45 = 0,$F$45 =""),"",$I$45/$F$45)</f>
        <v>#N/A</v>
      </c>
      <c r="M45" s="3098"/>
      <c r="N45" s="3101" t="s">
        <v>4969</v>
      </c>
      <c r="O45" s="3102"/>
      <c r="P45" s="3099">
        <f>IF(OR($I$60=0,$I$58&gt;$I$59),0,ABS($I$58-$I$59))</f>
        <v>0</v>
      </c>
      <c r="Q45" s="3100"/>
      <c r="S45" s="3058"/>
      <c r="T45" s="3059"/>
    </row>
    <row r="46" spans="1:20" s="269" customFormat="1" ht="3" customHeight="1">
      <c r="A46" s="294"/>
      <c r="B46" s="294"/>
      <c r="C46" s="294"/>
      <c r="D46" s="294"/>
      <c r="E46" s="294"/>
      <c r="F46" s="294"/>
      <c r="G46" s="294"/>
      <c r="H46" s="294"/>
      <c r="I46" s="2557"/>
      <c r="J46" s="2558"/>
      <c r="K46" s="2555"/>
      <c r="L46" s="2269"/>
      <c r="M46" s="2269"/>
      <c r="N46" s="2556"/>
      <c r="O46" s="2556"/>
      <c r="P46" s="2269"/>
      <c r="Q46" s="2269"/>
      <c r="S46" s="3060"/>
      <c r="T46" s="3061"/>
    </row>
    <row r="47" spans="1:20" s="269" customFormat="1" ht="15.75" customHeight="1">
      <c r="A47" s="294"/>
      <c r="B47" s="3069" t="s">
        <v>2214</v>
      </c>
      <c r="C47" s="3070"/>
      <c r="D47" s="3071"/>
      <c r="E47" s="3072"/>
      <c r="F47" s="3073"/>
      <c r="G47" s="3073"/>
      <c r="H47" s="3074"/>
      <c r="I47" s="3075"/>
      <c r="J47" s="3076"/>
      <c r="K47" s="368"/>
      <c r="L47" s="368"/>
      <c r="M47" s="368"/>
      <c r="N47" s="368"/>
      <c r="O47" s="368"/>
      <c r="P47" s="368"/>
      <c r="Q47" s="368"/>
      <c r="S47" s="3077"/>
      <c r="T47" s="3078"/>
    </row>
    <row r="48" spans="1:20" s="269" customFormat="1" ht="15.75" customHeight="1">
      <c r="A48" s="294"/>
      <c r="B48" s="3079" t="s">
        <v>800</v>
      </c>
      <c r="C48" s="3080"/>
      <c r="D48" s="3081"/>
      <c r="E48" s="3042"/>
      <c r="F48" s="3043"/>
      <c r="G48" s="3043"/>
      <c r="H48" s="3044"/>
      <c r="I48" s="3045"/>
      <c r="J48" s="3082"/>
      <c r="L48" s="3083" t="s">
        <v>516</v>
      </c>
      <c r="M48" s="3083"/>
      <c r="N48" s="3084" t="s">
        <v>517</v>
      </c>
      <c r="O48" s="3084"/>
      <c r="P48" s="399" t="s">
        <v>515</v>
      </c>
      <c r="Q48" s="368"/>
      <c r="S48" s="3058"/>
      <c r="T48" s="3059"/>
    </row>
    <row r="49" spans="1:23" s="269" customFormat="1" ht="15.75" customHeight="1">
      <c r="A49" s="294"/>
      <c r="B49" s="3079" t="s">
        <v>801</v>
      </c>
      <c r="C49" s="3080"/>
      <c r="D49" s="3081"/>
      <c r="E49" s="3042" t="s">
        <v>5278</v>
      </c>
      <c r="F49" s="3043"/>
      <c r="G49" s="3043"/>
      <c r="H49" s="3044"/>
      <c r="I49" s="3045">
        <f>3142572+31748+2</f>
        <v>3174322</v>
      </c>
      <c r="J49" s="3045"/>
      <c r="L49" s="3085">
        <f>'Part IV-A-Uses of Funds'!$J$175*10*'Part IV-A-Uses of Funds'!$N$168</f>
        <v>3174956.6</v>
      </c>
      <c r="M49" s="3085"/>
      <c r="N49" s="3086">
        <f>I49-L49</f>
        <v>-634.60000000009313</v>
      </c>
      <c r="O49" s="3086"/>
      <c r="P49" s="400" t="s">
        <v>2559</v>
      </c>
      <c r="Q49" s="368"/>
      <c r="S49" s="3058"/>
      <c r="T49" s="3059"/>
    </row>
    <row r="50" spans="1:23" s="269" customFormat="1" ht="15.75" customHeight="1">
      <c r="A50" s="294"/>
      <c r="B50" s="3079" t="s">
        <v>802</v>
      </c>
      <c r="C50" s="3080"/>
      <c r="D50" s="3081"/>
      <c r="E50" s="3042" t="s">
        <v>5277</v>
      </c>
      <c r="F50" s="3043"/>
      <c r="G50" s="3043"/>
      <c r="H50" s="3044"/>
      <c r="I50" s="3045">
        <v>1993577</v>
      </c>
      <c r="J50" s="3045"/>
      <c r="L50" s="3085">
        <f>'Part IV-A-Uses of Funds'!$J$175*10*'Part IV-A-Uses of Funds'!$Q$168</f>
        <v>1993577.4000000001</v>
      </c>
      <c r="M50" s="3085"/>
      <c r="N50" s="3086">
        <f>I50-L50</f>
        <v>-0.40000000013969839</v>
      </c>
      <c r="O50" s="3086"/>
      <c r="P50" s="401">
        <f>I49/I59</f>
        <v>0.61416269520034295</v>
      </c>
      <c r="Q50" s="368"/>
      <c r="S50" s="3058"/>
      <c r="T50" s="3059"/>
    </row>
    <row r="51" spans="1:23" s="269" customFormat="1" ht="15.75" customHeight="1">
      <c r="A51" s="294"/>
      <c r="B51" s="3079" t="s">
        <v>1409</v>
      </c>
      <c r="C51" s="3080"/>
      <c r="D51" s="3081"/>
      <c r="E51" s="3042"/>
      <c r="F51" s="3043"/>
      <c r="G51" s="3043"/>
      <c r="H51" s="3044"/>
      <c r="I51" s="3045"/>
      <c r="J51" s="3045"/>
      <c r="P51" s="401">
        <f>I50/I59</f>
        <v>0.38571405906817713</v>
      </c>
      <c r="Q51" s="368"/>
      <c r="S51" s="3060"/>
      <c r="T51" s="3061"/>
    </row>
    <row r="52" spans="1:23" s="269" customFormat="1" ht="15.75" customHeight="1">
      <c r="A52" s="294"/>
      <c r="B52" s="2265" t="s">
        <v>530</v>
      </c>
      <c r="C52" s="2266"/>
      <c r="D52" s="2267"/>
      <c r="E52" s="3042"/>
      <c r="F52" s="3043"/>
      <c r="G52" s="3043"/>
      <c r="H52" s="3044"/>
      <c r="I52" s="3045"/>
      <c r="J52" s="3045"/>
      <c r="K52" s="294"/>
      <c r="P52" s="402">
        <f>SUM(P50:P51)</f>
        <v>0.99987675426852007</v>
      </c>
      <c r="Q52" s="368"/>
      <c r="S52" s="3058"/>
      <c r="T52" s="3059"/>
    </row>
    <row r="53" spans="1:23" s="269" customFormat="1" ht="15.75" customHeight="1">
      <c r="A53" s="294"/>
      <c r="B53" s="2265" t="s">
        <v>1868</v>
      </c>
      <c r="C53" s="2266"/>
      <c r="D53" s="2267"/>
      <c r="E53" s="3042"/>
      <c r="F53" s="3043"/>
      <c r="G53" s="3043"/>
      <c r="H53" s="3044"/>
      <c r="I53" s="3045"/>
      <c r="J53" s="3045"/>
      <c r="N53" s="369"/>
      <c r="O53" s="369"/>
      <c r="P53" s="369"/>
      <c r="Q53" s="368"/>
      <c r="S53" s="3058"/>
      <c r="T53" s="3059"/>
    </row>
    <row r="54" spans="1:23" s="269" customFormat="1" ht="15.75" customHeight="1">
      <c r="A54" s="294"/>
      <c r="B54" s="2265" t="s">
        <v>1869</v>
      </c>
      <c r="C54" s="2266"/>
      <c r="D54" s="2267"/>
      <c r="E54" s="3042"/>
      <c r="F54" s="3043"/>
      <c r="G54" s="3043"/>
      <c r="H54" s="3044"/>
      <c r="I54" s="3045"/>
      <c r="J54" s="3045"/>
      <c r="M54" s="369"/>
      <c r="N54" s="369"/>
      <c r="O54" s="369"/>
      <c r="P54" s="369"/>
      <c r="Q54" s="368"/>
      <c r="S54" s="3058"/>
      <c r="T54" s="3059"/>
    </row>
    <row r="55" spans="1:23" s="269" customFormat="1" ht="15.75" customHeight="1">
      <c r="A55" s="294"/>
      <c r="B55" s="2265" t="s">
        <v>740</v>
      </c>
      <c r="C55" s="3062"/>
      <c r="D55" s="3062"/>
      <c r="E55" s="3042"/>
      <c r="F55" s="3043"/>
      <c r="G55" s="3043"/>
      <c r="H55" s="3044"/>
      <c r="I55" s="3045"/>
      <c r="J55" s="3045"/>
      <c r="M55" s="369"/>
      <c r="N55" s="369"/>
      <c r="O55" s="369"/>
      <c r="P55" s="369"/>
      <c r="Q55" s="368"/>
      <c r="S55" s="3058"/>
      <c r="T55" s="3059"/>
    </row>
    <row r="56" spans="1:23" s="269" customFormat="1" ht="15.75" customHeight="1">
      <c r="A56" s="294"/>
      <c r="B56" s="2265" t="s">
        <v>740</v>
      </c>
      <c r="C56" s="3063"/>
      <c r="D56" s="3063"/>
      <c r="E56" s="3042"/>
      <c r="F56" s="3043"/>
      <c r="G56" s="3043"/>
      <c r="H56" s="3044"/>
      <c r="I56" s="3045"/>
      <c r="J56" s="3045"/>
      <c r="K56" s="294"/>
      <c r="L56" s="370"/>
      <c r="M56" s="369"/>
      <c r="N56" s="369"/>
      <c r="O56" s="369"/>
      <c r="P56" s="369"/>
      <c r="Q56" s="368"/>
      <c r="S56" s="3058"/>
      <c r="T56" s="3059"/>
    </row>
    <row r="57" spans="1:23" s="269" customFormat="1" ht="15.75" customHeight="1">
      <c r="A57" s="294"/>
      <c r="B57" s="2275" t="s">
        <v>740</v>
      </c>
      <c r="C57" s="3047"/>
      <c r="D57" s="3047"/>
      <c r="E57" s="3048"/>
      <c r="F57" s="3049"/>
      <c r="G57" s="3049"/>
      <c r="H57" s="3050"/>
      <c r="I57" s="3051"/>
      <c r="J57" s="3051"/>
      <c r="K57" s="294"/>
      <c r="L57" s="370"/>
      <c r="M57" s="369"/>
      <c r="N57" s="369"/>
      <c r="O57" s="369"/>
      <c r="P57" s="369"/>
      <c r="Q57" s="368"/>
      <c r="S57" s="3058"/>
      <c r="T57" s="3059"/>
    </row>
    <row r="58" spans="1:23" s="269" customFormat="1" ht="14.25" customHeight="1">
      <c r="A58" s="294"/>
      <c r="B58" s="2261" t="s">
        <v>2215</v>
      </c>
      <c r="C58" s="294"/>
      <c r="D58" s="294"/>
      <c r="E58" s="294"/>
      <c r="F58" s="294"/>
      <c r="G58" s="294"/>
      <c r="I58" s="3052">
        <f>SUM(I38:J43)+SUM(I47:J57)</f>
        <v>5168536</v>
      </c>
      <c r="J58" s="3053"/>
      <c r="K58" s="294"/>
      <c r="L58" s="370"/>
      <c r="M58" s="369"/>
      <c r="N58" s="369"/>
      <c r="O58" s="369"/>
      <c r="P58" s="369"/>
      <c r="Q58" s="368"/>
      <c r="S58" s="3058"/>
      <c r="T58" s="3059"/>
    </row>
    <row r="59" spans="1:23" s="269" customFormat="1" ht="14.25" customHeight="1" thickBot="1">
      <c r="A59" s="294"/>
      <c r="B59" s="2261" t="s">
        <v>2216</v>
      </c>
      <c r="C59" s="294"/>
      <c r="D59" s="294"/>
      <c r="E59" s="294"/>
      <c r="F59" s="294"/>
      <c r="G59" s="294"/>
      <c r="I59" s="3054">
        <f>'Part IV-A-Uses of Funds'!$G$132</f>
        <v>5168536</v>
      </c>
      <c r="J59" s="3055"/>
      <c r="K59" s="294"/>
      <c r="L59" s="370"/>
      <c r="M59" s="369"/>
      <c r="N59" s="369"/>
      <c r="O59" s="369"/>
      <c r="P59" s="369"/>
      <c r="Q59" s="368"/>
      <c r="S59" s="3058"/>
      <c r="T59" s="3059"/>
    </row>
    <row r="60" spans="1:23" s="269" customFormat="1" ht="14.25" customHeight="1" thickBot="1">
      <c r="A60" s="294"/>
      <c r="B60" s="2258" t="s">
        <v>1524</v>
      </c>
      <c r="C60" s="294"/>
      <c r="D60" s="294"/>
      <c r="E60" s="294"/>
      <c r="F60" s="294"/>
      <c r="G60" s="294"/>
      <c r="I60" s="3056">
        <f>I58-I59</f>
        <v>0</v>
      </c>
      <c r="J60" s="3057"/>
      <c r="K60" s="294"/>
      <c r="L60" s="370"/>
      <c r="M60" s="369"/>
      <c r="N60" s="369"/>
      <c r="O60" s="369"/>
      <c r="P60" s="369"/>
      <c r="Q60" s="368"/>
      <c r="S60" s="3060"/>
      <c r="T60" s="3061"/>
    </row>
    <row r="61" spans="1:23" s="269" customFormat="1" ht="13.2" customHeight="1">
      <c r="A61" s="294" t="s">
        <v>3466</v>
      </c>
      <c r="B61" s="2258"/>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1791</v>
      </c>
      <c r="B63" s="296" t="s">
        <v>571</v>
      </c>
      <c r="C63" s="312"/>
      <c r="D63" s="312"/>
      <c r="E63" s="312"/>
      <c r="F63" s="312"/>
      <c r="G63" s="312"/>
      <c r="H63" s="312"/>
      <c r="I63" s="312"/>
      <c r="J63" s="312"/>
      <c r="M63" s="296" t="s">
        <v>1791</v>
      </c>
      <c r="N63" s="296" t="s">
        <v>79</v>
      </c>
      <c r="O63" s="312"/>
      <c r="P63" s="312"/>
      <c r="Q63" s="312"/>
    </row>
    <row r="64" spans="1:23" ht="111.75" customHeight="1">
      <c r="A64" s="3065" t="s">
        <v>5284</v>
      </c>
      <c r="B64" s="3065"/>
      <c r="C64" s="3065"/>
      <c r="D64" s="3065"/>
      <c r="E64" s="3065"/>
      <c r="F64" s="3065"/>
      <c r="G64" s="3065"/>
      <c r="H64" s="3065"/>
      <c r="I64" s="3065"/>
      <c r="J64" s="3065"/>
      <c r="K64" s="3065"/>
      <c r="L64" s="3065"/>
      <c r="M64" s="3064"/>
      <c r="N64" s="3064"/>
      <c r="O64" s="3064"/>
      <c r="P64" s="3064"/>
      <c r="Q64" s="3064"/>
      <c r="S64" s="3046" t="s">
        <v>2692</v>
      </c>
      <c r="T64" s="3046"/>
      <c r="U64" s="471"/>
      <c r="V64" s="471"/>
      <c r="W64" s="471"/>
    </row>
    <row r="65" spans="1:23" ht="11.25" customHeight="1">
      <c r="S65" s="471"/>
      <c r="T65" s="471"/>
      <c r="U65" s="471"/>
      <c r="V65" s="471"/>
      <c r="W65" s="471"/>
    </row>
    <row r="66" spans="1:23" ht="12" customHeight="1"/>
    <row r="67" spans="1:23" ht="12" customHeight="1">
      <c r="B67" s="342"/>
    </row>
    <row r="68" spans="1:23" ht="14.7" customHeight="1"/>
    <row r="69" spans="1:23" s="269" customFormat="1" ht="14.7" customHeight="1"/>
    <row r="70" spans="1:23" s="269" customFormat="1" ht="14.7" customHeight="1"/>
    <row r="71" spans="1:23" s="269" customFormat="1" ht="14.7" customHeight="1"/>
    <row r="72" spans="1:23" ht="14.7" customHeight="1"/>
    <row r="73" spans="1:23" s="269" customFormat="1" ht="14.7" customHeight="1">
      <c r="A73" s="343"/>
    </row>
    <row r="74" spans="1:23" s="269" customFormat="1" ht="14.7" customHeight="1">
      <c r="A74" s="343"/>
    </row>
    <row r="75" spans="1:23" s="269" customFormat="1" ht="14.7" customHeight="1"/>
    <row r="76" spans="1:23" s="269" customFormat="1" ht="14.7" customHeight="1">
      <c r="A76" s="343"/>
    </row>
    <row r="77" spans="1:23" s="269" customFormat="1" ht="14.7" customHeight="1">
      <c r="A77" s="2173"/>
    </row>
    <row r="78" spans="1:23" s="269" customFormat="1" ht="14.7" customHeight="1">
      <c r="A78" s="2173"/>
    </row>
    <row r="79" spans="1:23" s="269" customFormat="1" ht="14.7" customHeight="1">
      <c r="A79" s="2174"/>
    </row>
    <row r="80" spans="1:23" s="269" customFormat="1" ht="14.7" customHeight="1">
      <c r="A80" s="2175"/>
    </row>
    <row r="81" spans="1:1" s="269" customFormat="1" ht="14.7" customHeight="1">
      <c r="A81" s="2173"/>
    </row>
    <row r="82" spans="1:1" s="269" customFormat="1" ht="14.7" customHeight="1">
      <c r="A82" s="2173"/>
    </row>
    <row r="83" spans="1:1" s="269" customFormat="1" ht="14.7" customHeight="1">
      <c r="A83" s="2174"/>
    </row>
    <row r="84" spans="1:1" s="269" customFormat="1" ht="14.7" customHeight="1">
      <c r="A84" s="2175"/>
    </row>
    <row r="85" spans="1:1" s="269" customFormat="1" ht="14.7" customHeight="1">
      <c r="A85" s="2173"/>
    </row>
    <row r="86" spans="1:1" s="269" customFormat="1" ht="14.7" customHeight="1">
      <c r="A86" s="341"/>
    </row>
    <row r="87" spans="1:1" s="269" customFormat="1" ht="14.7" customHeight="1">
      <c r="A87" s="344"/>
    </row>
    <row r="88" spans="1:1" s="269" customFormat="1" ht="14.7" customHeight="1">
      <c r="A88" s="344"/>
    </row>
    <row r="89" spans="1:1" s="269" customFormat="1" ht="14.7" customHeight="1">
      <c r="A89" s="344"/>
    </row>
    <row r="90" spans="1:1" s="269" customFormat="1" ht="14.7" customHeight="1">
      <c r="A90" s="344"/>
    </row>
    <row r="91" spans="1:1" s="269" customFormat="1" ht="14.7" customHeight="1"/>
    <row r="92" spans="1:1" s="269"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4"/>
      <c r="L99" s="269"/>
      <c r="M99" s="269"/>
      <c r="N99" s="269"/>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l2vJm2xFtDwngk8dRAI9hEw0qi4OxNKeHygEBV1h0HBmB7WCUYgtADLlBG0yJMb4oySPJBHzyiScT261iUhHAQ==" saltValue="gIDsUIIZ7mrNvRlwzlSKTw==" spinCount="100000" sheet="1" object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33203125" style="26" customWidth="1"/>
    <col min="8" max="8" width="12.33203125" style="26" bestFit="1" customWidth="1"/>
    <col min="9" max="9" width="12.44140625" style="26" bestFit="1" customWidth="1"/>
    <col min="10" max="10" width="11.6640625" style="26" bestFit="1" customWidth="1"/>
    <col min="11" max="11" width="15.33203125" style="26" bestFit="1" customWidth="1"/>
    <col min="12" max="16384" width="8.6640625" style="26"/>
  </cols>
  <sheetData>
    <row r="1" spans="1:17" s="164" customFormat="1" ht="16.2" customHeight="1">
      <c r="A1" s="3172" t="e">
        <f>CONCATENATE("PART III B: USD 538 LOAN","  -  ",#REF!," ",#REF!,", ",#REF!,", ",#REF!," County")</f>
        <v>#REF!</v>
      </c>
      <c r="B1" s="3173"/>
      <c r="C1" s="3173"/>
      <c r="D1" s="3173"/>
      <c r="E1" s="3173"/>
      <c r="F1" s="3174"/>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3181" t="s">
        <v>218</v>
      </c>
      <c r="B3" s="3181"/>
      <c r="C3" s="3181"/>
      <c r="D3" s="3181"/>
      <c r="E3" s="3181"/>
      <c r="F3" s="3181"/>
      <c r="G3" s="193"/>
      <c r="H3" s="193"/>
    </row>
    <row r="4" spans="1:17" s="181" customFormat="1" ht="6" customHeight="1"/>
    <row r="5" spans="1:17">
      <c r="A5" s="32" t="s">
        <v>2254</v>
      </c>
      <c r="B5" s="32"/>
      <c r="C5" s="258"/>
      <c r="D5" s="259">
        <f>IF(C5&gt;1500000,1500000,0)</f>
        <v>0</v>
      </c>
      <c r="E5" s="260">
        <f>IF(C5&gt;1500000,C5-1500000,0)</f>
        <v>0</v>
      </c>
    </row>
    <row r="6" spans="1:17">
      <c r="A6" s="32" t="s">
        <v>2462</v>
      </c>
      <c r="B6" s="215" t="s">
        <v>504</v>
      </c>
      <c r="C6" s="261">
        <v>0</v>
      </c>
      <c r="D6" s="117" t="s">
        <v>505</v>
      </c>
      <c r="E6" s="32"/>
    </row>
    <row r="7" spans="1:17">
      <c r="A7" s="32"/>
      <c r="B7" s="215" t="s">
        <v>2478</v>
      </c>
      <c r="C7" s="262"/>
      <c r="D7" s="117" t="s">
        <v>1662</v>
      </c>
      <c r="E7" s="32"/>
    </row>
    <row r="8" spans="1:17" ht="13.2" customHeight="1">
      <c r="A8" s="32" t="s">
        <v>2466</v>
      </c>
      <c r="B8" s="32"/>
      <c r="C8" s="261">
        <v>0</v>
      </c>
      <c r="D8" s="117" t="s">
        <v>1663</v>
      </c>
      <c r="E8" s="32"/>
    </row>
    <row r="9" spans="1:17">
      <c r="A9" s="32" t="s">
        <v>1384</v>
      </c>
      <c r="B9" s="32"/>
      <c r="C9" s="263"/>
      <c r="D9" s="32"/>
      <c r="E9" s="32"/>
    </row>
    <row r="10" spans="1:17">
      <c r="A10" s="32" t="s">
        <v>1385</v>
      </c>
      <c r="B10" s="32"/>
      <c r="C10" s="263"/>
      <c r="D10" s="32"/>
      <c r="E10" s="32"/>
    </row>
    <row r="11" spans="1:17">
      <c r="A11" s="32" t="s">
        <v>1382</v>
      </c>
      <c r="B11" s="32"/>
      <c r="C11" s="264" t="e">
        <f>PMT(C7/12,C10*12,-C5,0,0)*12</f>
        <v>#NUM!</v>
      </c>
      <c r="D11" s="259" t="e">
        <f>PMT($C$7/12,$C$10*12,-D5,0,0)*12</f>
        <v>#NUM!</v>
      </c>
      <c r="E11" s="259" t="e">
        <f>PMT($C$7/12,$C$10*12,-E5,0,0)*12</f>
        <v>#NUM!</v>
      </c>
    </row>
    <row r="12" spans="1:17">
      <c r="A12" s="32" t="s">
        <v>1383</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3182" t="s">
        <v>128</v>
      </c>
      <c r="B14" s="3182"/>
      <c r="C14" s="3182"/>
      <c r="D14" s="3182"/>
      <c r="E14" s="3182"/>
      <c r="F14" s="3182"/>
      <c r="G14" s="193"/>
      <c r="H14" s="193"/>
    </row>
    <row r="15" spans="1:17" ht="5.7" customHeight="1">
      <c r="A15" s="27"/>
      <c r="E15" s="204"/>
      <c r="F15" s="193"/>
      <c r="G15" s="193"/>
      <c r="H15" s="193"/>
    </row>
    <row r="16" spans="1:17" ht="13.2" customHeight="1">
      <c r="A16" s="206" t="s">
        <v>2479</v>
      </c>
      <c r="B16" s="207" t="s">
        <v>2476</v>
      </c>
      <c r="C16" s="207" t="s">
        <v>2477</v>
      </c>
      <c r="D16" s="3178" t="s">
        <v>2253</v>
      </c>
      <c r="E16" s="3178"/>
      <c r="F16" s="193"/>
      <c r="G16" s="193"/>
      <c r="H16" s="193"/>
    </row>
    <row r="17" spans="1:8" ht="12.6" customHeight="1">
      <c r="A17" s="80">
        <v>1</v>
      </c>
      <c r="B17" s="182">
        <f>IF(A17&gt;$C$9,0,SUM(C64:C75)*($C$6/$C$7))</f>
        <v>0</v>
      </c>
      <c r="C17" s="205">
        <f>IF(A17&gt;C9,0,(E63+K63)*$C$8)</f>
        <v>0</v>
      </c>
      <c r="D17" s="3183">
        <f t="shared" ref="D17:D56" si="0">IF(A17&gt;$C$9,0,$C$11+C17)</f>
        <v>0</v>
      </c>
      <c r="E17" s="3183"/>
      <c r="F17" s="193"/>
      <c r="G17" s="193"/>
      <c r="H17" s="193"/>
    </row>
    <row r="18" spans="1:8" ht="12.6" customHeight="1">
      <c r="A18" s="80">
        <v>2</v>
      </c>
      <c r="B18" s="182">
        <f>IF(A18&gt;C9,0,SUM(C76:C87)*($C$6/$C$7))</f>
        <v>0</v>
      </c>
      <c r="C18" s="212">
        <f>IF(A18&gt;C9,0,(E75+K75)*$C$8)</f>
        <v>0</v>
      </c>
      <c r="D18" s="3175">
        <f t="shared" si="0"/>
        <v>0</v>
      </c>
      <c r="E18" s="3175"/>
      <c r="F18" s="193"/>
      <c r="G18" s="193"/>
      <c r="H18" s="193"/>
    </row>
    <row r="19" spans="1:8" ht="12.6" customHeight="1">
      <c r="A19" s="80">
        <v>3</v>
      </c>
      <c r="B19" s="182">
        <f>IF(A19&gt;C9,0,SUM(C88:C99)*($C$6/$C$7))</f>
        <v>0</v>
      </c>
      <c r="C19" s="205">
        <f>IF(A19&gt;C9,0,(E87+K87)*$C$8)</f>
        <v>0</v>
      </c>
      <c r="D19" s="3175">
        <f t="shared" si="0"/>
        <v>0</v>
      </c>
      <c r="E19" s="3175"/>
      <c r="F19" s="193"/>
      <c r="G19" s="193"/>
      <c r="H19" s="193"/>
    </row>
    <row r="20" spans="1:8" ht="12.6" customHeight="1">
      <c r="A20" s="80">
        <v>4</v>
      </c>
      <c r="B20" s="182">
        <f>IF(A20&gt;C9,0,SUM(C100:C111)*($C$6/$C$7))</f>
        <v>0</v>
      </c>
      <c r="C20" s="205">
        <f>IF(A20&gt;C9,0,(E99+K99)*$C$8)</f>
        <v>0</v>
      </c>
      <c r="D20" s="3175">
        <f t="shared" si="0"/>
        <v>0</v>
      </c>
      <c r="E20" s="3175"/>
      <c r="F20" s="193"/>
      <c r="G20" s="193"/>
      <c r="H20" s="193"/>
    </row>
    <row r="21" spans="1:8" ht="12.6" customHeight="1">
      <c r="A21" s="80">
        <v>5</v>
      </c>
      <c r="B21" s="182">
        <f>IF(A21&gt;C9,0,SUM(C112:C123)*($C$6/$C$7))</f>
        <v>0</v>
      </c>
      <c r="C21" s="205">
        <f>IF(A21&gt;C9,0,(E111+K111)*$C$8)</f>
        <v>0</v>
      </c>
      <c r="D21" s="3176">
        <f t="shared" si="0"/>
        <v>0</v>
      </c>
      <c r="E21" s="3176"/>
      <c r="F21" s="193"/>
      <c r="G21" s="193"/>
      <c r="H21" s="193"/>
    </row>
    <row r="22" spans="1:8" ht="12.6" customHeight="1">
      <c r="A22" s="183">
        <v>6</v>
      </c>
      <c r="B22" s="184">
        <f>IF(A22&gt;C9,0,SUM(C124:C135)*($C$6/$C$7))</f>
        <v>0</v>
      </c>
      <c r="C22" s="209">
        <f>IF(A22&gt;C9,0,(E123+K123)*$C$8)</f>
        <v>0</v>
      </c>
      <c r="D22" s="3175">
        <f t="shared" si="0"/>
        <v>0</v>
      </c>
      <c r="E22" s="3175"/>
      <c r="F22" s="193"/>
      <c r="G22" s="193"/>
      <c r="H22" s="193"/>
    </row>
    <row r="23" spans="1:8" ht="12.6" customHeight="1">
      <c r="A23" s="185">
        <v>7</v>
      </c>
      <c r="B23" s="186">
        <f>IF(A23&gt;C9,0,SUM(C136:C147)*($C$6/$C$7))</f>
        <v>0</v>
      </c>
      <c r="C23" s="187">
        <f>IF(A23&gt;C9,0,(E135+K135)*$C$8)</f>
        <v>0</v>
      </c>
      <c r="D23" s="3175">
        <f t="shared" si="0"/>
        <v>0</v>
      </c>
      <c r="E23" s="3175"/>
      <c r="F23" s="193"/>
      <c r="G23" s="193"/>
      <c r="H23" s="193"/>
    </row>
    <row r="24" spans="1:8" ht="12.6" customHeight="1">
      <c r="A24" s="185">
        <v>8</v>
      </c>
      <c r="B24" s="186">
        <f>IF(A24&gt;C9,0,SUM(C148:C159)*($C$6/$C$7))</f>
        <v>0</v>
      </c>
      <c r="C24" s="187">
        <f>IF(A24&gt;C9,0,(E147+K147)*$C$8)</f>
        <v>0</v>
      </c>
      <c r="D24" s="3175">
        <f t="shared" si="0"/>
        <v>0</v>
      </c>
      <c r="E24" s="3175"/>
      <c r="F24" s="193"/>
      <c r="G24" s="193"/>
      <c r="H24" s="193"/>
    </row>
    <row r="25" spans="1:8" ht="12.6" customHeight="1">
      <c r="A25" s="185">
        <v>9</v>
      </c>
      <c r="B25" s="186">
        <f>IF(A25&gt;C9,0,SUM(C160:C171)*($C$6/$C$7))</f>
        <v>0</v>
      </c>
      <c r="C25" s="187">
        <f>IF(A25&gt;C9,0,(E159+K159)*$C$8)</f>
        <v>0</v>
      </c>
      <c r="D25" s="3175">
        <f t="shared" si="0"/>
        <v>0</v>
      </c>
      <c r="E25" s="3175"/>
      <c r="F25" s="193"/>
      <c r="G25" s="193"/>
      <c r="H25" s="193"/>
    </row>
    <row r="26" spans="1:8" ht="12.6" customHeight="1">
      <c r="A26" s="188">
        <v>10</v>
      </c>
      <c r="B26" s="189">
        <f>IF(A26&gt;C9,0,SUM(C172:C183)*($C$6/$C$7))</f>
        <v>0</v>
      </c>
      <c r="C26" s="208">
        <f>IF(A26&gt;C9,0,(E171+K171)*$C$8)</f>
        <v>0</v>
      </c>
      <c r="D26" s="3176">
        <f t="shared" si="0"/>
        <v>0</v>
      </c>
      <c r="E26" s="3176"/>
      <c r="F26" s="193"/>
      <c r="G26" s="193"/>
      <c r="H26" s="193"/>
    </row>
    <row r="27" spans="1:8" ht="12.6" customHeight="1">
      <c r="A27" s="190">
        <v>11</v>
      </c>
      <c r="B27" s="182">
        <f>IF(A27&gt;C9,0,SUM(C184:C195)*($C$6/$C$7))</f>
        <v>0</v>
      </c>
      <c r="C27" s="205">
        <f>IF(A27&gt;C9,0,(E183+K183)*$C$8)</f>
        <v>0</v>
      </c>
      <c r="D27" s="3175">
        <f t="shared" si="0"/>
        <v>0</v>
      </c>
      <c r="E27" s="3175"/>
      <c r="F27" s="193"/>
      <c r="G27" s="193"/>
      <c r="H27" s="193"/>
    </row>
    <row r="28" spans="1:8" ht="12.6" customHeight="1">
      <c r="A28" s="190">
        <v>12</v>
      </c>
      <c r="B28" s="182">
        <f>IF(A28&gt;C9,0,SUM(C196:C207)*($C$6/$C$7))</f>
        <v>0</v>
      </c>
      <c r="C28" s="205">
        <f>IF(A28&gt;C9,0,(E195+K195)*$C$8)</f>
        <v>0</v>
      </c>
      <c r="D28" s="3175">
        <f t="shared" si="0"/>
        <v>0</v>
      </c>
      <c r="E28" s="3175"/>
      <c r="F28" s="193"/>
      <c r="G28" s="193"/>
      <c r="H28" s="193"/>
    </row>
    <row r="29" spans="1:8" ht="12.6" customHeight="1">
      <c r="A29" s="190">
        <v>13</v>
      </c>
      <c r="B29" s="182">
        <f>IF(A29&gt;C9,0,SUM(C208:C219)*($C$6/$C$7))</f>
        <v>0</v>
      </c>
      <c r="C29" s="205">
        <f>IF(A29&gt;C9,0,(E207+K207)*$C$8)</f>
        <v>0</v>
      </c>
      <c r="D29" s="3175">
        <f t="shared" si="0"/>
        <v>0</v>
      </c>
      <c r="E29" s="3175"/>
      <c r="F29" s="193"/>
      <c r="G29" s="193"/>
      <c r="H29" s="193"/>
    </row>
    <row r="30" spans="1:8" ht="12.6" customHeight="1">
      <c r="A30" s="190">
        <v>14</v>
      </c>
      <c r="B30" s="182">
        <f>IF(A30&gt;C9,0,SUM(C220:C231)*($C$6/$C$7))</f>
        <v>0</v>
      </c>
      <c r="C30" s="205">
        <f>IF(A30&gt;C9,0,(E219+K219)*$C$8)</f>
        <v>0</v>
      </c>
      <c r="D30" s="3175">
        <f t="shared" si="0"/>
        <v>0</v>
      </c>
      <c r="E30" s="3175"/>
      <c r="F30" s="193"/>
      <c r="G30" s="193"/>
      <c r="H30" s="193"/>
    </row>
    <row r="31" spans="1:8" ht="12.6" customHeight="1">
      <c r="A31" s="190">
        <v>15</v>
      </c>
      <c r="B31" s="182">
        <f>IF(A31&gt;C9,0,SUM(C232:C243)*($C$6/$C$7))</f>
        <v>0</v>
      </c>
      <c r="C31" s="205">
        <f>IF(A31&gt;C9,0,(E231+K231)*$C$8)</f>
        <v>0</v>
      </c>
      <c r="D31" s="3176">
        <f t="shared" si="0"/>
        <v>0</v>
      </c>
      <c r="E31" s="3176"/>
      <c r="F31" s="193"/>
      <c r="G31" s="193"/>
      <c r="H31" s="193"/>
    </row>
    <row r="32" spans="1:8" ht="12.6" customHeight="1">
      <c r="A32" s="192">
        <v>16</v>
      </c>
      <c r="B32" s="184">
        <f>IF(A32&gt;C9,0,SUM(C244:C255)*($C$6/$C$7))</f>
        <v>0</v>
      </c>
      <c r="C32" s="209">
        <f>IF(A32&gt;C9,0,(E243+K243)*$C$8)</f>
        <v>0</v>
      </c>
      <c r="D32" s="3175">
        <f t="shared" si="0"/>
        <v>0</v>
      </c>
      <c r="E32" s="3175"/>
      <c r="F32" s="193"/>
      <c r="G32" s="193"/>
      <c r="H32" s="193"/>
    </row>
    <row r="33" spans="1:8" ht="12.6" customHeight="1">
      <c r="A33" s="185">
        <v>17</v>
      </c>
      <c r="B33" s="186">
        <f>IF(A33&gt;C9,0,SUM(C256:C267)*($C$6/$C$7))</f>
        <v>0</v>
      </c>
      <c r="C33" s="187">
        <f>IF(A33&gt;C9,0,(E255+K255)*$C$8)</f>
        <v>0</v>
      </c>
      <c r="D33" s="3175">
        <f t="shared" si="0"/>
        <v>0</v>
      </c>
      <c r="E33" s="3175"/>
      <c r="F33" s="193"/>
      <c r="G33" s="193"/>
      <c r="H33" s="193"/>
    </row>
    <row r="34" spans="1:8" ht="12.6" customHeight="1">
      <c r="A34" s="185">
        <v>18</v>
      </c>
      <c r="B34" s="186">
        <f>IF(A34&gt;C9,0,SUM(C268:C279)*($C$6/$C$7))</f>
        <v>0</v>
      </c>
      <c r="C34" s="187">
        <f>IF(A34&gt;C9,0,(E267+K267)*$C$8)</f>
        <v>0</v>
      </c>
      <c r="D34" s="3175">
        <f t="shared" si="0"/>
        <v>0</v>
      </c>
      <c r="E34" s="3175"/>
      <c r="F34" s="193"/>
      <c r="G34" s="193"/>
      <c r="H34" s="193"/>
    </row>
    <row r="35" spans="1:8" ht="12.6" customHeight="1">
      <c r="A35" s="185">
        <v>19</v>
      </c>
      <c r="B35" s="186">
        <f>IF(A35&gt;C9,0,SUM(C280:C291)*($C$6/$C$7))</f>
        <v>0</v>
      </c>
      <c r="C35" s="187">
        <f>IF(A35&gt;C9,0,(E279+K279)*$C$8)</f>
        <v>0</v>
      </c>
      <c r="D35" s="3175">
        <f t="shared" si="0"/>
        <v>0</v>
      </c>
      <c r="E35" s="3175"/>
      <c r="F35" s="193"/>
      <c r="G35" s="193"/>
      <c r="H35" s="193"/>
    </row>
    <row r="36" spans="1:8" ht="12.6" customHeight="1">
      <c r="A36" s="188">
        <v>20</v>
      </c>
      <c r="B36" s="189">
        <f>IF(A36&gt;C9,0,SUM(C292:C303)*($C$6/$C$7))</f>
        <v>0</v>
      </c>
      <c r="C36" s="208">
        <f>IF(A36&gt;C9,0,(E291+K291)*$C$8)</f>
        <v>0</v>
      </c>
      <c r="D36" s="3176">
        <f t="shared" si="0"/>
        <v>0</v>
      </c>
      <c r="E36" s="3176"/>
      <c r="F36" s="193"/>
      <c r="G36" s="193"/>
      <c r="H36" s="193"/>
    </row>
    <row r="37" spans="1:8" ht="12.6" customHeight="1">
      <c r="A37" s="80">
        <v>21</v>
      </c>
      <c r="B37" s="184">
        <f>IF(A37&gt;C9,0,SUM(C293:C304)*($C$6/$C$7))</f>
        <v>0</v>
      </c>
      <c r="C37" s="209">
        <f>IF(A37&gt;C9,0,(E303+K303)*$C$8)</f>
        <v>0</v>
      </c>
      <c r="D37" s="3177">
        <f t="shared" si="0"/>
        <v>0</v>
      </c>
      <c r="E37" s="3177"/>
      <c r="F37" s="193"/>
      <c r="G37" s="193"/>
      <c r="H37" s="193"/>
    </row>
    <row r="38" spans="1:8" ht="12.6" customHeight="1">
      <c r="A38" s="80">
        <v>22</v>
      </c>
      <c r="B38" s="186">
        <f>IF(A38&gt;C9,0,SUM(C294:C305)*($C$6/$C$7))</f>
        <v>0</v>
      </c>
      <c r="C38" s="187">
        <f>IF(A38&gt;C9,0,(E315+K315)*$C$8)</f>
        <v>0</v>
      </c>
      <c r="D38" s="3175">
        <f t="shared" si="0"/>
        <v>0</v>
      </c>
      <c r="E38" s="3175"/>
      <c r="F38" s="193"/>
      <c r="G38" s="193"/>
      <c r="H38" s="193"/>
    </row>
    <row r="39" spans="1:8" ht="12.6" customHeight="1">
      <c r="A39" s="80">
        <v>23</v>
      </c>
      <c r="B39" s="186">
        <f>IF(A39&gt;C9,0,SUM(C295:C306)*($C$6/$C$7))</f>
        <v>0</v>
      </c>
      <c r="C39" s="187">
        <f>IF(A39&gt;C9,0,(E327+K327)*$C$8)</f>
        <v>0</v>
      </c>
      <c r="D39" s="3175">
        <f t="shared" si="0"/>
        <v>0</v>
      </c>
      <c r="E39" s="3175"/>
      <c r="F39" s="193"/>
      <c r="G39" s="193"/>
      <c r="H39" s="193"/>
    </row>
    <row r="40" spans="1:8" ht="12.6" customHeight="1">
      <c r="A40" s="80">
        <v>24</v>
      </c>
      <c r="B40" s="186">
        <f>IF(A40&gt;C9,0,SUM(C296:C307)*($C$6/$C$7))</f>
        <v>0</v>
      </c>
      <c r="C40" s="187">
        <f>IF(A40&gt;C9,0,(E339+K339)*$C$8)</f>
        <v>0</v>
      </c>
      <c r="D40" s="3175">
        <f t="shared" si="0"/>
        <v>0</v>
      </c>
      <c r="E40" s="3175"/>
      <c r="F40" s="193"/>
      <c r="G40" s="193"/>
      <c r="H40" s="193"/>
    </row>
    <row r="41" spans="1:8" ht="12.6" customHeight="1">
      <c r="A41" s="80">
        <v>25</v>
      </c>
      <c r="B41" s="189">
        <f>IF(A41&gt;C9,0,SUM(C297:C308)*($C$6/$C$7))</f>
        <v>0</v>
      </c>
      <c r="C41" s="208">
        <f>IF(A41&gt;C9,0,(E351+K351)*$C$8)</f>
        <v>0</v>
      </c>
      <c r="D41" s="3176">
        <f t="shared" si="0"/>
        <v>0</v>
      </c>
      <c r="E41" s="3176"/>
      <c r="F41" s="193"/>
      <c r="G41" s="193"/>
      <c r="H41" s="193"/>
    </row>
    <row r="42" spans="1:8" ht="12.6" customHeight="1">
      <c r="A42" s="183">
        <v>26</v>
      </c>
      <c r="B42" s="184">
        <f>IF(A42&gt;C9,0,SUM(C298:C309)*($C$6/$C$7))</f>
        <v>0</v>
      </c>
      <c r="C42" s="209">
        <f>IF(A42&gt;C9,0,(E363+K363)*$C$8)</f>
        <v>0</v>
      </c>
      <c r="D42" s="3177">
        <f t="shared" si="0"/>
        <v>0</v>
      </c>
      <c r="E42" s="3177"/>
      <c r="F42" s="193"/>
      <c r="G42" s="193"/>
      <c r="H42" s="193"/>
    </row>
    <row r="43" spans="1:8" ht="12.6" customHeight="1">
      <c r="A43" s="185">
        <v>27</v>
      </c>
      <c r="B43" s="186">
        <f>IF(A43&gt;C9,0,SUM(C299:C310)*($C$6/$C$7))</f>
        <v>0</v>
      </c>
      <c r="C43" s="187">
        <f>IF(A43&gt;C9,0,(E375+K375)*$C$8)</f>
        <v>0</v>
      </c>
      <c r="D43" s="3175">
        <f t="shared" si="0"/>
        <v>0</v>
      </c>
      <c r="E43" s="3175"/>
      <c r="F43" s="193"/>
      <c r="G43" s="193"/>
      <c r="H43" s="193"/>
    </row>
    <row r="44" spans="1:8" ht="12.6" customHeight="1">
      <c r="A44" s="185">
        <v>28</v>
      </c>
      <c r="B44" s="186">
        <f>IF(A44&gt;C9,0,SUM(C300:C311)*($C$6/$C$7))</f>
        <v>0</v>
      </c>
      <c r="C44" s="187">
        <f>IF(A44&gt;C9,0,(E387+K387)*$C$8)</f>
        <v>0</v>
      </c>
      <c r="D44" s="3175">
        <f t="shared" si="0"/>
        <v>0</v>
      </c>
      <c r="E44" s="3175"/>
      <c r="F44" s="193"/>
      <c r="G44" s="193"/>
      <c r="H44" s="193"/>
    </row>
    <row r="45" spans="1:8" ht="12.6" customHeight="1">
      <c r="A45" s="185">
        <v>29</v>
      </c>
      <c r="B45" s="186">
        <f>IF(A45&gt;C9,0,SUM(C301:C312)*($C$6/$C$7))</f>
        <v>0</v>
      </c>
      <c r="C45" s="187">
        <f>IF(A45&gt;C9,0,(E411+K411)*$C$8)</f>
        <v>0</v>
      </c>
      <c r="D45" s="3175">
        <f t="shared" si="0"/>
        <v>0</v>
      </c>
      <c r="E45" s="3175"/>
      <c r="F45" s="193"/>
      <c r="G45" s="193"/>
      <c r="H45" s="193"/>
    </row>
    <row r="46" spans="1:8" ht="12.6" customHeight="1">
      <c r="A46" s="188">
        <v>30</v>
      </c>
      <c r="B46" s="189">
        <f>IF(A46&gt;C9,0,SUM(C302:C313)*($C$6/$C$7))</f>
        <v>0</v>
      </c>
      <c r="C46" s="208">
        <f>IF(A46&gt;C9,0,(E423+K423)*$C$8)</f>
        <v>0</v>
      </c>
      <c r="D46" s="3176">
        <f t="shared" si="0"/>
        <v>0</v>
      </c>
      <c r="E46" s="3176"/>
      <c r="F46" s="193"/>
      <c r="G46" s="193"/>
      <c r="H46" s="193"/>
    </row>
    <row r="47" spans="1:8" ht="12.6" customHeight="1">
      <c r="A47" s="192">
        <v>31</v>
      </c>
      <c r="B47" s="184">
        <f>IF(A47&gt;C9,0,SUM(C303:C314)*($C$6/$C$7))</f>
        <v>0</v>
      </c>
      <c r="C47" s="209">
        <f>IF(A47&gt;C9,0,(E435+K435)*$C$8)</f>
        <v>0</v>
      </c>
      <c r="D47" s="3177">
        <f t="shared" si="0"/>
        <v>0</v>
      </c>
      <c r="E47" s="3177"/>
      <c r="F47" s="193"/>
      <c r="G47" s="193"/>
      <c r="H47" s="193"/>
    </row>
    <row r="48" spans="1:8" ht="12.6" customHeight="1">
      <c r="A48" s="185">
        <v>32</v>
      </c>
      <c r="B48" s="186">
        <f>IF(A48&gt;C9,0,SUM(C304:C315)*($C$6/$C$7))</f>
        <v>0</v>
      </c>
      <c r="C48" s="187">
        <f>IF(A48&gt;C9,0,(E447+K447)*$C$8)</f>
        <v>0</v>
      </c>
      <c r="D48" s="3175">
        <f t="shared" si="0"/>
        <v>0</v>
      </c>
      <c r="E48" s="3175"/>
      <c r="F48" s="193"/>
      <c r="G48" s="193"/>
      <c r="H48" s="193"/>
    </row>
    <row r="49" spans="1:12" ht="12.6" customHeight="1">
      <c r="A49" s="185">
        <v>33</v>
      </c>
      <c r="B49" s="186">
        <f>IF(A49&gt;C9,0,SUM(C305:C316)*($C$6/$C$7))</f>
        <v>0</v>
      </c>
      <c r="C49" s="187">
        <f>IF(A49&gt;C9,0,(E459+K459)*$C$8)</f>
        <v>0</v>
      </c>
      <c r="D49" s="3175">
        <f t="shared" si="0"/>
        <v>0</v>
      </c>
      <c r="E49" s="3175"/>
      <c r="F49" s="193"/>
      <c r="G49" s="193"/>
      <c r="H49" s="193"/>
    </row>
    <row r="50" spans="1:12" ht="12.6" customHeight="1">
      <c r="A50" s="185">
        <v>34</v>
      </c>
      <c r="B50" s="186">
        <f>IF(A50&gt;C9,0,SUM(C306:C317)*($C$6/$C$7))</f>
        <v>0</v>
      </c>
      <c r="C50" s="187">
        <f>IF(A50&gt;C9,0,(E471+K471)*$C$8)</f>
        <v>0</v>
      </c>
      <c r="D50" s="3175">
        <f t="shared" si="0"/>
        <v>0</v>
      </c>
      <c r="E50" s="3175"/>
      <c r="F50" s="193"/>
      <c r="G50" s="193"/>
      <c r="H50" s="193"/>
    </row>
    <row r="51" spans="1:12" ht="12.6" customHeight="1">
      <c r="A51" s="188">
        <v>35</v>
      </c>
      <c r="B51" s="189">
        <f>IF(A51&gt;C9,0,SUM(C307:C318)*($C$6/$C$7))</f>
        <v>0</v>
      </c>
      <c r="C51" s="208">
        <f>IF(A51&gt;C9,0,(E483+K483)*$C$8)</f>
        <v>0</v>
      </c>
      <c r="D51" s="3176">
        <f t="shared" si="0"/>
        <v>0</v>
      </c>
      <c r="E51" s="3176"/>
      <c r="F51" s="193"/>
      <c r="G51" s="193"/>
      <c r="H51" s="193"/>
    </row>
    <row r="52" spans="1:12" ht="12.6" customHeight="1">
      <c r="A52" s="192">
        <v>36</v>
      </c>
      <c r="B52" s="184">
        <f>IF(A52&gt;C9,0,SUM(C308:C319)*($C$6/$C$7))</f>
        <v>0</v>
      </c>
      <c r="C52" s="209">
        <f>IF(A52&gt;C9,0,(E495+K495)*$C$8)</f>
        <v>0</v>
      </c>
      <c r="D52" s="3177">
        <f t="shared" si="0"/>
        <v>0</v>
      </c>
      <c r="E52" s="3177"/>
      <c r="F52" s="193"/>
      <c r="G52" s="193"/>
      <c r="H52" s="193"/>
    </row>
    <row r="53" spans="1:12" ht="12.6" customHeight="1">
      <c r="A53" s="185">
        <v>37</v>
      </c>
      <c r="B53" s="186">
        <f>IF(A53&gt;C9,0,SUM(C309:C320)*($C$6/$C$7))</f>
        <v>0</v>
      </c>
      <c r="C53" s="187">
        <f>IF(A53&gt;C9,0,(E507+K507)*$C$8)</f>
        <v>0</v>
      </c>
      <c r="D53" s="3175">
        <f t="shared" si="0"/>
        <v>0</v>
      </c>
      <c r="E53" s="3175"/>
      <c r="F53" s="193"/>
      <c r="G53" s="193"/>
      <c r="H53" s="193"/>
    </row>
    <row r="54" spans="1:12" ht="12.6" customHeight="1">
      <c r="A54" s="185">
        <v>38</v>
      </c>
      <c r="B54" s="186">
        <f>IF(A54&gt;C9,0,SUM(C310:C321)*($C$6/$C$7))</f>
        <v>0</v>
      </c>
      <c r="C54" s="187">
        <f>IF(A54&gt;C9,0,(E519+K519)*$C$8)</f>
        <v>0</v>
      </c>
      <c r="D54" s="3175">
        <f t="shared" si="0"/>
        <v>0</v>
      </c>
      <c r="E54" s="3175"/>
      <c r="F54" s="193"/>
      <c r="G54" s="193"/>
      <c r="H54" s="193"/>
    </row>
    <row r="55" spans="1:12" ht="12.6" customHeight="1">
      <c r="A55" s="185">
        <v>39</v>
      </c>
      <c r="B55" s="186">
        <f>IF(A55&gt;C9,0,SUM(C311:C322)*($C$6/$C$7))</f>
        <v>0</v>
      </c>
      <c r="C55" s="187">
        <f>IF(A55&gt;C9,0,(E531+K531)*$C$8)</f>
        <v>0</v>
      </c>
      <c r="D55" s="3175">
        <f t="shared" si="0"/>
        <v>0</v>
      </c>
      <c r="E55" s="3175"/>
      <c r="F55" s="193"/>
      <c r="G55" s="193"/>
      <c r="H55" s="193"/>
    </row>
    <row r="56" spans="1:12" ht="12.6" customHeight="1">
      <c r="A56" s="188">
        <v>40</v>
      </c>
      <c r="B56" s="189">
        <f>IF(A56&gt;C9,0,SUM(C312:C323)*($C$6/$C$7))</f>
        <v>0</v>
      </c>
      <c r="C56" s="208">
        <f>IF(A56&gt;C9,0,(E543+K543)*$C$8)</f>
        <v>0</v>
      </c>
      <c r="D56" s="3176">
        <f t="shared" si="0"/>
        <v>0</v>
      </c>
      <c r="E56" s="3176"/>
      <c r="F56" s="193"/>
      <c r="G56" s="193"/>
      <c r="H56" s="193"/>
    </row>
    <row r="57" spans="1:12" ht="3" customHeight="1">
      <c r="A57" s="193"/>
      <c r="B57" s="193"/>
      <c r="C57" s="193"/>
      <c r="D57" s="193"/>
      <c r="E57" s="193"/>
      <c r="F57" s="193"/>
      <c r="G57" s="193"/>
      <c r="H57" s="193"/>
    </row>
    <row r="58" spans="1:12" ht="13.2" customHeight="1">
      <c r="A58" s="3179" t="e">
        <f>CONCATENATE(#REF!," ",#REF!,", ",#REF!,", ",#REF!," County")</f>
        <v>#REF!</v>
      </c>
      <c r="B58" s="3179"/>
      <c r="C58" s="3179"/>
      <c r="D58" s="3179"/>
      <c r="E58" s="3179"/>
      <c r="F58" s="3179"/>
      <c r="G58" s="3179" t="e">
        <f>CONCATENATE(#REF!," ",#REF!,", ",#REF!,", ",#REF!," County")</f>
        <v>#REF!</v>
      </c>
      <c r="H58" s="3179"/>
      <c r="I58" s="3179"/>
      <c r="J58" s="3179"/>
      <c r="K58" s="3179"/>
      <c r="L58" s="3179"/>
    </row>
    <row r="59" spans="1:12" ht="13.8">
      <c r="A59" s="3180" t="s">
        <v>2470</v>
      </c>
      <c r="B59" s="3180"/>
      <c r="C59" s="3180"/>
      <c r="D59" s="3180"/>
      <c r="E59" s="3180"/>
      <c r="F59" s="3180"/>
      <c r="G59" s="3180" t="s">
        <v>2470</v>
      </c>
      <c r="H59" s="3180"/>
      <c r="I59" s="3180"/>
      <c r="J59" s="3180"/>
      <c r="K59" s="3180"/>
      <c r="L59" s="3180"/>
    </row>
    <row r="60" spans="1:12" ht="6" customHeight="1">
      <c r="C60" s="191"/>
      <c r="D60" s="191"/>
      <c r="I60" s="191"/>
      <c r="J60" s="191"/>
    </row>
    <row r="61" spans="1:12">
      <c r="A61" s="194" t="s">
        <v>2471</v>
      </c>
      <c r="B61" s="195" t="s">
        <v>2472</v>
      </c>
      <c r="C61" s="195" t="s">
        <v>1293</v>
      </c>
      <c r="D61" s="195" t="s">
        <v>2473</v>
      </c>
      <c r="E61" s="194" t="s">
        <v>2474</v>
      </c>
      <c r="F61" s="222" t="s">
        <v>2479</v>
      </c>
      <c r="G61" s="194" t="s">
        <v>2471</v>
      </c>
      <c r="H61" s="195" t="s">
        <v>2472</v>
      </c>
      <c r="I61" s="195" t="s">
        <v>1293</v>
      </c>
      <c r="J61" s="195" t="s">
        <v>2473</v>
      </c>
      <c r="K61" s="194" t="s">
        <v>2474</v>
      </c>
      <c r="L61" s="222" t="s">
        <v>2479</v>
      </c>
    </row>
    <row r="62" spans="1:12" ht="3.6" customHeight="1">
      <c r="A62" s="197"/>
      <c r="B62" s="116"/>
      <c r="C62" s="116"/>
      <c r="D62" s="116"/>
      <c r="E62" s="116"/>
      <c r="F62" s="80"/>
      <c r="G62" s="197"/>
      <c r="H62" s="116"/>
      <c r="I62" s="116"/>
      <c r="J62" s="116"/>
      <c r="K62" s="116"/>
      <c r="L62" s="80"/>
    </row>
    <row r="63" spans="1:12">
      <c r="A63" s="198" t="s">
        <v>2475</v>
      </c>
      <c r="B63" s="199"/>
      <c r="C63" s="199"/>
      <c r="D63" s="199"/>
      <c r="E63" s="200">
        <f>IF($C$5&gt;1500000,$D$5,$C$5)</f>
        <v>0</v>
      </c>
      <c r="F63" s="80"/>
      <c r="G63" s="198" t="s">
        <v>2475</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3320312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6640625" style="26"/>
  </cols>
  <sheetData>
    <row r="1" spans="1:17" s="164" customFormat="1" ht="16.2" customHeight="1">
      <c r="A1" s="3172" t="e">
        <f>CONCATENATE("PART III C  - HUD INSURED LOAN","  -  ",#REF!," ",#REF!,", ",#REF!,", ",#REF!," County")</f>
        <v>#REF!</v>
      </c>
      <c r="B1" s="3173"/>
      <c r="C1" s="3173"/>
      <c r="D1" s="3173"/>
      <c r="E1" s="3173"/>
      <c r="F1" s="3174"/>
      <c r="G1" s="162"/>
      <c r="H1" s="162"/>
      <c r="I1" s="162"/>
      <c r="J1" s="162"/>
      <c r="K1" s="162"/>
      <c r="L1" s="162"/>
      <c r="M1" s="162"/>
      <c r="N1" s="162"/>
      <c r="O1" s="162"/>
      <c r="P1" s="162"/>
      <c r="Q1" s="162"/>
    </row>
    <row r="2" spans="1:17">
      <c r="A2" s="12"/>
      <c r="B2" s="181"/>
      <c r="C2" s="181"/>
      <c r="D2" s="181"/>
    </row>
    <row r="3" spans="1:17" ht="15.6" customHeight="1">
      <c r="A3" s="3181" t="s">
        <v>218</v>
      </c>
      <c r="B3" s="3181"/>
      <c r="C3" s="3181"/>
      <c r="D3" s="3181"/>
      <c r="E3" s="3181"/>
      <c r="F3" s="3181"/>
      <c r="G3" s="225"/>
      <c r="H3" s="225"/>
    </row>
    <row r="4" spans="1:17">
      <c r="A4" s="12"/>
      <c r="B4" s="181"/>
      <c r="C4" s="181"/>
      <c r="D4" s="181"/>
    </row>
    <row r="5" spans="1:17" ht="13.2" customHeight="1">
      <c r="A5" s="26" t="s">
        <v>2254</v>
      </c>
      <c r="D5" s="220"/>
      <c r="E5" s="3184" t="s">
        <v>955</v>
      </c>
      <c r="F5" s="3185"/>
      <c r="G5" s="159"/>
    </row>
    <row r="6" spans="1:17">
      <c r="E6" s="3185"/>
      <c r="F6" s="3185"/>
      <c r="G6" s="159"/>
    </row>
    <row r="7" spans="1:17">
      <c r="A7" s="26" t="s">
        <v>2462</v>
      </c>
      <c r="C7" s="26" t="s">
        <v>2463</v>
      </c>
      <c r="D7" s="221"/>
      <c r="E7" s="3185"/>
      <c r="F7" s="3185"/>
      <c r="G7" s="159"/>
    </row>
    <row r="8" spans="1:17">
      <c r="C8" s="26" t="s">
        <v>2464</v>
      </c>
      <c r="D8" s="221"/>
      <c r="E8" s="3185"/>
      <c r="F8" s="3185"/>
      <c r="G8" s="159"/>
    </row>
    <row r="9" spans="1:17">
      <c r="C9" s="26" t="s">
        <v>2465</v>
      </c>
      <c r="D9" s="221"/>
      <c r="E9" s="3185"/>
      <c r="F9" s="3185"/>
      <c r="G9" s="159"/>
    </row>
    <row r="10" spans="1:17">
      <c r="C10" s="26" t="s">
        <v>2478</v>
      </c>
      <c r="D10" s="226">
        <f>D7+D8+D9</f>
        <v>0</v>
      </c>
      <c r="E10" s="3185"/>
      <c r="F10" s="3185"/>
      <c r="G10" s="159"/>
    </row>
    <row r="11" spans="1:17">
      <c r="F11" s="159"/>
      <c r="G11" s="159"/>
    </row>
    <row r="12" spans="1:17">
      <c r="A12" s="26" t="s">
        <v>1715</v>
      </c>
      <c r="D12" s="219"/>
      <c r="E12" s="26" t="s">
        <v>2133</v>
      </c>
      <c r="F12" s="159"/>
      <c r="G12" s="159"/>
    </row>
    <row r="13" spans="1:17">
      <c r="D13" s="191"/>
      <c r="F13" s="159"/>
      <c r="G13" s="159"/>
    </row>
    <row r="14" spans="1:17">
      <c r="A14" s="26" t="s">
        <v>2467</v>
      </c>
      <c r="D14" s="218"/>
      <c r="E14" s="26" t="s">
        <v>2468</v>
      </c>
      <c r="F14" s="227"/>
    </row>
    <row r="15" spans="1:17">
      <c r="D15" s="211"/>
      <c r="F15" s="227"/>
    </row>
    <row r="16" spans="1:17">
      <c r="A16" s="26" t="s">
        <v>2469</v>
      </c>
      <c r="D16" s="218"/>
      <c r="E16" s="26" t="s">
        <v>2468</v>
      </c>
      <c r="F16" s="227"/>
    </row>
    <row r="17" spans="1:10">
      <c r="D17" s="191"/>
      <c r="F17" s="227"/>
    </row>
    <row r="18" spans="1:10">
      <c r="A18" s="26" t="s">
        <v>929</v>
      </c>
      <c r="D18" s="228" t="e">
        <f>PMT(D10/12,D16*12,-D5,0,0)*12</f>
        <v>#NUM!</v>
      </c>
      <c r="E18" s="26" t="s">
        <v>1500</v>
      </c>
      <c r="F18" s="227"/>
    </row>
    <row r="19" spans="1:10">
      <c r="D19" s="191"/>
      <c r="F19" s="227"/>
    </row>
    <row r="20" spans="1:10">
      <c r="A20" s="26" t="s">
        <v>1501</v>
      </c>
      <c r="D20" s="191" t="e">
        <f>D18/12</f>
        <v>#NUM!</v>
      </c>
      <c r="E20" s="26" t="s">
        <v>1500</v>
      </c>
      <c r="F20" s="227"/>
    </row>
    <row r="24" spans="1:10" ht="18" customHeight="1">
      <c r="A24" s="3182" t="s">
        <v>1716</v>
      </c>
      <c r="B24" s="3182"/>
      <c r="C24" s="3182"/>
      <c r="D24" s="3182"/>
      <c r="E24" s="3182"/>
      <c r="F24" s="3182"/>
      <c r="J24" s="229"/>
    </row>
    <row r="25" spans="1:10">
      <c r="C25" s="191"/>
      <c r="J25" s="229"/>
    </row>
    <row r="26" spans="1:10">
      <c r="A26" s="104"/>
      <c r="B26" s="80"/>
      <c r="C26" s="3186" t="s">
        <v>2253</v>
      </c>
      <c r="D26" s="224"/>
      <c r="E26" s="80"/>
      <c r="F26" s="3186" t="s">
        <v>2253</v>
      </c>
      <c r="J26" s="229"/>
    </row>
    <row r="27" spans="1:10">
      <c r="A27" s="230" t="s">
        <v>2479</v>
      </c>
      <c r="B27" s="71" t="s">
        <v>1025</v>
      </c>
      <c r="C27" s="3187"/>
      <c r="D27" s="231" t="s">
        <v>2479</v>
      </c>
      <c r="E27" s="71" t="s">
        <v>1025</v>
      </c>
      <c r="F27" s="3187"/>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3179" t="e">
        <f>CONCATENATE(#REF!," ",#REF!,", ",#REF!,", ",#REF!," County")</f>
        <v>#REF!</v>
      </c>
      <c r="B50" s="3179"/>
      <c r="C50" s="3179"/>
      <c r="D50" s="3179"/>
      <c r="E50" s="3179"/>
      <c r="F50" s="3179"/>
      <c r="G50" s="215"/>
      <c r="H50" s="215"/>
    </row>
    <row r="51" spans="1:10" ht="13.8">
      <c r="A51" s="3180" t="s">
        <v>2470</v>
      </c>
      <c r="B51" s="3180"/>
      <c r="C51" s="3180"/>
      <c r="D51" s="3180"/>
      <c r="E51" s="3180"/>
      <c r="F51" s="3180"/>
      <c r="G51" s="241"/>
      <c r="H51" s="241"/>
      <c r="I51" s="241"/>
      <c r="J51" s="241"/>
    </row>
    <row r="52" spans="1:10" ht="5.7" customHeight="1">
      <c r="C52" s="191"/>
      <c r="D52" s="191"/>
      <c r="G52" s="196"/>
      <c r="H52" s="190"/>
      <c r="I52" s="196"/>
    </row>
    <row r="53" spans="1:10">
      <c r="A53" s="194" t="s">
        <v>2471</v>
      </c>
      <c r="B53" s="194" t="s">
        <v>2472</v>
      </c>
      <c r="C53" s="194" t="s">
        <v>1293</v>
      </c>
      <c r="D53" s="194" t="s">
        <v>2473</v>
      </c>
      <c r="E53" s="194" t="s">
        <v>2474</v>
      </c>
      <c r="F53" s="222" t="s">
        <v>2479</v>
      </c>
      <c r="G53" s="242"/>
      <c r="H53" s="242"/>
      <c r="I53" s="242"/>
    </row>
    <row r="54" spans="1:10" ht="3.6" customHeight="1">
      <c r="F54" s="80"/>
      <c r="G54" s="196"/>
      <c r="H54" s="190"/>
      <c r="I54" s="196"/>
    </row>
    <row r="55" spans="1:10">
      <c r="A55" s="26" t="s">
        <v>2475</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39" zoomScaleNormal="100" workbookViewId="0">
      <selection activeCell="A139" sqref="A1:XFD1048576"/>
    </sheetView>
  </sheetViews>
  <sheetFormatPr defaultColWidth="9.3320312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33203125" style="312" customWidth="1"/>
    <col min="23" max="23" width="24.6640625" style="312" customWidth="1"/>
    <col min="24" max="24" width="73.44140625" style="312" customWidth="1"/>
    <col min="25" max="16384" width="9.33203125" style="312"/>
  </cols>
  <sheetData>
    <row r="1" spans="1:24" s="294" customFormat="1" ht="13.5" customHeight="1">
      <c r="A1" s="3327" t="str">
        <f>CONCATENATE("PART FOUR -  USES OF FUNDS","  -  ",'Part I-Project Information'!$O$6," ",'Part I-Project Information'!$F$34,", ",'Part I-Project Information'!F38,", ",'Part I-Project Information'!J39," County")</f>
        <v>PART FOUR -  USES OF FUNDS  -  2019-049 Woodstone Apartments II, Leesburg, Lee County</v>
      </c>
      <c r="B1" s="3328"/>
      <c r="C1" s="3328"/>
      <c r="D1" s="3328"/>
      <c r="E1" s="3328"/>
      <c r="F1" s="3328"/>
      <c r="G1" s="3328"/>
      <c r="H1" s="3328"/>
      <c r="I1" s="3328"/>
      <c r="J1" s="3328"/>
      <c r="K1" s="3328"/>
      <c r="L1" s="3328"/>
      <c r="M1" s="3328"/>
      <c r="N1" s="3328"/>
      <c r="O1" s="3328"/>
      <c r="P1" s="3328"/>
      <c r="Q1" s="3328"/>
      <c r="R1" s="3328"/>
      <c r="S1" s="3328"/>
      <c r="T1" s="3328"/>
      <c r="W1" s="3329" t="str">
        <f>A1</f>
        <v>PART FOUR -  USES OF FUNDS  -  2019-049 Woodstone Apartments II, Leesburg, Lee County</v>
      </c>
      <c r="X1" s="3329"/>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615</v>
      </c>
      <c r="B5" s="422" t="s">
        <v>899</v>
      </c>
      <c r="D5" s="3192" t="str">
        <f>'Part I-Project Information'!$B$6</f>
        <v>April 2019 Final</v>
      </c>
      <c r="E5" s="3192"/>
      <c r="F5" s="3192"/>
      <c r="G5" s="3192"/>
      <c r="H5" s="3192"/>
      <c r="I5" s="483"/>
      <c r="J5" s="3262" t="s">
        <v>271</v>
      </c>
      <c r="K5" s="3263"/>
      <c r="L5" s="345"/>
      <c r="M5" s="3293" t="s">
        <v>488</v>
      </c>
      <c r="N5" s="3294"/>
      <c r="P5" s="3262" t="s">
        <v>272</v>
      </c>
      <c r="Q5" s="3263"/>
      <c r="S5" s="3262" t="s">
        <v>273</v>
      </c>
      <c r="T5" s="3263"/>
      <c r="V5" s="423" t="str">
        <f>B5</f>
        <v>DEVELOPMENT BUDGET</v>
      </c>
    </row>
    <row r="6" spans="1:24" s="294" customFormat="1" ht="19.5" customHeight="1" thickBot="1">
      <c r="D6" s="2172"/>
      <c r="E6" s="2172"/>
      <c r="F6" s="2172"/>
      <c r="G6" s="3297" t="s">
        <v>101</v>
      </c>
      <c r="H6" s="3298"/>
      <c r="J6" s="3264"/>
      <c r="K6" s="3265"/>
      <c r="L6" s="345"/>
      <c r="M6" s="3295"/>
      <c r="N6" s="3296"/>
      <c r="P6" s="3264"/>
      <c r="Q6" s="3265"/>
      <c r="S6" s="3264"/>
      <c r="T6" s="3265"/>
      <c r="V6" s="332" t="s">
        <v>2682</v>
      </c>
      <c r="X6" s="332"/>
    </row>
    <row r="7" spans="1:24" s="294" customFormat="1" ht="12" customHeight="1">
      <c r="B7" s="296" t="s">
        <v>102</v>
      </c>
      <c r="O7" s="480" t="str">
        <f>B7</f>
        <v>PRE-DEVELOPMENT COSTS</v>
      </c>
      <c r="W7" s="294" t="str">
        <f>B7</f>
        <v>PRE-DEVELOPMENT COSTS</v>
      </c>
    </row>
    <row r="8" spans="1:24" s="294" customFormat="1" ht="12.6" customHeight="1">
      <c r="B8" s="294" t="s">
        <v>1999</v>
      </c>
      <c r="G8" s="3134">
        <v>7500</v>
      </c>
      <c r="H8" s="3135"/>
      <c r="J8" s="3134"/>
      <c r="K8" s="3135"/>
      <c r="L8" s="2278"/>
      <c r="M8" s="3134"/>
      <c r="N8" s="3135"/>
      <c r="P8" s="3134">
        <v>7500</v>
      </c>
      <c r="Q8" s="3135"/>
      <c r="S8" s="3134"/>
      <c r="T8" s="3135"/>
      <c r="V8" s="2559"/>
      <c r="W8" s="3204"/>
      <c r="X8" s="3205"/>
    </row>
    <row r="9" spans="1:24" s="294" customFormat="1" ht="12.6" customHeight="1">
      <c r="B9" s="294" t="s">
        <v>457</v>
      </c>
      <c r="G9" s="3118">
        <v>5500</v>
      </c>
      <c r="H9" s="3119"/>
      <c r="J9" s="3118"/>
      <c r="K9" s="3119"/>
      <c r="L9" s="2278"/>
      <c r="M9" s="3118"/>
      <c r="N9" s="3119"/>
      <c r="P9" s="3118">
        <v>5500</v>
      </c>
      <c r="Q9" s="3119"/>
      <c r="S9" s="3118"/>
      <c r="T9" s="3119"/>
      <c r="V9" s="2559"/>
      <c r="W9" s="3204"/>
      <c r="X9" s="3205"/>
    </row>
    <row r="10" spans="1:24" s="294" customFormat="1" ht="12.6" customHeight="1">
      <c r="B10" s="294" t="s">
        <v>485</v>
      </c>
      <c r="G10" s="3118">
        <v>3500</v>
      </c>
      <c r="H10" s="3119"/>
      <c r="J10" s="3118"/>
      <c r="K10" s="3119"/>
      <c r="L10" s="2278"/>
      <c r="M10" s="3118"/>
      <c r="N10" s="3119"/>
      <c r="P10" s="3118">
        <v>3500</v>
      </c>
      <c r="Q10" s="3119"/>
      <c r="S10" s="3118"/>
      <c r="T10" s="3119"/>
      <c r="V10" s="2559"/>
      <c r="W10" s="3204"/>
      <c r="X10" s="3205"/>
    </row>
    <row r="11" spans="1:24" s="294" customFormat="1" ht="12.6" customHeight="1">
      <c r="B11" s="294" t="s">
        <v>486</v>
      </c>
      <c r="G11" s="3118"/>
      <c r="H11" s="3119"/>
      <c r="J11" s="3118"/>
      <c r="K11" s="3119"/>
      <c r="L11" s="2278"/>
      <c r="M11" s="3118"/>
      <c r="N11" s="3119"/>
      <c r="P11" s="3118"/>
      <c r="Q11" s="3119"/>
      <c r="S11" s="3118"/>
      <c r="T11" s="3119"/>
      <c r="V11" s="2559"/>
      <c r="W11" s="3204"/>
      <c r="X11" s="3205"/>
    </row>
    <row r="12" spans="1:24" s="294" customFormat="1" ht="12.6" customHeight="1">
      <c r="B12" s="294" t="s">
        <v>2499</v>
      </c>
      <c r="G12" s="3118">
        <v>15800</v>
      </c>
      <c r="H12" s="3119"/>
      <c r="J12" s="3118"/>
      <c r="K12" s="3119"/>
      <c r="L12" s="2278"/>
      <c r="M12" s="3118"/>
      <c r="N12" s="3119"/>
      <c r="P12" s="3118">
        <v>15800</v>
      </c>
      <c r="Q12" s="3119"/>
      <c r="S12" s="3118"/>
      <c r="T12" s="3119"/>
      <c r="V12" s="2559"/>
      <c r="W12" s="3204"/>
      <c r="X12" s="3205"/>
    </row>
    <row r="13" spans="1:24" s="294" customFormat="1" ht="12.6" customHeight="1">
      <c r="B13" s="294" t="s">
        <v>190</v>
      </c>
      <c r="G13" s="3118">
        <v>2500</v>
      </c>
      <c r="H13" s="3119"/>
      <c r="J13" s="3118"/>
      <c r="K13" s="3119"/>
      <c r="L13" s="2278"/>
      <c r="M13" s="3118"/>
      <c r="N13" s="3119"/>
      <c r="P13" s="3118">
        <v>2500</v>
      </c>
      <c r="Q13" s="3119"/>
      <c r="S13" s="3118"/>
      <c r="T13" s="3119"/>
      <c r="V13" s="2559"/>
      <c r="W13" s="3204"/>
      <c r="X13" s="3205"/>
    </row>
    <row r="14" spans="1:24" s="294" customFormat="1" ht="12.6" customHeight="1">
      <c r="A14" s="372" t="str">
        <f>IF(AND(G14&gt;0,OR(C14="",C14="&lt;Enter detailed description here; use Comments section if needed&gt;")),"X","")</f>
        <v/>
      </c>
      <c r="B14" s="294" t="s">
        <v>740</v>
      </c>
      <c r="C14" s="3281" t="s">
        <v>5276</v>
      </c>
      <c r="D14" s="3281"/>
      <c r="E14" s="3281"/>
      <c r="F14" s="3282"/>
      <c r="G14" s="3118">
        <v>15000</v>
      </c>
      <c r="H14" s="3119"/>
      <c r="J14" s="3118"/>
      <c r="K14" s="3119"/>
      <c r="L14" s="2278"/>
      <c r="M14" s="3118"/>
      <c r="N14" s="3119"/>
      <c r="P14" s="3118">
        <v>15000</v>
      </c>
      <c r="Q14" s="3119"/>
      <c r="S14" s="3118"/>
      <c r="T14" s="3119"/>
      <c r="U14" s="371" t="str">
        <f>IF(AND(G14&gt;0,OR(C14="",C14="&lt;Enter detailed description here; use Comments section if needed&gt;")),"NO DESCRIPTION PROVIDED - please enter detailed description in Other box at left; use Comments section below if needed.","")</f>
        <v/>
      </c>
      <c r="V14" s="2560"/>
      <c r="W14" s="3204"/>
      <c r="X14" s="3205"/>
    </row>
    <row r="15" spans="1:24" s="294" customFormat="1" ht="12.6" customHeight="1">
      <c r="A15" s="372" t="str">
        <f>IF(AND(G15&gt;0,OR(C15="",C15="&lt;Enter detailed description here; use Comments section if needed&gt;")),"X","")</f>
        <v/>
      </c>
      <c r="B15" s="294" t="s">
        <v>740</v>
      </c>
      <c r="C15" s="3281" t="s">
        <v>3709</v>
      </c>
      <c r="D15" s="3281"/>
      <c r="E15" s="3281"/>
      <c r="F15" s="3282"/>
      <c r="G15" s="3118"/>
      <c r="H15" s="3119"/>
      <c r="J15" s="3118"/>
      <c r="K15" s="3119"/>
      <c r="L15" s="2278"/>
      <c r="M15" s="3118"/>
      <c r="N15" s="3119"/>
      <c r="P15" s="3118"/>
      <c r="Q15" s="3119"/>
      <c r="S15" s="3118"/>
      <c r="T15" s="3119"/>
      <c r="U15" s="371" t="str">
        <f>IF(AND(G15&gt;0,OR(C15="",C15="&lt;Enter detailed description here; use Comments section if needed&gt;")),"NO DESCRIPTION PROVIDED - please enter detailed description in Other box at left; use Comments section below if needed.","")</f>
        <v/>
      </c>
      <c r="V15" s="2560"/>
      <c r="W15" s="3204"/>
      <c r="X15" s="3205"/>
    </row>
    <row r="16" spans="1:24" s="294" customFormat="1" ht="12.6" customHeight="1" thickBot="1">
      <c r="A16" s="372" t="str">
        <f>IF(AND(G16&gt;0,OR(C16="",C16="&lt;Enter detailed description here; use Comments section if needed&gt;")),"X","")</f>
        <v/>
      </c>
      <c r="B16" s="294" t="s">
        <v>740</v>
      </c>
      <c r="C16" s="3281" t="s">
        <v>3709</v>
      </c>
      <c r="D16" s="3281"/>
      <c r="E16" s="3281"/>
      <c r="F16" s="3282"/>
      <c r="G16" s="3283"/>
      <c r="H16" s="3284"/>
      <c r="J16" s="3283"/>
      <c r="K16" s="3284"/>
      <c r="L16" s="2278"/>
      <c r="M16" s="3283"/>
      <c r="N16" s="3284"/>
      <c r="P16" s="3283"/>
      <c r="Q16" s="3284"/>
      <c r="S16" s="3283"/>
      <c r="T16" s="3284"/>
      <c r="U16" s="371" t="str">
        <f>IF(AND(G16&gt;0,OR(C16="",C16="&lt;Enter detailed description here; use Comments section if needed&gt;")),"NO DESCRIPTION PROVIDED - please enter detailed description in Other box at left; use Comments section below if needed.","")</f>
        <v/>
      </c>
      <c r="V16" s="2560"/>
      <c r="W16" s="3188"/>
      <c r="X16" s="3189"/>
    </row>
    <row r="17" spans="2:24" s="294" customFormat="1" ht="12.6" customHeight="1" thickTop="1">
      <c r="F17" s="346" t="s">
        <v>191</v>
      </c>
      <c r="G17" s="3274">
        <f>SUM(G8:H16)</f>
        <v>49800</v>
      </c>
      <c r="H17" s="3275"/>
      <c r="J17" s="3274">
        <f>SUM(J8:K16)</f>
        <v>0</v>
      </c>
      <c r="K17" s="3326"/>
      <c r="L17" s="2278"/>
      <c r="M17" s="3274">
        <f>SUM(M8:N16)</f>
        <v>0</v>
      </c>
      <c r="N17" s="3275"/>
      <c r="P17" s="3274">
        <f>SUM(P8:Q16)</f>
        <v>49800</v>
      </c>
      <c r="Q17" s="3275"/>
      <c r="S17" s="3274">
        <f>SUM(S8:T16)</f>
        <v>0</v>
      </c>
      <c r="T17" s="3275"/>
      <c r="V17" s="2561">
        <f>SUM(V8:V16)</f>
        <v>0</v>
      </c>
      <c r="W17" s="3206"/>
      <c r="X17" s="3207"/>
    </row>
    <row r="18" spans="2:24" s="294" customFormat="1" ht="12" customHeight="1">
      <c r="B18" s="296" t="s">
        <v>2196</v>
      </c>
      <c r="J18" s="345"/>
      <c r="K18" s="345"/>
      <c r="M18" s="345"/>
      <c r="N18" s="345"/>
      <c r="O18" s="347" t="str">
        <f>B18</f>
        <v>ACQUISITION</v>
      </c>
      <c r="P18" s="345"/>
      <c r="Q18" s="345"/>
      <c r="S18" s="345"/>
      <c r="T18" s="345"/>
      <c r="V18" s="1076"/>
      <c r="W18" s="294" t="str">
        <f>B18</f>
        <v>ACQUISITION</v>
      </c>
    </row>
    <row r="19" spans="2:24" s="294" customFormat="1" ht="12.6" customHeight="1">
      <c r="B19" s="294" t="s">
        <v>2197</v>
      </c>
      <c r="E19" s="851" t="s">
        <v>3724</v>
      </c>
      <c r="F19" s="460">
        <f>IF('Part I-Project Information'!$O$37="","",G19/'Part I-Project Information'!$O$37)</f>
        <v>20884.093282283327</v>
      </c>
      <c r="G19" s="3134">
        <v>120000</v>
      </c>
      <c r="H19" s="3135"/>
      <c r="J19" s="348"/>
      <c r="K19" s="345"/>
      <c r="L19" s="348"/>
      <c r="M19" s="348"/>
      <c r="N19" s="345"/>
      <c r="P19" s="348"/>
      <c r="Q19" s="345"/>
      <c r="S19" s="3134">
        <v>120000</v>
      </c>
      <c r="T19" s="3135"/>
      <c r="V19" s="2559"/>
      <c r="W19" s="3204"/>
      <c r="X19" s="3205"/>
    </row>
    <row r="20" spans="2:24" s="294" customFormat="1" ht="12.6" customHeight="1">
      <c r="B20" s="294" t="s">
        <v>1118</v>
      </c>
      <c r="G20" s="3118"/>
      <c r="H20" s="3119"/>
      <c r="J20" s="348"/>
      <c r="K20" s="345"/>
      <c r="L20" s="348"/>
      <c r="M20" s="348"/>
      <c r="N20" s="345"/>
      <c r="P20" s="348"/>
      <c r="Q20" s="345"/>
      <c r="S20" s="3118"/>
      <c r="T20" s="3119"/>
      <c r="V20" s="2559"/>
      <c r="W20" s="3204"/>
      <c r="X20" s="3205"/>
    </row>
    <row r="21" spans="2:24" s="294" customFormat="1" ht="12.6" customHeight="1">
      <c r="B21" s="294" t="s">
        <v>458</v>
      </c>
      <c r="G21" s="3118"/>
      <c r="H21" s="3119"/>
      <c r="J21" s="348"/>
      <c r="K21" s="345"/>
      <c r="L21" s="348"/>
      <c r="M21" s="3134"/>
      <c r="N21" s="3135"/>
      <c r="P21" s="348"/>
      <c r="Q21" s="345"/>
      <c r="S21" s="3118"/>
      <c r="T21" s="3119"/>
      <c r="V21" s="2559"/>
      <c r="W21" s="3204"/>
      <c r="X21" s="3205"/>
    </row>
    <row r="22" spans="2:24" s="294" customFormat="1" ht="12.6" customHeight="1" thickBot="1">
      <c r="B22" s="294" t="s">
        <v>430</v>
      </c>
      <c r="G22" s="3283">
        <f>752783+100000+5455</f>
        <v>858238</v>
      </c>
      <c r="H22" s="3284"/>
      <c r="J22" s="348"/>
      <c r="K22" s="345"/>
      <c r="L22" s="348"/>
      <c r="M22" s="3283">
        <v>752783</v>
      </c>
      <c r="N22" s="3284"/>
      <c r="P22" s="348"/>
      <c r="Q22" s="345"/>
      <c r="S22" s="3283">
        <f>858238-752783</f>
        <v>105455</v>
      </c>
      <c r="T22" s="3284"/>
      <c r="V22" s="2559"/>
      <c r="W22" s="3188"/>
      <c r="X22" s="3189"/>
    </row>
    <row r="23" spans="2:24" s="294" customFormat="1" ht="12.6" customHeight="1" thickTop="1">
      <c r="F23" s="346" t="s">
        <v>191</v>
      </c>
      <c r="G23" s="3274">
        <f>SUM(G19:H22)</f>
        <v>978238</v>
      </c>
      <c r="H23" s="3275"/>
      <c r="J23" s="348"/>
      <c r="K23" s="345"/>
      <c r="L23" s="348"/>
      <c r="M23" s="3274">
        <f>SUM(M21:N22)</f>
        <v>752783</v>
      </c>
      <c r="N23" s="3275"/>
      <c r="P23" s="348"/>
      <c r="Q23" s="345"/>
      <c r="S23" s="3274">
        <f>SUM(S19:T22)</f>
        <v>225455</v>
      </c>
      <c r="T23" s="3275"/>
      <c r="V23" s="2561">
        <f>SUM(V19:V22)</f>
        <v>0</v>
      </c>
      <c r="W23" s="3206"/>
      <c r="X23" s="3207"/>
    </row>
    <row r="24" spans="2:24" s="294" customFormat="1" ht="12" customHeight="1">
      <c r="B24" s="296" t="s">
        <v>1119</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1120</v>
      </c>
      <c r="E25" s="851" t="s">
        <v>3724</v>
      </c>
      <c r="F25" s="460">
        <f>IF('Part I-Project Information'!$O$37="","",G25/'Part I-Project Information'!$O$37)</f>
        <v>34806.822137138879</v>
      </c>
      <c r="G25" s="3134">
        <v>200000</v>
      </c>
      <c r="H25" s="3135"/>
      <c r="J25" s="3134"/>
      <c r="K25" s="3135"/>
      <c r="L25" s="2278"/>
      <c r="M25" s="3324"/>
      <c r="N25" s="3325"/>
      <c r="P25" s="3324">
        <v>200000</v>
      </c>
      <c r="Q25" s="3325"/>
      <c r="S25" s="3134"/>
      <c r="T25" s="3135"/>
      <c r="V25" s="2559"/>
      <c r="W25" s="3204"/>
      <c r="X25" s="3205"/>
    </row>
    <row r="26" spans="2:24" s="294" customFormat="1" ht="12.6" customHeight="1" thickBot="1">
      <c r="B26" s="294" t="s">
        <v>1121</v>
      </c>
      <c r="G26" s="3283"/>
      <c r="H26" s="3284"/>
      <c r="J26" s="3283"/>
      <c r="K26" s="3284"/>
      <c r="L26" s="349"/>
      <c r="M26" s="3323"/>
      <c r="N26" s="3323"/>
      <c r="P26" s="3323"/>
      <c r="Q26" s="3323"/>
      <c r="S26" s="3283"/>
      <c r="T26" s="3284"/>
      <c r="V26" s="2559"/>
      <c r="W26" s="3188"/>
      <c r="X26" s="3189"/>
    </row>
    <row r="27" spans="2:24" s="294" customFormat="1" ht="12.6" customHeight="1" thickTop="1">
      <c r="F27" s="346" t="s">
        <v>191</v>
      </c>
      <c r="G27" s="3274">
        <f>SUM(G25:H26)</f>
        <v>200000</v>
      </c>
      <c r="H27" s="3275"/>
      <c r="J27" s="3274">
        <f>SUM(J25:K26)</f>
        <v>0</v>
      </c>
      <c r="K27" s="3275"/>
      <c r="L27" s="348"/>
      <c r="M27" s="3274">
        <f>M25</f>
        <v>0</v>
      </c>
      <c r="N27" s="3275"/>
      <c r="P27" s="3274">
        <f>P25</f>
        <v>200000</v>
      </c>
      <c r="Q27" s="3275"/>
      <c r="S27" s="3274">
        <f>SUM(S25:T26)</f>
        <v>0</v>
      </c>
      <c r="T27" s="3275"/>
      <c r="V27" s="2561">
        <f>SUM(V25:V26)</f>
        <v>0</v>
      </c>
      <c r="W27" s="3206"/>
      <c r="X27" s="3207"/>
    </row>
    <row r="28" spans="2:24" s="294" customFormat="1" ht="12" customHeight="1">
      <c r="B28" s="296" t="s">
        <v>1122</v>
      </c>
      <c r="J28" s="348"/>
      <c r="K28" s="345"/>
      <c r="M28" s="348"/>
      <c r="N28" s="345"/>
      <c r="O28" s="347" t="str">
        <f>B28</f>
        <v>STRUCTURES</v>
      </c>
      <c r="P28" s="348"/>
      <c r="Q28" s="345"/>
      <c r="S28" s="348"/>
      <c r="T28" s="345"/>
      <c r="V28" s="1076"/>
      <c r="W28" s="294" t="str">
        <f>B28</f>
        <v>STRUCTURES</v>
      </c>
    </row>
    <row r="29" spans="2:24" s="294" customFormat="1" ht="12.6" customHeight="1">
      <c r="B29" s="294" t="s">
        <v>1123</v>
      </c>
      <c r="G29" s="3134"/>
      <c r="H29" s="3135"/>
      <c r="J29" s="3134"/>
      <c r="K29" s="3135"/>
      <c r="L29" s="2278"/>
      <c r="M29" s="3134"/>
      <c r="N29" s="3135"/>
      <c r="P29" s="3134"/>
      <c r="Q29" s="3135"/>
      <c r="S29" s="3134"/>
      <c r="T29" s="3135"/>
      <c r="V29" s="2559"/>
      <c r="W29" s="3204"/>
      <c r="X29" s="3205"/>
    </row>
    <row r="30" spans="2:24" s="294" customFormat="1" ht="12.6" customHeight="1">
      <c r="B30" s="294" t="s">
        <v>1124</v>
      </c>
      <c r="G30" s="3118">
        <f>2476588-200000-30000-293832</f>
        <v>1952756</v>
      </c>
      <c r="H30" s="3119"/>
      <c r="J30" s="3118"/>
      <c r="K30" s="3119"/>
      <c r="L30" s="2278"/>
      <c r="M30" s="3118"/>
      <c r="N30" s="3119"/>
      <c r="P30" s="3118">
        <v>1952756</v>
      </c>
      <c r="Q30" s="3119"/>
      <c r="S30" s="3118"/>
      <c r="T30" s="3119"/>
      <c r="V30" s="2559"/>
      <c r="W30" s="3204"/>
      <c r="X30" s="3205"/>
    </row>
    <row r="31" spans="2:24" s="294" customFormat="1" ht="12.6" customHeight="1">
      <c r="B31" s="294" t="s">
        <v>2778</v>
      </c>
      <c r="G31" s="3118"/>
      <c r="H31" s="3119"/>
      <c r="J31" s="3118"/>
      <c r="K31" s="3119"/>
      <c r="L31" s="2278"/>
      <c r="M31" s="3118"/>
      <c r="N31" s="3119"/>
      <c r="P31" s="3118"/>
      <c r="Q31" s="3119"/>
      <c r="S31" s="3118"/>
      <c r="T31" s="3119"/>
      <c r="V31" s="2559"/>
      <c r="W31" s="3204"/>
      <c r="X31" s="3205"/>
    </row>
    <row r="32" spans="2:24" ht="12.6" customHeight="1" thickBot="1">
      <c r="B32" s="294" t="s">
        <v>2777</v>
      </c>
      <c r="G32" s="3283">
        <v>30000</v>
      </c>
      <c r="H32" s="3284"/>
      <c r="I32" s="294"/>
      <c r="J32" s="3283"/>
      <c r="K32" s="3284"/>
      <c r="L32" s="2278"/>
      <c r="M32" s="3283"/>
      <c r="N32" s="3284"/>
      <c r="O32" s="294"/>
      <c r="P32" s="3283">
        <v>30000</v>
      </c>
      <c r="Q32" s="3284"/>
      <c r="R32" s="294"/>
      <c r="S32" s="3283"/>
      <c r="T32" s="3284"/>
      <c r="V32" s="2559"/>
      <c r="W32" s="3188"/>
      <c r="X32" s="3189"/>
    </row>
    <row r="33" spans="1:24" s="294" customFormat="1" ht="12.6" customHeight="1" thickTop="1">
      <c r="C33" s="3322"/>
      <c r="D33" s="3322"/>
      <c r="E33" s="2282"/>
      <c r="F33" s="346" t="s">
        <v>191</v>
      </c>
      <c r="G33" s="3274">
        <f>SUM(G29:H32)</f>
        <v>1982756</v>
      </c>
      <c r="H33" s="3275"/>
      <c r="J33" s="3274">
        <f>SUM(J29:K32)</f>
        <v>0</v>
      </c>
      <c r="K33" s="3275"/>
      <c r="L33" s="2278"/>
      <c r="M33" s="3274">
        <f>SUM(M29:N32)</f>
        <v>0</v>
      </c>
      <c r="N33" s="3275"/>
      <c r="P33" s="3274">
        <f>SUM(P29:Q32)</f>
        <v>1982756</v>
      </c>
      <c r="Q33" s="3275"/>
      <c r="S33" s="3274">
        <f>SUM(S29:T32)</f>
        <v>0</v>
      </c>
      <c r="T33" s="3275"/>
      <c r="V33" s="2561">
        <f>SUM(V29:V32)</f>
        <v>0</v>
      </c>
      <c r="W33" s="3206"/>
      <c r="X33" s="3207"/>
    </row>
    <row r="34" spans="1:24" s="294" customFormat="1" ht="12" customHeight="1">
      <c r="B34" s="296" t="s">
        <v>2342</v>
      </c>
      <c r="D34" s="3321" t="s">
        <v>3728</v>
      </c>
      <c r="E34" s="3321"/>
      <c r="F34" s="975">
        <f>SUM(F35:F37)</f>
        <v>0.13461513792654792</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2343</v>
      </c>
      <c r="D35" s="977">
        <f>'DCA Underwriting Assumptions'!$R$73</f>
        <v>0.06</v>
      </c>
      <c r="E35" s="979">
        <f>D35*(G27+G33)</f>
        <v>130965.36</v>
      </c>
      <c r="F35" s="976">
        <f>IF(($G$27+$G$33)=0,0,G35/($G$27+$G$33))</f>
        <v>5.7692201968520533E-2</v>
      </c>
      <c r="G35" s="3134">
        <v>125928</v>
      </c>
      <c r="H35" s="3135"/>
      <c r="I35" s="312"/>
      <c r="J35" s="3134"/>
      <c r="K35" s="3135"/>
      <c r="L35" s="2278"/>
      <c r="M35" s="3134"/>
      <c r="N35" s="3135"/>
      <c r="P35" s="3134">
        <v>125928</v>
      </c>
      <c r="Q35" s="3135"/>
      <c r="S35" s="3134"/>
      <c r="T35" s="3135"/>
      <c r="V35" s="2559"/>
      <c r="W35" s="3204"/>
      <c r="X35" s="3205"/>
    </row>
    <row r="36" spans="1:24" s="294" customFormat="1" ht="12.6" customHeight="1">
      <c r="B36" s="294" t="s">
        <v>2734</v>
      </c>
      <c r="D36" s="978">
        <f>'DCA Underwriting Assumptions'!$R$74</f>
        <v>0.02</v>
      </c>
      <c r="E36" s="979">
        <f>D36*(G27+G33)</f>
        <v>43655.12</v>
      </c>
      <c r="F36" s="976">
        <f>IF(($G$27+$G$33)=0,0,G36/($G$27+$G$33))</f>
        <v>1.9230733989506844E-2</v>
      </c>
      <c r="G36" s="3118">
        <v>41976</v>
      </c>
      <c r="H36" s="3119"/>
      <c r="I36" s="312"/>
      <c r="J36" s="3118"/>
      <c r="K36" s="3119"/>
      <c r="L36" s="2278"/>
      <c r="M36" s="3118"/>
      <c r="N36" s="3119"/>
      <c r="P36" s="3118">
        <v>41976</v>
      </c>
      <c r="Q36" s="3119"/>
      <c r="S36" s="3118"/>
      <c r="T36" s="3119"/>
      <c r="V36" s="2559"/>
      <c r="W36" s="3204"/>
      <c r="X36" s="3205"/>
    </row>
    <row r="37" spans="1:24" s="294" customFormat="1" ht="12.6" customHeight="1" thickBot="1">
      <c r="B37" s="294" t="s">
        <v>2735</v>
      </c>
      <c r="D37" s="982">
        <f>'DCA Underwriting Assumptions'!$R$75</f>
        <v>0.06</v>
      </c>
      <c r="E37" s="983">
        <f>D37*(G27+G33)</f>
        <v>130965.36</v>
      </c>
      <c r="F37" s="1225">
        <f>IF(($G$27+$G$33)=0,0,G37/($G$27+$G$33))</f>
        <v>5.7692201968520533E-2</v>
      </c>
      <c r="G37" s="3283">
        <v>125928</v>
      </c>
      <c r="H37" s="3284"/>
      <c r="I37" s="312"/>
      <c r="J37" s="3283"/>
      <c r="K37" s="3284"/>
      <c r="L37" s="2278"/>
      <c r="M37" s="3283"/>
      <c r="N37" s="3284"/>
      <c r="P37" s="3283">
        <v>125928</v>
      </c>
      <c r="Q37" s="3284"/>
      <c r="S37" s="3283"/>
      <c r="T37" s="3284"/>
      <c r="V37" s="2559"/>
      <c r="W37" s="3188"/>
      <c r="X37" s="3189"/>
    </row>
    <row r="38" spans="1:24" s="294" customFormat="1" ht="12.6" customHeight="1" thickTop="1">
      <c r="B38" s="172" t="s">
        <v>3729</v>
      </c>
      <c r="D38" s="980">
        <f>SUM(D35:D37)</f>
        <v>0.14000000000000001</v>
      </c>
      <c r="E38" s="981">
        <f>SUM(E35:E37)</f>
        <v>305585.84000000003</v>
      </c>
      <c r="F38" s="963" t="s">
        <v>191</v>
      </c>
      <c r="G38" s="3274">
        <f>SUM(G35:H37)</f>
        <v>293832</v>
      </c>
      <c r="H38" s="3275"/>
      <c r="J38" s="3274">
        <f>SUM(J35:K37)</f>
        <v>0</v>
      </c>
      <c r="K38" s="3275"/>
      <c r="L38" s="348"/>
      <c r="M38" s="3274">
        <f>SUM(M35:N37)</f>
        <v>0</v>
      </c>
      <c r="N38" s="3275"/>
      <c r="P38" s="3274">
        <f>SUM(P35:Q37)</f>
        <v>293832</v>
      </c>
      <c r="Q38" s="3275"/>
      <c r="S38" s="3274">
        <f>SUM(S35:T37)</f>
        <v>0</v>
      </c>
      <c r="T38" s="3275"/>
      <c r="V38" s="2561">
        <f>SUM(V35:V37)</f>
        <v>0</v>
      </c>
      <c r="W38" s="3206"/>
      <c r="X38" s="3207"/>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2739</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740</v>
      </c>
      <c r="C41" s="3281" t="s">
        <v>3709</v>
      </c>
      <c r="D41" s="3319"/>
      <c r="E41" s="3319"/>
      <c r="F41" s="3320"/>
      <c r="G41" s="3301"/>
      <c r="H41" s="3302"/>
      <c r="I41" s="294"/>
      <c r="J41" s="3301"/>
      <c r="K41" s="3302"/>
      <c r="L41" s="2278"/>
      <c r="M41" s="3301"/>
      <c r="N41" s="3302"/>
      <c r="O41" s="294"/>
      <c r="P41" s="3301"/>
      <c r="Q41" s="3302"/>
      <c r="R41" s="294"/>
      <c r="S41" s="3301"/>
      <c r="T41" s="3302"/>
      <c r="V41" s="2559"/>
      <c r="W41" s="3307"/>
      <c r="X41" s="3308"/>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309"/>
      <c r="X42" s="3310"/>
    </row>
    <row r="43" spans="1:24" s="294" customFormat="1" ht="12.6" customHeight="1">
      <c r="B43" s="505" t="s">
        <v>2743</v>
      </c>
      <c r="C43" s="506"/>
      <c r="E43" s="3313" t="s">
        <v>2742</v>
      </c>
      <c r="F43" s="2280">
        <f>B44/'Part VI-Revenues &amp; Expenses'!$O$65</f>
        <v>63502.256410256414</v>
      </c>
      <c r="G43" s="2281" t="s">
        <v>2769</v>
      </c>
      <c r="H43" s="2264"/>
      <c r="I43" s="2264"/>
      <c r="J43" s="3315">
        <f>B44/'Part VI-Revenues &amp; Expenses'!$O$67</f>
        <v>61914.7</v>
      </c>
      <c r="K43" s="3315"/>
      <c r="L43" s="2264"/>
      <c r="M43" s="3316" t="s">
        <v>1401</v>
      </c>
      <c r="N43" s="3316"/>
      <c r="O43" s="2264"/>
      <c r="P43" s="3315">
        <f>B44/'Part I-Project Information'!$P$75</f>
        <v>66.985502542464573</v>
      </c>
      <c r="Q43" s="3315"/>
      <c r="R43" s="2264"/>
      <c r="S43" s="3317" t="s">
        <v>2776</v>
      </c>
      <c r="T43" s="3318"/>
      <c r="V43" s="1076"/>
      <c r="W43" s="3309"/>
      <c r="X43" s="3310"/>
    </row>
    <row r="44" spans="1:24" s="294" customFormat="1" ht="12.6" customHeight="1">
      <c r="B44" s="3303">
        <f>G27+G33+G38+G41</f>
        <v>2476588</v>
      </c>
      <c r="C44" s="3304"/>
      <c r="E44" s="3314"/>
      <c r="F44" s="2279">
        <f>B44/'Part VI-Revenues &amp; Expenses'!$O$154</f>
        <v>71.451718069299787</v>
      </c>
      <c r="G44" s="504" t="s">
        <v>2770</v>
      </c>
      <c r="H44" s="2276"/>
      <c r="I44" s="2276"/>
      <c r="J44" s="3305">
        <f>B44/'Part VI-Revenues &amp; Expenses'!$O$156</f>
        <v>69.614009444569376</v>
      </c>
      <c r="K44" s="3305"/>
      <c r="L44" s="2276"/>
      <c r="M44" s="3306" t="s">
        <v>2775</v>
      </c>
      <c r="N44" s="3306"/>
      <c r="O44" s="2276"/>
      <c r="P44" s="2276"/>
      <c r="Q44" s="2276"/>
      <c r="R44" s="2276"/>
      <c r="S44" s="2276"/>
      <c r="T44" s="338"/>
      <c r="V44" s="1076"/>
      <c r="W44" s="3311"/>
      <c r="X44" s="3312"/>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1125</v>
      </c>
      <c r="F46" s="1224" t="s">
        <v>4186</v>
      </c>
      <c r="J46" s="348"/>
      <c r="K46" s="345"/>
      <c r="M46" s="348"/>
      <c r="N46" s="345"/>
      <c r="O46" s="347" t="str">
        <f>B46</f>
        <v>CONSTRUCTION CONTINGENCY</v>
      </c>
      <c r="P46" s="348"/>
      <c r="Q46" s="345"/>
      <c r="S46" s="348"/>
      <c r="T46" s="345"/>
      <c r="V46" s="1076"/>
      <c r="W46" s="294" t="str">
        <f>B46</f>
        <v>CONSTRUCTION CONTINGENCY</v>
      </c>
    </row>
    <row r="47" spans="1:24" ht="12.6" customHeight="1">
      <c r="B47" s="294" t="s">
        <v>1960</v>
      </c>
      <c r="D47" s="519" t="s">
        <v>4185</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247658.80000000002</v>
      </c>
      <c r="F47" s="350">
        <f>G47/B44</f>
        <v>0.10000008075626628</v>
      </c>
      <c r="G47" s="3301">
        <v>247659</v>
      </c>
      <c r="H47" s="3302"/>
      <c r="I47" s="294"/>
      <c r="J47" s="3301"/>
      <c r="K47" s="3302"/>
      <c r="L47" s="2278"/>
      <c r="M47" s="3301"/>
      <c r="N47" s="3302"/>
      <c r="O47" s="294"/>
      <c r="P47" s="3301">
        <v>222893</v>
      </c>
      <c r="Q47" s="3302"/>
      <c r="R47" s="294"/>
      <c r="S47" s="3301">
        <v>24766</v>
      </c>
      <c r="T47" s="3302"/>
      <c r="V47" s="2559"/>
      <c r="W47" s="3204"/>
      <c r="X47" s="3205"/>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615</v>
      </c>
      <c r="B49" s="422" t="s">
        <v>2843</v>
      </c>
      <c r="H49" s="2266"/>
      <c r="I49" s="2266"/>
      <c r="J49" s="3262" t="s">
        <v>271</v>
      </c>
      <c r="K49" s="3263"/>
      <c r="L49" s="345"/>
      <c r="M49" s="3293" t="s">
        <v>488</v>
      </c>
      <c r="N49" s="3294"/>
      <c r="P49" s="3262" t="s">
        <v>272</v>
      </c>
      <c r="Q49" s="3263"/>
      <c r="S49" s="3262" t="s">
        <v>273</v>
      </c>
      <c r="T49" s="3263"/>
      <c r="V49" s="1076"/>
      <c r="W49" s="423" t="str">
        <f>B49</f>
        <v>DEVELOPMENT BUDGET (cont'd)</v>
      </c>
    </row>
    <row r="50" spans="1:24" s="294" customFormat="1" ht="18.75" customHeight="1" thickBot="1">
      <c r="G50" s="3297" t="s">
        <v>101</v>
      </c>
      <c r="H50" s="3298"/>
      <c r="J50" s="3264"/>
      <c r="K50" s="3265"/>
      <c r="L50" s="345"/>
      <c r="M50" s="3295"/>
      <c r="N50" s="3296"/>
      <c r="P50" s="3264"/>
      <c r="Q50" s="3265"/>
      <c r="S50" s="3264"/>
      <c r="T50" s="3265"/>
      <c r="V50" s="1076"/>
      <c r="W50" s="3208" t="s">
        <v>2682</v>
      </c>
      <c r="X50" s="3208"/>
    </row>
    <row r="51" spans="1:24" s="294" customFormat="1" ht="12" customHeight="1">
      <c r="B51" s="296" t="s">
        <v>721</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3730</v>
      </c>
      <c r="G52" s="3134"/>
      <c r="H52" s="3135"/>
      <c r="J52" s="3134"/>
      <c r="K52" s="3135"/>
      <c r="L52" s="2278"/>
      <c r="M52" s="3134"/>
      <c r="N52" s="3135"/>
      <c r="P52" s="3134"/>
      <c r="Q52" s="3135"/>
      <c r="S52" s="3134"/>
      <c r="T52" s="3135"/>
      <c r="V52" s="2562"/>
      <c r="W52" s="3204"/>
      <c r="X52" s="3205"/>
    </row>
    <row r="53" spans="1:24" s="294" customFormat="1" ht="12" customHeight="1">
      <c r="B53" s="294" t="s">
        <v>3731</v>
      </c>
      <c r="G53" s="3118"/>
      <c r="H53" s="3119"/>
      <c r="J53" s="3118"/>
      <c r="K53" s="3119"/>
      <c r="L53" s="2278"/>
      <c r="M53" s="3118"/>
      <c r="N53" s="3119"/>
      <c r="P53" s="3118"/>
      <c r="Q53" s="3119"/>
      <c r="S53" s="3118"/>
      <c r="T53" s="3119"/>
      <c r="V53" s="2562"/>
      <c r="W53" s="3204"/>
      <c r="X53" s="3205"/>
    </row>
    <row r="54" spans="1:24" s="294" customFormat="1" ht="12" customHeight="1">
      <c r="B54" s="294" t="s">
        <v>2345</v>
      </c>
      <c r="G54" s="3118">
        <v>20500</v>
      </c>
      <c r="H54" s="3119"/>
      <c r="J54" s="3118"/>
      <c r="K54" s="3119"/>
      <c r="L54" s="2278"/>
      <c r="M54" s="3118"/>
      <c r="N54" s="3119"/>
      <c r="P54" s="3118">
        <v>20500</v>
      </c>
      <c r="Q54" s="3119"/>
      <c r="S54" s="3118"/>
      <c r="T54" s="3119"/>
      <c r="V54" s="2562"/>
      <c r="W54" s="3204"/>
      <c r="X54" s="3205"/>
    </row>
    <row r="55" spans="1:24" s="294" customFormat="1" ht="12" customHeight="1">
      <c r="B55" s="294" t="s">
        <v>2346</v>
      </c>
      <c r="G55" s="3118">
        <v>194500</v>
      </c>
      <c r="H55" s="3119"/>
      <c r="J55" s="3118"/>
      <c r="K55" s="3119"/>
      <c r="L55" s="2278"/>
      <c r="M55" s="3118"/>
      <c r="N55" s="3119"/>
      <c r="P55" s="3118">
        <v>194500</v>
      </c>
      <c r="Q55" s="3119"/>
      <c r="S55" s="3118"/>
      <c r="T55" s="3119"/>
      <c r="V55" s="2562"/>
      <c r="W55" s="3204"/>
      <c r="X55" s="3205"/>
    </row>
    <row r="56" spans="1:24" s="294" customFormat="1" ht="12" customHeight="1">
      <c r="B56" s="294" t="s">
        <v>2347</v>
      </c>
      <c r="G56" s="3118">
        <f>55000+21000</f>
        <v>76000</v>
      </c>
      <c r="H56" s="3119"/>
      <c r="J56" s="3118"/>
      <c r="K56" s="3119"/>
      <c r="L56" s="2278"/>
      <c r="M56" s="3118"/>
      <c r="N56" s="3119"/>
      <c r="P56" s="3118">
        <v>55000</v>
      </c>
      <c r="Q56" s="3119"/>
      <c r="S56" s="3118">
        <f>55000-34000</f>
        <v>21000</v>
      </c>
      <c r="T56" s="3119"/>
      <c r="V56" s="2562"/>
      <c r="W56" s="3204"/>
      <c r="X56" s="3205"/>
    </row>
    <row r="57" spans="1:24" s="294" customFormat="1" ht="12" customHeight="1">
      <c r="B57" s="294" t="s">
        <v>2686</v>
      </c>
      <c r="G57" s="3118">
        <v>15000</v>
      </c>
      <c r="H57" s="3119"/>
      <c r="J57" s="3118"/>
      <c r="K57" s="3119"/>
      <c r="L57" s="2278"/>
      <c r="M57" s="3118"/>
      <c r="N57" s="3119"/>
      <c r="P57" s="3118">
        <v>15000</v>
      </c>
      <c r="Q57" s="3119"/>
      <c r="S57" s="3118"/>
      <c r="T57" s="3119"/>
      <c r="V57" s="2562"/>
      <c r="W57" s="3204"/>
      <c r="X57" s="3205"/>
    </row>
    <row r="58" spans="1:24" s="294" customFormat="1" ht="12" customHeight="1">
      <c r="B58" s="294" t="s">
        <v>722</v>
      </c>
      <c r="G58" s="3118">
        <v>1000</v>
      </c>
      <c r="H58" s="3119"/>
      <c r="J58" s="3118"/>
      <c r="K58" s="3119"/>
      <c r="L58" s="2278"/>
      <c r="M58" s="3118"/>
      <c r="N58" s="3119"/>
      <c r="P58" s="3118">
        <v>1000</v>
      </c>
      <c r="Q58" s="3119"/>
      <c r="S58" s="3118"/>
      <c r="T58" s="3119"/>
      <c r="V58" s="2562"/>
      <c r="W58" s="3204"/>
      <c r="X58" s="3205"/>
    </row>
    <row r="59" spans="1:24" s="294" customFormat="1" ht="12" customHeight="1">
      <c r="B59" s="294" t="s">
        <v>2348</v>
      </c>
      <c r="G59" s="3118">
        <v>7000</v>
      </c>
      <c r="H59" s="3119"/>
      <c r="J59" s="3118"/>
      <c r="K59" s="3119"/>
      <c r="L59" s="2278"/>
      <c r="M59" s="3118"/>
      <c r="N59" s="3119"/>
      <c r="P59" s="3118">
        <v>7000</v>
      </c>
      <c r="Q59" s="3119"/>
      <c r="S59" s="3118"/>
      <c r="T59" s="3119"/>
      <c r="V59" s="2562"/>
      <c r="W59" s="3204"/>
      <c r="X59" s="3205"/>
    </row>
    <row r="60" spans="1:24" s="294" customFormat="1" ht="12" customHeight="1">
      <c r="B60" s="294" t="s">
        <v>1275</v>
      </c>
      <c r="G60" s="3118">
        <v>10000</v>
      </c>
      <c r="H60" s="3119"/>
      <c r="J60" s="3118"/>
      <c r="K60" s="3119"/>
      <c r="L60" s="2278"/>
      <c r="M60" s="3118"/>
      <c r="N60" s="3119"/>
      <c r="P60" s="3118">
        <v>10000</v>
      </c>
      <c r="Q60" s="3119"/>
      <c r="S60" s="3118"/>
      <c r="T60" s="3119"/>
      <c r="V60" s="2562"/>
      <c r="W60" s="3204"/>
      <c r="X60" s="3205"/>
    </row>
    <row r="61" spans="1:24" s="294" customFormat="1" ht="12" customHeight="1">
      <c r="B61" s="352" t="s">
        <v>1152</v>
      </c>
      <c r="D61" s="350"/>
      <c r="E61" s="350"/>
      <c r="F61" s="351"/>
      <c r="G61" s="3118"/>
      <c r="H61" s="3119"/>
      <c r="I61" s="312"/>
      <c r="J61" s="3118"/>
      <c r="K61" s="3119"/>
      <c r="L61" s="2278"/>
      <c r="M61" s="3118"/>
      <c r="N61" s="3119"/>
      <c r="P61" s="3118"/>
      <c r="Q61" s="3119"/>
      <c r="S61" s="3118"/>
      <c r="T61" s="3119"/>
      <c r="V61" s="2562"/>
      <c r="W61" s="3204"/>
      <c r="X61" s="3205"/>
    </row>
    <row r="62" spans="1:24" s="294" customFormat="1" ht="12" customHeight="1">
      <c r="A62" s="372" t="str">
        <f>IF(AND(G62&gt;0,OR(C62="",C62="&lt;Enter detailed description here; use Comments section if needed&gt;")),"X","")</f>
        <v/>
      </c>
      <c r="B62" s="294" t="s">
        <v>740</v>
      </c>
      <c r="C62" s="3289" t="s">
        <v>3709</v>
      </c>
      <c r="D62" s="3289"/>
      <c r="E62" s="3289"/>
      <c r="F62" s="3290"/>
      <c r="G62" s="3118"/>
      <c r="H62" s="3119"/>
      <c r="J62" s="3118"/>
      <c r="K62" s="3119"/>
      <c r="L62" s="2278"/>
      <c r="M62" s="3118"/>
      <c r="N62" s="3119"/>
      <c r="P62" s="3118"/>
      <c r="Q62" s="3119"/>
      <c r="S62" s="3118"/>
      <c r="T62" s="3119"/>
      <c r="U62" s="371" t="str">
        <f>IF(AND(G62&gt;0,OR(C62="",C62="&lt;Enter detailed description here; use Comments section if needed&gt;")),"NO DESCRIPTION PROVIDED - please enter detailed description in Other box at left; use Comments section below if needed.","")</f>
        <v/>
      </c>
      <c r="V62" s="2562"/>
      <c r="W62" s="3204"/>
      <c r="X62" s="3205"/>
    </row>
    <row r="63" spans="1:24" s="294" customFormat="1" ht="12" customHeight="1" thickBot="1">
      <c r="A63" s="372" t="str">
        <f>IF(AND(G63&gt;0,OR(C63="",C63="&lt;Enter detailed description here; use Comments section if needed&gt;")),"X","")</f>
        <v/>
      </c>
      <c r="B63" s="294" t="s">
        <v>740</v>
      </c>
      <c r="C63" s="3291" t="s">
        <v>3709</v>
      </c>
      <c r="D63" s="3291"/>
      <c r="E63" s="3291"/>
      <c r="F63" s="3292"/>
      <c r="G63" s="3122"/>
      <c r="H63" s="3123"/>
      <c r="J63" s="3122"/>
      <c r="K63" s="3123"/>
      <c r="L63" s="2278"/>
      <c r="M63" s="3122"/>
      <c r="N63" s="3123"/>
      <c r="P63" s="3122"/>
      <c r="Q63" s="3123"/>
      <c r="S63" s="3122"/>
      <c r="T63" s="3123"/>
      <c r="U63" s="371" t="str">
        <f>IF(AND(G63&gt;0,OR(C63="",C63="&lt;Enter detailed description here; use Comments section if needed&gt;")),"NO DESCRIPTION PROVIDED - please enter detailed description in Other box at left; use Comments section below if needed.","")</f>
        <v/>
      </c>
      <c r="V63" s="2562"/>
      <c r="W63" s="3188"/>
      <c r="X63" s="3189"/>
    </row>
    <row r="64" spans="1:24" s="294" customFormat="1" ht="12" customHeight="1" thickTop="1">
      <c r="F64" s="346" t="s">
        <v>191</v>
      </c>
      <c r="G64" s="3274">
        <f>SUM(G52:H63)</f>
        <v>324000</v>
      </c>
      <c r="H64" s="3275"/>
      <c r="J64" s="3274">
        <f>SUM(J52:K63)</f>
        <v>0</v>
      </c>
      <c r="K64" s="3275"/>
      <c r="L64" s="348"/>
      <c r="M64" s="3274">
        <f>SUM(M52:N63)</f>
        <v>0</v>
      </c>
      <c r="N64" s="3275"/>
      <c r="P64" s="3274">
        <f>SUM(P52:Q63)</f>
        <v>303000</v>
      </c>
      <c r="Q64" s="3275"/>
      <c r="S64" s="3274">
        <f>SUM(S52:T63)</f>
        <v>21000</v>
      </c>
      <c r="T64" s="3275"/>
      <c r="V64" s="2563">
        <f>SUM(V52:V63)</f>
        <v>0</v>
      </c>
      <c r="W64" s="3206"/>
      <c r="X64" s="3207"/>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134">
        <v>89600</v>
      </c>
      <c r="H66" s="3135"/>
      <c r="J66" s="3134"/>
      <c r="K66" s="3135"/>
      <c r="L66" s="2278"/>
      <c r="M66" s="3134"/>
      <c r="N66" s="3135"/>
      <c r="P66" s="3134">
        <v>89600</v>
      </c>
      <c r="Q66" s="3135"/>
      <c r="S66" s="3134"/>
      <c r="T66" s="3135"/>
      <c r="V66" s="2559"/>
      <c r="W66" s="3204"/>
      <c r="X66" s="3205"/>
    </row>
    <row r="67" spans="1:24" s="294" customFormat="1" ht="12" customHeight="1">
      <c r="B67" s="294" t="s">
        <v>478</v>
      </c>
      <c r="G67" s="3118">
        <v>22400</v>
      </c>
      <c r="H67" s="3119"/>
      <c r="J67" s="3118"/>
      <c r="K67" s="3119"/>
      <c r="L67" s="2278"/>
      <c r="M67" s="3118"/>
      <c r="N67" s="3119"/>
      <c r="P67" s="3118">
        <v>22400</v>
      </c>
      <c r="Q67" s="3119"/>
      <c r="S67" s="3118"/>
      <c r="T67" s="3119"/>
      <c r="V67" s="2559"/>
      <c r="W67" s="3204"/>
      <c r="X67" s="3205"/>
    </row>
    <row r="68" spans="1:24" s="294" customFormat="1" ht="12" customHeight="1">
      <c r="B68" s="294" t="s">
        <v>1126</v>
      </c>
      <c r="D68" s="306" t="s">
        <v>3845</v>
      </c>
      <c r="E68" s="1068">
        <f>'DCA Underwriting Assumptions'!R76</f>
        <v>20000</v>
      </c>
      <c r="F68" s="1069" t="str">
        <f>IF(G68&gt;E68,"CHECK!!!","")</f>
        <v/>
      </c>
      <c r="G68" s="3118">
        <v>15000</v>
      </c>
      <c r="H68" s="3119"/>
      <c r="J68" s="3118"/>
      <c r="K68" s="3119"/>
      <c r="L68" s="2278"/>
      <c r="M68" s="3118"/>
      <c r="N68" s="3119"/>
      <c r="P68" s="3118">
        <v>15000</v>
      </c>
      <c r="Q68" s="3119"/>
      <c r="S68" s="3118"/>
      <c r="T68" s="3119"/>
      <c r="V68" s="2559"/>
      <c r="W68" s="3204"/>
      <c r="X68" s="3205"/>
    </row>
    <row r="69" spans="1:24" s="294" customFormat="1" ht="12" customHeight="1">
      <c r="B69" s="294" t="s">
        <v>1127</v>
      </c>
      <c r="G69" s="3118"/>
      <c r="H69" s="3119"/>
      <c r="J69" s="3118"/>
      <c r="K69" s="3119"/>
      <c r="L69" s="2278"/>
      <c r="M69" s="3118"/>
      <c r="N69" s="3119"/>
      <c r="P69" s="3118"/>
      <c r="Q69" s="3119"/>
      <c r="S69" s="3118"/>
      <c r="T69" s="3119"/>
      <c r="V69" s="2559"/>
      <c r="W69" s="3204"/>
      <c r="X69" s="3205"/>
    </row>
    <row r="70" spans="1:24" s="294" customFormat="1" ht="12" customHeight="1">
      <c r="B70" s="294" t="s">
        <v>1128</v>
      </c>
      <c r="G70" s="3118">
        <v>7500</v>
      </c>
      <c r="H70" s="3119"/>
      <c r="J70" s="3118"/>
      <c r="K70" s="3119"/>
      <c r="L70" s="2278"/>
      <c r="M70" s="3118"/>
      <c r="N70" s="3119"/>
      <c r="P70" s="3118">
        <v>7500</v>
      </c>
      <c r="Q70" s="3119"/>
      <c r="S70" s="3118"/>
      <c r="T70" s="3119"/>
      <c r="V70" s="2559"/>
      <c r="W70" s="3204"/>
      <c r="X70" s="3205"/>
    </row>
    <row r="71" spans="1:24" s="294" customFormat="1" ht="12" customHeight="1">
      <c r="B71" s="294" t="s">
        <v>1129</v>
      </c>
      <c r="G71" s="3118">
        <v>10000</v>
      </c>
      <c r="H71" s="3119"/>
      <c r="J71" s="3118"/>
      <c r="K71" s="3119"/>
      <c r="L71" s="2278"/>
      <c r="M71" s="3118"/>
      <c r="N71" s="3119"/>
      <c r="P71" s="3118">
        <v>10000</v>
      </c>
      <c r="Q71" s="3119"/>
      <c r="S71" s="3118"/>
      <c r="T71" s="3119"/>
      <c r="V71" s="2559"/>
      <c r="W71" s="3204"/>
      <c r="X71" s="3205"/>
    </row>
    <row r="72" spans="1:24" s="294" customFormat="1" ht="12" customHeight="1">
      <c r="B72" s="294" t="s">
        <v>479</v>
      </c>
      <c r="G72" s="3118">
        <v>50000</v>
      </c>
      <c r="H72" s="3119"/>
      <c r="J72" s="3118"/>
      <c r="K72" s="3119"/>
      <c r="L72" s="2278"/>
      <c r="M72" s="3118"/>
      <c r="N72" s="3119"/>
      <c r="P72" s="3118">
        <v>50000</v>
      </c>
      <c r="Q72" s="3119"/>
      <c r="S72" s="3118"/>
      <c r="T72" s="3119"/>
      <c r="V72" s="2559"/>
      <c r="W72" s="3204"/>
      <c r="X72" s="3205"/>
    </row>
    <row r="73" spans="1:24" s="294" customFormat="1" ht="12" customHeight="1">
      <c r="B73" s="294" t="s">
        <v>480</v>
      </c>
      <c r="G73" s="3118">
        <v>30000</v>
      </c>
      <c r="H73" s="3119"/>
      <c r="J73" s="3118"/>
      <c r="K73" s="3119"/>
      <c r="L73" s="2278"/>
      <c r="M73" s="3118"/>
      <c r="N73" s="3119"/>
      <c r="P73" s="3118">
        <v>15000</v>
      </c>
      <c r="Q73" s="3119"/>
      <c r="S73" s="3118">
        <v>15000</v>
      </c>
      <c r="T73" s="3119"/>
      <c r="V73" s="2559"/>
      <c r="W73" s="3204"/>
      <c r="X73" s="3205"/>
    </row>
    <row r="74" spans="1:24" s="294" customFormat="1" ht="12" customHeight="1">
      <c r="B74" s="294" t="s">
        <v>2048</v>
      </c>
      <c r="G74" s="3118">
        <v>16500</v>
      </c>
      <c r="H74" s="3119"/>
      <c r="J74" s="3118"/>
      <c r="K74" s="3119"/>
      <c r="L74" s="2278"/>
      <c r="M74" s="3118"/>
      <c r="N74" s="3119"/>
      <c r="P74" s="3118">
        <v>2500</v>
      </c>
      <c r="Q74" s="3119"/>
      <c r="S74" s="3118">
        <v>14000</v>
      </c>
      <c r="T74" s="3119"/>
      <c r="V74" s="2559"/>
      <c r="W74" s="3204"/>
      <c r="X74" s="3205"/>
    </row>
    <row r="75" spans="1:24" s="294" customFormat="1" ht="12" customHeight="1">
      <c r="B75" s="294" t="s">
        <v>1276</v>
      </c>
      <c r="G75" s="3118">
        <v>15000</v>
      </c>
      <c r="H75" s="3119"/>
      <c r="J75" s="3118"/>
      <c r="K75" s="3119"/>
      <c r="L75" s="2278"/>
      <c r="M75" s="3118"/>
      <c r="N75" s="3119"/>
      <c r="P75" s="3118">
        <v>15000</v>
      </c>
      <c r="Q75" s="3119"/>
      <c r="S75" s="3118"/>
      <c r="T75" s="3119"/>
      <c r="V75" s="2559"/>
      <c r="W75" s="3204"/>
      <c r="X75" s="3205"/>
    </row>
    <row r="76" spans="1:24" s="294" customFormat="1" ht="12" customHeight="1" thickBot="1">
      <c r="A76" s="372" t="str">
        <f>IF(AND(G76&gt;0,OR(C76="",C76="&lt;Enter detailed description here; use Comments section if needed&gt;")),"X","")</f>
        <v/>
      </c>
      <c r="B76" s="294" t="s">
        <v>740</v>
      </c>
      <c r="C76" s="3281" t="s">
        <v>3709</v>
      </c>
      <c r="D76" s="3281"/>
      <c r="E76" s="3281"/>
      <c r="F76" s="3282"/>
      <c r="G76" s="3122"/>
      <c r="H76" s="3123"/>
      <c r="J76" s="3122"/>
      <c r="K76" s="3123"/>
      <c r="L76" s="2278"/>
      <c r="M76" s="3122"/>
      <c r="N76" s="3123"/>
      <c r="P76" s="3122"/>
      <c r="Q76" s="3123"/>
      <c r="S76" s="3122"/>
      <c r="T76" s="3123"/>
      <c r="U76" s="371" t="str">
        <f>IF(AND(G76&gt;0,OR(C76="",C76="&lt;Enter detailed description here; use Comments section if needed&gt;")),"NO DESCRIPTION PROVIDED - please enter detailed description in Other box at left; use Comments section below if needed.","")</f>
        <v/>
      </c>
      <c r="V76" s="2559"/>
      <c r="W76" s="3188"/>
      <c r="X76" s="3189"/>
    </row>
    <row r="77" spans="1:24" s="294" customFormat="1" ht="12" customHeight="1" thickTop="1">
      <c r="F77" s="346" t="s">
        <v>191</v>
      </c>
      <c r="G77" s="3274">
        <f>SUM(G66:H76)</f>
        <v>256000</v>
      </c>
      <c r="H77" s="3275"/>
      <c r="J77" s="3274">
        <f>SUM(J66:K76)</f>
        <v>0</v>
      </c>
      <c r="K77" s="3275"/>
      <c r="L77" s="348"/>
      <c r="M77" s="3274">
        <f>SUM(M66:N76)</f>
        <v>0</v>
      </c>
      <c r="N77" s="3275"/>
      <c r="P77" s="3274">
        <f>SUM(P66:Q76)</f>
        <v>227000</v>
      </c>
      <c r="Q77" s="3275"/>
      <c r="S77" s="3274">
        <f>SUM(S66:T76)</f>
        <v>29000</v>
      </c>
      <c r="T77" s="3275"/>
      <c r="V77" s="2561">
        <f>SUM(V66:V76)</f>
        <v>0</v>
      </c>
      <c r="W77" s="3206"/>
      <c r="X77" s="3207"/>
    </row>
    <row r="78" spans="1:24" ht="12" customHeight="1">
      <c r="A78" s="294"/>
      <c r="B78" s="296" t="s">
        <v>1268</v>
      </c>
      <c r="C78" s="294"/>
      <c r="D78" s="907" t="s">
        <v>3732</v>
      </c>
      <c r="E78" s="985">
        <f>G83/'Part VI-Revenues &amp; Expenses'!$O$67</f>
        <v>702.3</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1269</v>
      </c>
      <c r="G79" s="3134">
        <v>2092</v>
      </c>
      <c r="H79" s="3135"/>
      <c r="J79" s="3134"/>
      <c r="K79" s="3135"/>
      <c r="L79" s="2278"/>
      <c r="M79" s="3134"/>
      <c r="N79" s="3135"/>
      <c r="P79" s="3134">
        <v>2092</v>
      </c>
      <c r="Q79" s="3135"/>
      <c r="S79" s="3134"/>
      <c r="T79" s="3135"/>
      <c r="V79" s="2559"/>
      <c r="W79" s="3204"/>
      <c r="X79" s="3205"/>
    </row>
    <row r="80" spans="1:24" s="294" customFormat="1" ht="12" customHeight="1">
      <c r="B80" s="294" t="s">
        <v>1270</v>
      </c>
      <c r="G80" s="3118">
        <v>2000</v>
      </c>
      <c r="H80" s="3119"/>
      <c r="J80" s="3118"/>
      <c r="K80" s="3119"/>
      <c r="L80" s="2278"/>
      <c r="M80" s="3118"/>
      <c r="N80" s="3119"/>
      <c r="P80" s="3118">
        <v>2000</v>
      </c>
      <c r="Q80" s="3119"/>
      <c r="S80" s="3118"/>
      <c r="T80" s="3119"/>
      <c r="V80" s="2559"/>
      <c r="W80" s="3204"/>
      <c r="X80" s="3205"/>
    </row>
    <row r="81" spans="1:24" s="294" customFormat="1" ht="12" customHeight="1">
      <c r="B81" s="294" t="s">
        <v>1271</v>
      </c>
      <c r="D81" s="354" t="s">
        <v>1402</v>
      </c>
      <c r="E81" s="2564"/>
      <c r="G81" s="3118">
        <v>24000</v>
      </c>
      <c r="H81" s="3119"/>
      <c r="I81" s="312"/>
      <c r="J81" s="3118"/>
      <c r="K81" s="3119"/>
      <c r="L81" s="2278"/>
      <c r="M81" s="3118"/>
      <c r="N81" s="3119"/>
      <c r="P81" s="3118">
        <v>24000</v>
      </c>
      <c r="Q81" s="3119"/>
      <c r="S81" s="3118"/>
      <c r="T81" s="3119"/>
      <c r="V81" s="2559"/>
      <c r="W81" s="3204" t="s">
        <v>5275</v>
      </c>
      <c r="X81" s="3205"/>
    </row>
    <row r="82" spans="1:24" s="294" customFormat="1" ht="12" customHeight="1" thickBot="1">
      <c r="B82" s="294" t="s">
        <v>1272</v>
      </c>
      <c r="D82" s="354" t="s">
        <v>1402</v>
      </c>
      <c r="E82" s="2565"/>
      <c r="G82" s="3122"/>
      <c r="H82" s="3123"/>
      <c r="I82" s="312"/>
      <c r="J82" s="3122"/>
      <c r="K82" s="3123"/>
      <c r="L82" s="2278"/>
      <c r="M82" s="3122"/>
      <c r="N82" s="3123"/>
      <c r="P82" s="3122"/>
      <c r="Q82" s="3123"/>
      <c r="S82" s="3122"/>
      <c r="T82" s="3123"/>
      <c r="V82" s="2559"/>
      <c r="W82" s="3188"/>
      <c r="X82" s="3189"/>
    </row>
    <row r="83" spans="1:24" s="294" customFormat="1" ht="12" customHeight="1" thickTop="1">
      <c r="F83" s="346" t="s">
        <v>191</v>
      </c>
      <c r="G83" s="3274">
        <f>SUM(G79:H82)</f>
        <v>28092</v>
      </c>
      <c r="H83" s="3275"/>
      <c r="J83" s="3274">
        <f>SUM(J79:K82)</f>
        <v>0</v>
      </c>
      <c r="K83" s="3275"/>
      <c r="L83" s="348"/>
      <c r="M83" s="3274">
        <f>SUM(M79:N82)</f>
        <v>0</v>
      </c>
      <c r="N83" s="3275"/>
      <c r="P83" s="3274">
        <f>SUM(P79:Q82)</f>
        <v>28092</v>
      </c>
      <c r="Q83" s="3275"/>
      <c r="S83" s="3274">
        <f>SUM(S79:T82)</f>
        <v>0</v>
      </c>
      <c r="T83" s="3275"/>
      <c r="V83" s="2561">
        <f>SUM(V79:V82)</f>
        <v>0</v>
      </c>
      <c r="W83" s="3206"/>
      <c r="X83" s="3207"/>
    </row>
    <row r="84" spans="1:24" s="294" customFormat="1" ht="12" customHeight="1">
      <c r="B84" s="296" t="s">
        <v>723</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1273</v>
      </c>
      <c r="G85" s="3134"/>
      <c r="H85" s="3135"/>
      <c r="J85" s="3288"/>
      <c r="K85" s="3288"/>
      <c r="L85" s="2278"/>
      <c r="M85" s="3288"/>
      <c r="N85" s="3288"/>
      <c r="P85" s="3288"/>
      <c r="Q85" s="3288"/>
      <c r="S85" s="3134"/>
      <c r="T85" s="3135"/>
      <c r="V85" s="2559"/>
      <c r="W85" s="3204"/>
      <c r="X85" s="3205"/>
    </row>
    <row r="86" spans="1:24" s="294" customFormat="1" ht="12" customHeight="1">
      <c r="B86" s="294" t="s">
        <v>1274</v>
      </c>
      <c r="G86" s="3118"/>
      <c r="H86" s="3119"/>
      <c r="J86" s="3288"/>
      <c r="K86" s="3288"/>
      <c r="L86" s="2278"/>
      <c r="M86" s="3288"/>
      <c r="N86" s="3288"/>
      <c r="P86" s="3288"/>
      <c r="Q86" s="3288"/>
      <c r="S86" s="3118"/>
      <c r="T86" s="3119"/>
      <c r="V86" s="2559"/>
      <c r="W86" s="3204"/>
      <c r="X86" s="3205"/>
    </row>
    <row r="87" spans="1:24" s="294" customFormat="1" ht="12" customHeight="1">
      <c r="B87" s="294" t="s">
        <v>1275</v>
      </c>
      <c r="G87" s="3118"/>
      <c r="H87" s="3119"/>
      <c r="J87" s="3288"/>
      <c r="K87" s="3288"/>
      <c r="L87" s="2278"/>
      <c r="M87" s="3288"/>
      <c r="N87" s="3288"/>
      <c r="P87" s="3288"/>
      <c r="Q87" s="3288"/>
      <c r="S87" s="3118"/>
      <c r="T87" s="3119"/>
      <c r="V87" s="2559"/>
      <c r="W87" s="3204"/>
      <c r="X87" s="3205"/>
    </row>
    <row r="88" spans="1:24" s="294" customFormat="1" ht="12" customHeight="1">
      <c r="B88" s="294" t="s">
        <v>1277</v>
      </c>
      <c r="G88" s="3118"/>
      <c r="H88" s="3119"/>
      <c r="J88" s="3288"/>
      <c r="K88" s="3288"/>
      <c r="L88" s="2278"/>
      <c r="M88" s="3288"/>
      <c r="N88" s="3288"/>
      <c r="P88" s="3288"/>
      <c r="Q88" s="3288"/>
      <c r="S88" s="3118"/>
      <c r="T88" s="3119"/>
      <c r="V88" s="2559"/>
      <c r="W88" s="3204"/>
      <c r="X88" s="3205"/>
    </row>
    <row r="89" spans="1:24" s="294" customFormat="1" ht="12" customHeight="1">
      <c r="B89" s="294" t="s">
        <v>2297</v>
      </c>
      <c r="G89" s="3118"/>
      <c r="H89" s="3119"/>
      <c r="J89" s="3288"/>
      <c r="K89" s="3288"/>
      <c r="L89" s="2278"/>
      <c r="M89" s="3288"/>
      <c r="N89" s="3288"/>
      <c r="P89" s="3288"/>
      <c r="Q89" s="3288"/>
      <c r="S89" s="3118"/>
      <c r="T89" s="3119"/>
      <c r="V89" s="2559"/>
      <c r="W89" s="3204"/>
      <c r="X89" s="3205"/>
    </row>
    <row r="90" spans="1:24" s="294" customFormat="1" ht="12" customHeight="1" thickBot="1">
      <c r="A90" s="372" t="str">
        <f>IF(AND(G90&gt;0,OR(C90="",C90="&lt;Enter detailed description here; use Comments section if needed&gt;")),"X","")</f>
        <v/>
      </c>
      <c r="B90" s="294" t="s">
        <v>740</v>
      </c>
      <c r="C90" s="3281" t="s">
        <v>3709</v>
      </c>
      <c r="D90" s="3281"/>
      <c r="E90" s="3281"/>
      <c r="F90" s="3282"/>
      <c r="G90" s="3122"/>
      <c r="H90" s="3123"/>
      <c r="J90" s="3288"/>
      <c r="K90" s="3288"/>
      <c r="L90" s="2278"/>
      <c r="M90" s="3288"/>
      <c r="N90" s="3288"/>
      <c r="P90" s="3288"/>
      <c r="Q90" s="3288"/>
      <c r="S90" s="3122"/>
      <c r="T90" s="3123"/>
      <c r="U90" s="371" t="str">
        <f>IF(AND(G90&gt;0,OR(C90="",C90="&lt;Enter detailed description here; use Comments section if needed&gt;")),"NO DESCRIPTION PROVIDED - please enter detailed description in Other box at left; use Comments section below if needed.","")</f>
        <v/>
      </c>
      <c r="V90" s="2559"/>
      <c r="W90" s="3188"/>
      <c r="X90" s="3189"/>
    </row>
    <row r="91" spans="1:24" s="294" customFormat="1" ht="12" customHeight="1" thickTop="1">
      <c r="F91" s="346" t="s">
        <v>191</v>
      </c>
      <c r="G91" s="3274">
        <f>SUM(G85:H90)</f>
        <v>0</v>
      </c>
      <c r="H91" s="3275"/>
      <c r="J91" s="3288"/>
      <c r="K91" s="3288"/>
      <c r="L91" s="348"/>
      <c r="M91" s="3288"/>
      <c r="N91" s="3288"/>
      <c r="P91" s="3288"/>
      <c r="Q91" s="3288"/>
      <c r="S91" s="3274">
        <f>SUM(S85:T90)</f>
        <v>0</v>
      </c>
      <c r="T91" s="3275"/>
      <c r="V91" s="2561">
        <f>SUM(V85:V90)</f>
        <v>0</v>
      </c>
      <c r="W91" s="3206"/>
      <c r="X91" s="3207"/>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615</v>
      </c>
      <c r="B93" s="422" t="s">
        <v>2842</v>
      </c>
      <c r="H93" s="2266"/>
      <c r="I93" s="2266"/>
      <c r="J93" s="3262" t="s">
        <v>271</v>
      </c>
      <c r="K93" s="3263"/>
      <c r="L93" s="345"/>
      <c r="M93" s="3293" t="s">
        <v>488</v>
      </c>
      <c r="N93" s="3294"/>
      <c r="P93" s="3262" t="s">
        <v>272</v>
      </c>
      <c r="Q93" s="3263"/>
      <c r="S93" s="3262" t="s">
        <v>273</v>
      </c>
      <c r="T93" s="3263"/>
      <c r="V93" s="423" t="str">
        <f>B93</f>
        <v>DEVELOPMENT BUDGET  (cont'd)</v>
      </c>
    </row>
    <row r="94" spans="1:24" s="294" customFormat="1" ht="18" customHeight="1" thickBot="1">
      <c r="G94" s="3297" t="s">
        <v>101</v>
      </c>
      <c r="H94" s="3298"/>
      <c r="J94" s="3264"/>
      <c r="K94" s="3265"/>
      <c r="L94" s="345"/>
      <c r="M94" s="3295"/>
      <c r="N94" s="3296"/>
      <c r="P94" s="3264"/>
      <c r="Q94" s="3265"/>
      <c r="S94" s="3264"/>
      <c r="T94" s="3265"/>
      <c r="V94" s="332" t="s">
        <v>2682</v>
      </c>
      <c r="X94" s="332"/>
    </row>
    <row r="95" spans="1:24" s="294" customFormat="1" ht="13.2" customHeight="1">
      <c r="B95" s="296" t="s">
        <v>724</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34"/>
      <c r="H96" s="3135"/>
      <c r="J96" s="348"/>
      <c r="K96" s="348"/>
      <c r="L96" s="2278"/>
      <c r="M96" s="348"/>
      <c r="N96" s="348"/>
      <c r="P96" s="348"/>
      <c r="Q96" s="348"/>
      <c r="S96" s="3134"/>
      <c r="T96" s="3135"/>
      <c r="V96" s="2559"/>
      <c r="W96" s="3204"/>
      <c r="X96" s="3205"/>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18">
        <v>6500</v>
      </c>
      <c r="H97" s="3119"/>
      <c r="J97" s="348"/>
      <c r="K97" s="348"/>
      <c r="L97" s="355"/>
      <c r="M97" s="348"/>
      <c r="N97" s="348"/>
      <c r="P97" s="348"/>
      <c r="Q97" s="348"/>
      <c r="S97" s="3118">
        <v>6500</v>
      </c>
      <c r="T97" s="3119"/>
      <c r="V97" s="2559"/>
      <c r="W97" s="3204"/>
      <c r="X97" s="3205"/>
    </row>
    <row r="98" spans="1:24" s="294" customFormat="1" ht="12.6" customHeight="1">
      <c r="B98" s="294" t="s">
        <v>3947</v>
      </c>
      <c r="G98" s="3118">
        <v>1500</v>
      </c>
      <c r="H98" s="3119"/>
      <c r="J98" s="348"/>
      <c r="K98" s="348"/>
      <c r="L98" s="355"/>
      <c r="M98" s="348"/>
      <c r="N98" s="348"/>
      <c r="O98" s="2266"/>
      <c r="P98" s="348"/>
      <c r="Q98" s="348"/>
      <c r="S98" s="3118">
        <v>1500</v>
      </c>
      <c r="T98" s="3119"/>
      <c r="V98" s="2559"/>
      <c r="W98" s="3204"/>
      <c r="X98" s="3205"/>
    </row>
    <row r="99" spans="1:24" s="294" customFormat="1" ht="12.6" customHeight="1">
      <c r="B99" s="294" t="s">
        <v>518</v>
      </c>
      <c r="E99" s="3299">
        <f>'DCA Underwriting Assumptions'!$Q$88*J175</f>
        <v>29534.48</v>
      </c>
      <c r="F99" s="3300"/>
      <c r="G99" s="3118">
        <v>29533</v>
      </c>
      <c r="H99" s="3119"/>
      <c r="J99" s="986" t="str">
        <f>IF(E99&gt;G99,"WARNING!  LIHTC Allocation Fee proposed is below minimum required.","")</f>
        <v>WARNING!  LIHTC Allocation Fee proposed is below minimum required.</v>
      </c>
      <c r="K99" s="348"/>
      <c r="L99" s="2278"/>
      <c r="M99" s="348"/>
      <c r="N99" s="348"/>
      <c r="O99" s="2266"/>
      <c r="P99" s="348"/>
      <c r="Q99" s="348"/>
      <c r="S99" s="3118">
        <v>29533</v>
      </c>
      <c r="T99" s="3119"/>
      <c r="V99" s="2559"/>
      <c r="W99" s="3204"/>
      <c r="X99" s="3205"/>
    </row>
    <row r="100" spans="1:24" s="294" customFormat="1" ht="12.6" customHeight="1">
      <c r="B100" s="294" t="s">
        <v>752</v>
      </c>
      <c r="E100" s="3299">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32000</v>
      </c>
      <c r="F100" s="3300"/>
      <c r="G100" s="3118">
        <v>32000</v>
      </c>
      <c r="H100" s="3119"/>
      <c r="J100" s="986" t="str">
        <f>IF(E100&gt;G100,"WARNING!  LIHTC Compliance Fee proposed is below minimum required.","")</f>
        <v/>
      </c>
      <c r="K100" s="271"/>
      <c r="L100" s="271"/>
      <c r="M100" s="271"/>
      <c r="N100" s="271"/>
      <c r="O100" s="271"/>
      <c r="P100" s="271"/>
      <c r="Q100" s="271"/>
      <c r="S100" s="3118">
        <v>32000</v>
      </c>
      <c r="T100" s="3119"/>
      <c r="V100" s="2559"/>
      <c r="W100" s="3204"/>
      <c r="X100" s="3205"/>
    </row>
    <row r="101" spans="1:24" s="294" customFormat="1" ht="12.6" customHeight="1">
      <c r="B101" s="294" t="s">
        <v>4238</v>
      </c>
      <c r="F101" s="1245">
        <f>'DCA Underwriting Assumptions'!$Q$90</f>
        <v>3000</v>
      </c>
      <c r="G101" s="3118">
        <v>0</v>
      </c>
      <c r="H101" s="3119"/>
      <c r="J101" s="271"/>
      <c r="K101" s="271"/>
      <c r="L101" s="271"/>
      <c r="M101" s="271"/>
      <c r="N101" s="271"/>
      <c r="O101" s="271"/>
      <c r="P101" s="271"/>
      <c r="Q101" s="271"/>
      <c r="S101" s="3118"/>
      <c r="T101" s="3119"/>
      <c r="V101" s="2559"/>
      <c r="W101" s="3204"/>
      <c r="X101" s="3205"/>
    </row>
    <row r="102" spans="1:24" s="294" customFormat="1" ht="12.6" customHeight="1">
      <c r="B102" s="294" t="s">
        <v>4239</v>
      </c>
      <c r="F102" s="1245">
        <f>'DCA Underwriting Assumptions'!$Q$113</f>
        <v>3000</v>
      </c>
      <c r="G102" s="3118">
        <v>3000</v>
      </c>
      <c r="H102" s="3119"/>
      <c r="J102" s="271"/>
      <c r="K102" s="271"/>
      <c r="L102" s="271"/>
      <c r="M102" s="271"/>
      <c r="N102" s="271"/>
      <c r="O102" s="271"/>
      <c r="P102" s="271"/>
      <c r="Q102" s="271"/>
      <c r="S102" s="3118">
        <v>3000</v>
      </c>
      <c r="T102" s="3119"/>
      <c r="V102" s="2559"/>
      <c r="W102" s="3204"/>
      <c r="X102" s="3205"/>
    </row>
    <row r="103" spans="1:24" s="294" customFormat="1" ht="12.6" customHeight="1">
      <c r="A103" s="372" t="str">
        <f>IF(AND(G103&gt;0,OR(C103="",C103="&lt;Enter detailed description here; use Comments section if needed&gt;")),"X","")</f>
        <v/>
      </c>
      <c r="B103" s="294" t="s">
        <v>740</v>
      </c>
      <c r="C103" s="3289" t="s">
        <v>3709</v>
      </c>
      <c r="D103" s="3289"/>
      <c r="E103" s="3289"/>
      <c r="F103" s="3290"/>
      <c r="G103" s="3118"/>
      <c r="H103" s="3119"/>
      <c r="J103" s="271"/>
      <c r="K103" s="271"/>
      <c r="L103" s="271"/>
      <c r="M103" s="271"/>
      <c r="N103" s="271"/>
      <c r="O103" s="271"/>
      <c r="P103" s="271"/>
      <c r="Q103" s="271"/>
      <c r="S103" s="3118"/>
      <c r="T103" s="3119"/>
      <c r="U103" s="371" t="str">
        <f>IF(AND(G103&gt;0,OR(C103="",C103="&lt;Enter detailed description here; use Comments section if needed&gt;")),"NO DESCRIPTION PROVIDED - please enter detailed description in Other box at left; use Comments section below if needed.","")</f>
        <v/>
      </c>
      <c r="V103" s="2559"/>
      <c r="W103" s="3204"/>
      <c r="X103" s="3205"/>
    </row>
    <row r="104" spans="1:24" s="294" customFormat="1" ht="12.6" customHeight="1" thickBot="1">
      <c r="A104" s="372" t="str">
        <f>IF(AND(G104&gt;0,OR(C104="",C104="&lt;Enter detailed description here; use Comments section if needed&gt;")),"X","")</f>
        <v/>
      </c>
      <c r="B104" s="294" t="s">
        <v>740</v>
      </c>
      <c r="C104" s="3291" t="s">
        <v>3709</v>
      </c>
      <c r="D104" s="3291"/>
      <c r="E104" s="3291"/>
      <c r="F104" s="3292"/>
      <c r="G104" s="3122"/>
      <c r="H104" s="3123"/>
      <c r="J104" s="271"/>
      <c r="K104" s="271"/>
      <c r="L104" s="271"/>
      <c r="M104" s="271"/>
      <c r="N104" s="271"/>
      <c r="O104" s="271"/>
      <c r="P104" s="271"/>
      <c r="Q104" s="271"/>
      <c r="S104" s="3122"/>
      <c r="T104" s="3123"/>
      <c r="U104" s="371" t="str">
        <f>IF(AND(G104&gt;0,OR(C104="",C104="&lt;Enter detailed description here; use Comments section if needed&gt;")),"NO DESCRIPTION PROVIDED - please enter detailed description in Other box at left; use Comments section below if needed.","")</f>
        <v/>
      </c>
      <c r="V104" s="2559"/>
      <c r="W104" s="3188"/>
      <c r="X104" s="3189"/>
    </row>
    <row r="105" spans="1:24" s="294" customFormat="1" ht="12.6" customHeight="1" thickTop="1">
      <c r="F105" s="346" t="s">
        <v>191</v>
      </c>
      <c r="G105" s="3274">
        <f>SUM(G96:H104)</f>
        <v>72533</v>
      </c>
      <c r="H105" s="3275"/>
      <c r="J105" s="348"/>
      <c r="K105" s="348"/>
      <c r="L105" s="2278"/>
      <c r="M105" s="348"/>
      <c r="N105" s="348"/>
      <c r="P105" s="348"/>
      <c r="Q105" s="348"/>
      <c r="S105" s="3274">
        <f>SUM(S96:T104)</f>
        <v>72533</v>
      </c>
      <c r="T105" s="3275"/>
      <c r="V105" s="2561">
        <f>SUM(V96:V104)</f>
        <v>0</v>
      </c>
      <c r="W105" s="3190"/>
      <c r="X105" s="3191"/>
    </row>
    <row r="106" spans="1:24" s="294" customFormat="1" ht="13.2" customHeight="1">
      <c r="B106" s="296" t="s">
        <v>2298</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134"/>
      <c r="H107" s="3135"/>
      <c r="J107" s="3288"/>
      <c r="K107" s="3288"/>
      <c r="L107" s="2278"/>
      <c r="M107" s="3288"/>
      <c r="N107" s="3288"/>
      <c r="O107" s="2266"/>
      <c r="P107" s="3288"/>
      <c r="Q107" s="3288"/>
      <c r="S107" s="3134"/>
      <c r="T107" s="3135"/>
      <c r="V107" s="2559"/>
      <c r="W107" s="3204"/>
      <c r="X107" s="3205"/>
    </row>
    <row r="108" spans="1:24" s="294" customFormat="1" ht="12.6" customHeight="1">
      <c r="B108" s="294" t="s">
        <v>280</v>
      </c>
      <c r="G108" s="3118">
        <v>4000</v>
      </c>
      <c r="H108" s="3119"/>
      <c r="J108" s="3288"/>
      <c r="K108" s="3288"/>
      <c r="L108" s="2278"/>
      <c r="M108" s="3288"/>
      <c r="N108" s="3288"/>
      <c r="O108" s="2266"/>
      <c r="P108" s="3288"/>
      <c r="Q108" s="3288"/>
      <c r="S108" s="3118">
        <v>4000</v>
      </c>
      <c r="T108" s="3119"/>
      <c r="V108" s="2559"/>
      <c r="W108" s="3204"/>
      <c r="X108" s="3205"/>
    </row>
    <row r="109" spans="1:24" s="294" customFormat="1" ht="12.6" customHeight="1">
      <c r="B109" s="294" t="s">
        <v>2385</v>
      </c>
      <c r="G109" s="3118">
        <v>37500</v>
      </c>
      <c r="H109" s="3119"/>
      <c r="J109" s="3288"/>
      <c r="K109" s="3288"/>
      <c r="L109" s="2278"/>
      <c r="M109" s="3288"/>
      <c r="N109" s="3288"/>
      <c r="O109" s="2266"/>
      <c r="P109" s="3288"/>
      <c r="Q109" s="3288"/>
      <c r="S109" s="3118">
        <v>37500</v>
      </c>
      <c r="T109" s="3119"/>
      <c r="V109" s="2559"/>
      <c r="W109" s="3204"/>
      <c r="X109" s="3205"/>
    </row>
    <row r="110" spans="1:24" s="294" customFormat="1" ht="12.6" customHeight="1" thickBot="1">
      <c r="A110" s="372" t="str">
        <f>IF(AND(G110&gt;0,OR(C110="",C110="&lt;Enter detailed description here; use Comments section if needed&gt;")),"X","")</f>
        <v/>
      </c>
      <c r="B110" s="294" t="s">
        <v>740</v>
      </c>
      <c r="C110" s="3281" t="s">
        <v>3709</v>
      </c>
      <c r="D110" s="3281"/>
      <c r="E110" s="3281"/>
      <c r="F110" s="3282"/>
      <c r="G110" s="3122"/>
      <c r="H110" s="3123"/>
      <c r="J110" s="3288"/>
      <c r="K110" s="3288"/>
      <c r="L110" s="2278"/>
      <c r="M110" s="3288"/>
      <c r="N110" s="3288"/>
      <c r="O110" s="2266"/>
      <c r="P110" s="3288"/>
      <c r="Q110" s="3288"/>
      <c r="S110" s="3122"/>
      <c r="T110" s="3123"/>
      <c r="U110" s="371" t="str">
        <f>IF(AND(G110&gt;0,OR(C110="",C110="&lt;Enter detailed description here; use Comments section if needed&gt;")),"NO DESCRIPTION PROVIDED - please enter detailed description in Other box at left; use Comments section below if needed.","")</f>
        <v/>
      </c>
      <c r="V110" s="2559"/>
      <c r="W110" s="3188"/>
      <c r="X110" s="3189"/>
    </row>
    <row r="111" spans="1:24" s="294" customFormat="1" ht="12.6" customHeight="1" thickTop="1">
      <c r="F111" s="346" t="s">
        <v>191</v>
      </c>
      <c r="G111" s="3274">
        <f>SUM(G107:H110)</f>
        <v>41500</v>
      </c>
      <c r="H111" s="3275"/>
      <c r="J111" s="3288"/>
      <c r="K111" s="3288"/>
      <c r="L111" s="2278"/>
      <c r="M111" s="3288"/>
      <c r="N111" s="3288"/>
      <c r="O111" s="2266"/>
      <c r="P111" s="3288"/>
      <c r="Q111" s="3288"/>
      <c r="S111" s="3274">
        <f>SUM(S107:T110)</f>
        <v>41500</v>
      </c>
      <c r="T111" s="3275"/>
      <c r="V111" s="2561">
        <f>SUM(V107:V110)</f>
        <v>0</v>
      </c>
      <c r="W111" s="3206"/>
      <c r="X111" s="3207"/>
    </row>
    <row r="112" spans="1:24" s="294" customFormat="1" ht="13.2"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1859</v>
      </c>
      <c r="F113" s="398">
        <f>IF($G$118=0,0,G113/$G$118)</f>
        <v>0.5</v>
      </c>
      <c r="G113" s="3285">
        <v>184020</v>
      </c>
      <c r="H113" s="3285"/>
      <c r="J113" s="3286"/>
      <c r="K113" s="3287"/>
      <c r="L113" s="347"/>
      <c r="M113" s="3286"/>
      <c r="N113" s="3287"/>
      <c r="P113" s="3286">
        <v>184020</v>
      </c>
      <c r="Q113" s="3287"/>
      <c r="S113" s="3286"/>
      <c r="T113" s="3287"/>
      <c r="V113" s="2559"/>
      <c r="W113" s="3204"/>
      <c r="X113" s="3205"/>
    </row>
    <row r="114" spans="1:24" s="294" customFormat="1" ht="12.6" customHeight="1">
      <c r="B114" s="294" t="s">
        <v>4194</v>
      </c>
      <c r="F114" s="2566"/>
      <c r="V114" s="2559"/>
      <c r="W114" s="3204"/>
      <c r="X114" s="3205"/>
    </row>
    <row r="115" spans="1:24" s="294" customFormat="1" ht="12.6" customHeight="1">
      <c r="B115" s="294" t="s">
        <v>1860</v>
      </c>
      <c r="F115" s="398">
        <f>IF($G$118=0,0,G115/$G$118)</f>
        <v>0</v>
      </c>
      <c r="G115" s="3134"/>
      <c r="H115" s="3135"/>
      <c r="J115" s="3134"/>
      <c r="K115" s="3135"/>
      <c r="L115" s="2278"/>
      <c r="M115" s="3134"/>
      <c r="N115" s="3135"/>
      <c r="P115" s="3134"/>
      <c r="Q115" s="3135"/>
      <c r="S115" s="3134"/>
      <c r="T115" s="3135"/>
      <c r="V115" s="2559"/>
      <c r="W115" s="3204"/>
      <c r="X115" s="3205"/>
    </row>
    <row r="116" spans="1:24" s="294" customFormat="1" ht="12.6" customHeight="1">
      <c r="B116" s="294" t="s">
        <v>3631</v>
      </c>
      <c r="F116" s="398">
        <f>IF($G$118=0,0,G116/$G$118)</f>
        <v>0</v>
      </c>
      <c r="G116" s="3118"/>
      <c r="H116" s="3119"/>
      <c r="J116" s="3118"/>
      <c r="K116" s="3119"/>
      <c r="L116" s="2278"/>
      <c r="M116" s="3118"/>
      <c r="N116" s="3119"/>
      <c r="P116" s="3118"/>
      <c r="Q116" s="3119"/>
      <c r="S116" s="3118"/>
      <c r="T116" s="3119"/>
      <c r="V116" s="2559"/>
      <c r="W116" s="3204"/>
      <c r="X116" s="3205"/>
    </row>
    <row r="117" spans="1:24" s="294" customFormat="1" ht="12.6" customHeight="1" thickBot="1">
      <c r="B117" s="294" t="s">
        <v>1852</v>
      </c>
      <c r="F117" s="398">
        <f>IF($G$118=0,0,G117/$G$118)</f>
        <v>0.5</v>
      </c>
      <c r="G117" s="3122">
        <v>184020</v>
      </c>
      <c r="H117" s="3123"/>
      <c r="J117" s="3122"/>
      <c r="K117" s="3123"/>
      <c r="L117" s="2278"/>
      <c r="M117" s="3122"/>
      <c r="N117" s="3123"/>
      <c r="P117" s="3122">
        <v>184020</v>
      </c>
      <c r="Q117" s="3123"/>
      <c r="S117" s="3122"/>
      <c r="T117" s="3123"/>
      <c r="V117" s="2559"/>
      <c r="W117" s="3188"/>
      <c r="X117" s="3189"/>
    </row>
    <row r="118" spans="1:24" s="294" customFormat="1" ht="12.6" customHeight="1" thickTop="1">
      <c r="C118" s="371"/>
      <c r="F118" s="346" t="s">
        <v>191</v>
      </c>
      <c r="G118" s="3279">
        <f>SUM(G113:H117)</f>
        <v>368040</v>
      </c>
      <c r="H118" s="3280"/>
      <c r="J118" s="3274">
        <f>SUM(J113:K117)</f>
        <v>0</v>
      </c>
      <c r="K118" s="3275"/>
      <c r="L118" s="2278"/>
      <c r="M118" s="3274">
        <f>SUM(M113:N117)</f>
        <v>0</v>
      </c>
      <c r="N118" s="3275"/>
      <c r="P118" s="3274">
        <f>SUM(P113:Q117)</f>
        <v>368040</v>
      </c>
      <c r="Q118" s="3275"/>
      <c r="S118" s="3274">
        <f>SUM(S113:T117)</f>
        <v>0</v>
      </c>
      <c r="T118" s="3275"/>
      <c r="V118" s="2561">
        <f>SUM(V113:V117)</f>
        <v>0</v>
      </c>
      <c r="W118" s="3206"/>
      <c r="X118" s="3207"/>
    </row>
    <row r="119" spans="1:24" s="294" customFormat="1" ht="13.2" customHeight="1">
      <c r="B119" s="296" t="s">
        <v>1308</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134">
        <f>2500+5000</f>
        <v>7500</v>
      </c>
      <c r="H120" s="3135"/>
      <c r="J120" s="356"/>
      <c r="K120" s="356"/>
      <c r="L120" s="356"/>
      <c r="M120" s="356"/>
      <c r="N120" s="356"/>
      <c r="P120" s="356"/>
      <c r="Q120" s="356"/>
      <c r="S120" s="3134">
        <f>2500+5000</f>
        <v>7500</v>
      </c>
      <c r="T120" s="3135"/>
      <c r="V120" s="2559"/>
      <c r="W120" s="3204"/>
      <c r="X120" s="3205"/>
    </row>
    <row r="121" spans="1:24" s="294" customFormat="1" ht="12.6" customHeight="1">
      <c r="B121" s="294" t="s">
        <v>1535</v>
      </c>
      <c r="F121" s="460">
        <f>+'Part VI-Revenues &amp; Expenses'!$P$226*('DCA Underwriting Assumptions'!$Q$112/12)</f>
        <v>39783.25</v>
      </c>
      <c r="G121" s="3118">
        <v>43283</v>
      </c>
      <c r="H121" s="3119"/>
      <c r="J121" s="988" t="str">
        <f>IF(E121&gt;G121,"WARNING! Rent-Up Reserves proposed is below minimum - add comment.","")</f>
        <v/>
      </c>
      <c r="K121" s="988"/>
      <c r="L121" s="2278"/>
      <c r="M121" s="962"/>
      <c r="N121" s="962"/>
      <c r="O121" s="2266"/>
      <c r="P121" s="962"/>
      <c r="Q121" s="962"/>
      <c r="R121" s="2266"/>
      <c r="S121" s="3118">
        <v>43283</v>
      </c>
      <c r="T121" s="3119"/>
      <c r="V121" s="2559"/>
      <c r="W121" s="3204"/>
      <c r="X121" s="3205"/>
    </row>
    <row r="122" spans="1:24" s="294" customFormat="1" ht="12.6" customHeight="1">
      <c r="B122" s="294" t="s">
        <v>677</v>
      </c>
      <c r="F122" s="460">
        <f>'Part VI-Revenues &amp; Expenses'!$P$226*('DCA Underwriting Assumptions'!$Q$111/12)+('Part VII-Pro Forma'!$B$25+'Part VII-Pro Forma'!$B$26+'Part VII-Pro Forma'!$B$27+'Part VII-Pro Forma'!$B$28)*'DCA Underwriting Assumptions'!$Q$110/(-12)</f>
        <v>79566.5</v>
      </c>
      <c r="G122" s="3118">
        <v>86567</v>
      </c>
      <c r="H122" s="3119"/>
      <c r="J122" s="988" t="str">
        <f>IF(E122&gt;G122,"WARNING! ODR proposed is below minimum - add comment.","")</f>
        <v/>
      </c>
      <c r="K122" s="355"/>
      <c r="L122" s="355"/>
      <c r="M122" s="355"/>
      <c r="N122" s="355"/>
      <c r="O122" s="2266"/>
      <c r="P122" s="355"/>
      <c r="Q122" s="355"/>
      <c r="R122" s="2266"/>
      <c r="S122" s="3118">
        <v>86567</v>
      </c>
      <c r="T122" s="3119"/>
      <c r="V122" s="2559"/>
      <c r="W122" s="3204"/>
      <c r="X122" s="3205"/>
    </row>
    <row r="123" spans="1:24" s="294" customFormat="1" ht="12.6" customHeight="1">
      <c r="B123" s="294" t="s">
        <v>1243</v>
      </c>
      <c r="G123" s="3118">
        <v>7500</v>
      </c>
      <c r="H123" s="3119"/>
      <c r="J123" s="356"/>
      <c r="K123" s="356"/>
      <c r="L123" s="356"/>
      <c r="M123" s="356"/>
      <c r="N123" s="356"/>
      <c r="P123" s="356"/>
      <c r="Q123" s="356"/>
      <c r="S123" s="3118">
        <v>7500</v>
      </c>
      <c r="T123" s="3119"/>
      <c r="V123" s="2559"/>
      <c r="W123" s="3204"/>
      <c r="X123" s="3205"/>
    </row>
    <row r="124" spans="1:24" s="294" customFormat="1" ht="12.6" customHeight="1">
      <c r="B124" s="294" t="s">
        <v>1244</v>
      </c>
      <c r="E124" s="851" t="s">
        <v>3564</v>
      </c>
      <c r="F124" s="460">
        <f>IF('Part VI-Revenues &amp; Expenses'!$O$67=0,0,G124/'Part VI-Revenues &amp; Expenses'!$O$67)</f>
        <v>338.9</v>
      </c>
      <c r="G124" s="3118">
        <v>13556</v>
      </c>
      <c r="H124" s="3119"/>
      <c r="J124" s="3134"/>
      <c r="K124" s="3135"/>
      <c r="L124" s="2278"/>
      <c r="M124" s="3134"/>
      <c r="N124" s="3135"/>
      <c r="P124" s="3134">
        <v>13556</v>
      </c>
      <c r="Q124" s="3135"/>
      <c r="S124" s="3118"/>
      <c r="T124" s="3119"/>
      <c r="V124" s="2559"/>
      <c r="W124" s="3204"/>
      <c r="X124" s="3205"/>
    </row>
    <row r="125" spans="1:24" s="294" customFormat="1" ht="12.6" customHeight="1" thickBot="1">
      <c r="A125" s="372" t="str">
        <f>IF(AND(G125&gt;0,OR(C125="",C125="&lt;Enter detailed description here; use Comments section if needed&gt;")),"X","")</f>
        <v/>
      </c>
      <c r="B125" s="294" t="s">
        <v>740</v>
      </c>
      <c r="C125" s="3281" t="s">
        <v>5289</v>
      </c>
      <c r="D125" s="3281"/>
      <c r="E125" s="3281"/>
      <c r="F125" s="3282"/>
      <c r="G125" s="3122">
        <f>22680+60000</f>
        <v>82680</v>
      </c>
      <c r="H125" s="3123"/>
      <c r="J125" s="3283"/>
      <c r="K125" s="3284"/>
      <c r="L125" s="2278"/>
      <c r="M125" s="3122"/>
      <c r="N125" s="3123"/>
      <c r="P125" s="3122"/>
      <c r="Q125" s="3123"/>
      <c r="S125" s="3122">
        <v>82680</v>
      </c>
      <c r="T125" s="3123"/>
      <c r="U125" s="371" t="str">
        <f>IF(AND(G125&gt;0,OR(C125="",C125="&lt;Enter detailed description here; use Comments section if needed&gt;")),"NO DESCRIPTION PROVIDED - please enter detailed description in Other box at left; use Comments section below if needed.","")</f>
        <v/>
      </c>
      <c r="V125" s="2559"/>
      <c r="W125" s="3188"/>
      <c r="X125" s="3189"/>
    </row>
    <row r="126" spans="1:24" s="294" customFormat="1" ht="12.6" customHeight="1" thickTop="1">
      <c r="B126" s="357"/>
      <c r="F126" s="346" t="s">
        <v>191</v>
      </c>
      <c r="G126" s="3274">
        <f>SUM(G120:H125)</f>
        <v>241086</v>
      </c>
      <c r="H126" s="3275"/>
      <c r="J126" s="3274">
        <f>SUM(J124:K125)</f>
        <v>0</v>
      </c>
      <c r="K126" s="3275"/>
      <c r="L126" s="2278"/>
      <c r="M126" s="3274">
        <f>SUM(M124:N125)</f>
        <v>0</v>
      </c>
      <c r="N126" s="3275"/>
      <c r="P126" s="3274">
        <f>SUM(P124:Q125)</f>
        <v>13556</v>
      </c>
      <c r="Q126" s="3275"/>
      <c r="S126" s="3274">
        <f>SUM(S120:T125)</f>
        <v>227530</v>
      </c>
      <c r="T126" s="3275"/>
      <c r="V126" s="2561">
        <f>SUM(V120:V125)</f>
        <v>0</v>
      </c>
      <c r="W126" s="3206"/>
      <c r="X126" s="3207"/>
    </row>
    <row r="127" spans="1:24" s="294" customFormat="1" ht="13.2" customHeight="1">
      <c r="B127" s="296" t="s">
        <v>609</v>
      </c>
      <c r="C127" s="2261"/>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610</v>
      </c>
      <c r="C128" s="2261"/>
      <c r="G128" s="3134">
        <v>85000</v>
      </c>
      <c r="H128" s="3135"/>
      <c r="J128" s="3134"/>
      <c r="K128" s="3135"/>
      <c r="L128" s="347"/>
      <c r="M128" s="3134"/>
      <c r="N128" s="3135"/>
      <c r="P128" s="3134"/>
      <c r="Q128" s="3135"/>
      <c r="S128" s="3134">
        <v>85000</v>
      </c>
      <c r="T128" s="3135"/>
      <c r="V128" s="2559"/>
      <c r="W128" s="3204"/>
      <c r="X128" s="3205"/>
    </row>
    <row r="129" spans="1:24" s="294" customFormat="1" ht="12.6" customHeight="1" thickBot="1">
      <c r="A129" s="372" t="str">
        <f>IF(AND(G129&gt;0,OR(C129="",C129="&lt;Enter detailed description here; use Comments section if needed&gt;")),"X","")</f>
        <v/>
      </c>
      <c r="B129" s="294" t="s">
        <v>740</v>
      </c>
      <c r="C129" s="3281" t="s">
        <v>5294</v>
      </c>
      <c r="D129" s="3281"/>
      <c r="E129" s="3281"/>
      <c r="F129" s="3282"/>
      <c r="G129" s="3122"/>
      <c r="H129" s="3123"/>
      <c r="J129" s="3122"/>
      <c r="K129" s="3123"/>
      <c r="L129" s="2278"/>
      <c r="M129" s="3122"/>
      <c r="N129" s="3123"/>
      <c r="P129" s="3122"/>
      <c r="Q129" s="3123"/>
      <c r="S129" s="3122"/>
      <c r="T129" s="3123"/>
      <c r="U129" s="371" t="str">
        <f>IF(AND(G129&gt;0,OR(C129="",C129="&lt;Enter detailed description here; use Comments section if needed&gt;")),"NO DESCRIPTION PROVIDED - please enter detailed description in Other box at left; use Comments section below if needed.","")</f>
        <v/>
      </c>
      <c r="V129" s="2559"/>
      <c r="W129" s="3188"/>
      <c r="X129" s="3189"/>
    </row>
    <row r="130" spans="1:24" s="294" customFormat="1" ht="12.6" customHeight="1" thickTop="1">
      <c r="C130" s="2261"/>
      <c r="F130" s="346" t="s">
        <v>191</v>
      </c>
      <c r="G130" s="3274">
        <f>SUM(G128:H129)</f>
        <v>85000</v>
      </c>
      <c r="H130" s="3275"/>
      <c r="J130" s="3274">
        <f>SUM(J128:K129)</f>
        <v>0</v>
      </c>
      <c r="K130" s="3275"/>
      <c r="L130" s="2278"/>
      <c r="M130" s="3274">
        <f>SUM(M128:N129)</f>
        <v>0</v>
      </c>
      <c r="N130" s="3275"/>
      <c r="P130" s="3274">
        <f>SUM(P128:Q129)</f>
        <v>0</v>
      </c>
      <c r="Q130" s="3275"/>
      <c r="S130" s="3274">
        <f>SUM(S128:T129)</f>
        <v>85000</v>
      </c>
      <c r="T130" s="3275"/>
      <c r="V130" s="2561"/>
      <c r="W130" s="3206"/>
      <c r="X130" s="3207"/>
    </row>
    <row r="131" spans="1:24" s="294" customFormat="1" ht="3" customHeight="1" thickBot="1">
      <c r="C131" s="2261"/>
      <c r="H131" s="353"/>
      <c r="I131" s="353"/>
      <c r="L131" s="2266"/>
      <c r="V131" s="1076"/>
      <c r="W131" s="2567"/>
      <c r="X131" s="2568"/>
    </row>
    <row r="132" spans="1:24" s="294" customFormat="1" ht="13.95" customHeight="1" thickBot="1">
      <c r="B132" s="299" t="s">
        <v>2766</v>
      </c>
      <c r="G132" s="3276">
        <f>G17+G23+G27+G33+G38+G41+G47+G64+G77+G83+G91+G105+G111+G118+G126+G130</f>
        <v>5168536</v>
      </c>
      <c r="H132" s="3277"/>
      <c r="J132" s="3276">
        <f>J17+J23+J27+J33+J38+J41+J47+J64+J77+J83+J91+J105+J111+J118+J126+J130</f>
        <v>0</v>
      </c>
      <c r="K132" s="3277"/>
      <c r="M132" s="3276">
        <f>M17+M23+M27+M33+M38+M41+M47+M64+M77+M83+M91+M105+M111+M118+M126+M130</f>
        <v>752783</v>
      </c>
      <c r="N132" s="3277"/>
      <c r="P132" s="3276">
        <f>P17+P23+P27+P33+P38+P41+P47+P64+P77+P83+P91+P105+P111+P118+P126+P130</f>
        <v>3688969</v>
      </c>
      <c r="Q132" s="3277"/>
      <c r="S132" s="3276">
        <f>S17+S23+S27+S33+S38+S41+S47+S64+S77+S83+S91+S105+S111+S118+S126+S130</f>
        <v>726784</v>
      </c>
      <c r="T132" s="3277"/>
      <c r="V132" s="2569">
        <f>V17+V23+V27+V33+V38+V41+V47+V64+V77+V83+V91+V105+V111+V118+V126+V130</f>
        <v>0</v>
      </c>
      <c r="W132" s="3278"/>
      <c r="X132" s="3207"/>
    </row>
    <row r="133" spans="1:24" s="294" customFormat="1" ht="3" customHeight="1">
      <c r="C133" s="2261"/>
      <c r="H133" s="353"/>
      <c r="I133" s="353"/>
      <c r="L133" s="2266"/>
      <c r="V133" s="1076"/>
    </row>
    <row r="134" spans="1:24" s="294" customFormat="1" ht="13.95" customHeight="1">
      <c r="B134" s="500" t="s">
        <v>2762</v>
      </c>
      <c r="C134" s="498"/>
      <c r="D134" s="3259">
        <f>IF('Part VI-Revenues &amp; Expenses'!$O$67=0,0,G132/'Part VI-Revenues &amp; Expenses'!$O$67)</f>
        <v>129213.4</v>
      </c>
      <c r="E134" s="3259"/>
      <c r="F134" s="499" t="s">
        <v>2761</v>
      </c>
      <c r="G134" s="3260">
        <f>IF('Part I-Project Information'!$P$75=0,0,G132/'Part I-Project Information'!$P$75)</f>
        <v>139.79595369468788</v>
      </c>
      <c r="H134" s="3261"/>
      <c r="I134" s="358"/>
      <c r="V134" s="1076"/>
    </row>
    <row r="135" spans="1:24" s="294" customFormat="1" ht="3" customHeight="1">
      <c r="I135" s="358"/>
      <c r="L135" s="358"/>
      <c r="V135" s="1076"/>
    </row>
    <row r="136" spans="1:24" s="294" customFormat="1" ht="3.6" customHeight="1" thickBot="1">
      <c r="D136" s="2261"/>
      <c r="E136" s="2261"/>
      <c r="I136" s="353"/>
      <c r="J136" s="353"/>
      <c r="K136" s="359"/>
      <c r="L136" s="2258"/>
      <c r="P136" s="2266"/>
      <c r="V136" s="1076"/>
    </row>
    <row r="137" spans="1:24" s="294" customFormat="1" ht="25.95" customHeight="1">
      <c r="A137" s="422" t="s">
        <v>739</v>
      </c>
      <c r="B137" s="424" t="s">
        <v>1425</v>
      </c>
      <c r="C137" s="878"/>
      <c r="D137" s="2278"/>
      <c r="E137" s="2278"/>
      <c r="F137" s="2278"/>
      <c r="G137" s="2266"/>
      <c r="H137" s="2266"/>
      <c r="I137" s="360"/>
      <c r="J137" s="3262" t="s">
        <v>271</v>
      </c>
      <c r="K137" s="3263"/>
      <c r="M137" s="3262" t="s">
        <v>100</v>
      </c>
      <c r="N137" s="3263"/>
      <c r="P137" s="3262" t="s">
        <v>272</v>
      </c>
      <c r="Q137" s="3263"/>
      <c r="V137" s="1076"/>
      <c r="W137" s="423" t="str">
        <f>B137</f>
        <v>TAX CREDIT CALCULATION - BASIS METHOD</v>
      </c>
    </row>
    <row r="138" spans="1:24" s="294" customFormat="1" ht="15" customHeight="1" thickBot="1">
      <c r="B138" s="299" t="s">
        <v>2043</v>
      </c>
      <c r="D138" s="2278"/>
      <c r="E138" s="2278"/>
      <c r="I138" s="360"/>
      <c r="J138" s="3264"/>
      <c r="K138" s="3265"/>
      <c r="L138" s="878"/>
      <c r="M138" s="3264"/>
      <c r="N138" s="3265"/>
      <c r="P138" s="3264"/>
      <c r="Q138" s="3265"/>
      <c r="V138" s="1076"/>
      <c r="W138" s="294" t="str">
        <f>B138</f>
        <v>Subtractions From Eligible Basis</v>
      </c>
      <c r="X138" s="332"/>
    </row>
    <row r="139" spans="1:24" s="294" customFormat="1" ht="6" customHeight="1">
      <c r="D139" s="2261"/>
      <c r="E139" s="2261"/>
      <c r="I139" s="353"/>
      <c r="J139" s="353"/>
      <c r="K139" s="359"/>
      <c r="L139" s="2258"/>
      <c r="P139" s="2266"/>
      <c r="V139" s="1076"/>
    </row>
    <row r="140" spans="1:24" s="294" customFormat="1" ht="13.95" customHeight="1">
      <c r="B140" s="2261" t="s">
        <v>144</v>
      </c>
      <c r="D140" s="2266"/>
      <c r="E140" s="2266"/>
      <c r="F140" s="2266"/>
      <c r="G140" s="2266"/>
      <c r="H140" s="2266"/>
      <c r="I140" s="360"/>
      <c r="J140" s="3266"/>
      <c r="K140" s="3267"/>
      <c r="P140" s="3266"/>
      <c r="Q140" s="3267"/>
      <c r="V140" s="2559"/>
      <c r="W140" s="3204"/>
      <c r="X140" s="3205"/>
    </row>
    <row r="141" spans="1:24" s="294" customFormat="1" ht="13.95" customHeight="1">
      <c r="B141" s="2266" t="s">
        <v>2151</v>
      </c>
      <c r="D141" s="2266"/>
      <c r="E141" s="2266"/>
      <c r="F141" s="2266"/>
      <c r="G141" s="2266"/>
      <c r="H141" s="2266"/>
      <c r="I141" s="360"/>
      <c r="J141" s="3268"/>
      <c r="K141" s="3269"/>
      <c r="P141" s="3268">
        <v>0</v>
      </c>
      <c r="Q141" s="3269"/>
      <c r="V141" s="2559"/>
      <c r="W141" s="3204"/>
      <c r="X141" s="3205"/>
    </row>
    <row r="142" spans="1:24" s="294" customFormat="1" ht="13.95" customHeight="1">
      <c r="B142" s="2266" t="s">
        <v>1862</v>
      </c>
      <c r="D142" s="2266"/>
      <c r="E142" s="2266"/>
      <c r="I142" s="360"/>
      <c r="J142" s="3268"/>
      <c r="K142" s="3269"/>
      <c r="P142" s="3268"/>
      <c r="Q142" s="3269"/>
      <c r="V142" s="2559"/>
      <c r="W142" s="3204"/>
      <c r="X142" s="3205"/>
    </row>
    <row r="143" spans="1:24" s="294" customFormat="1" ht="13.95" customHeight="1">
      <c r="B143" s="2266" t="s">
        <v>1863</v>
      </c>
      <c r="D143" s="2266"/>
      <c r="E143" s="2266"/>
      <c r="I143" s="360"/>
      <c r="J143" s="3268"/>
      <c r="K143" s="3269"/>
      <c r="P143" s="3268"/>
      <c r="Q143" s="3269"/>
      <c r="V143" s="2559"/>
      <c r="W143" s="3204"/>
      <c r="X143" s="3205"/>
    </row>
    <row r="144" spans="1:24" s="294" customFormat="1" ht="13.95" customHeight="1">
      <c r="B144" s="2266" t="s">
        <v>254</v>
      </c>
      <c r="D144" s="2266"/>
      <c r="E144" s="2266"/>
      <c r="I144" s="360"/>
      <c r="J144" s="3268"/>
      <c r="K144" s="3269"/>
      <c r="P144" s="3268"/>
      <c r="Q144" s="3269"/>
      <c r="V144" s="2559"/>
      <c r="W144" s="3204"/>
      <c r="X144" s="3205"/>
    </row>
    <row r="145" spans="1:24" s="294" customFormat="1" ht="13.95" customHeight="1" thickBot="1">
      <c r="B145" s="2266" t="s">
        <v>1600</v>
      </c>
      <c r="C145" s="3270" t="s">
        <v>2414</v>
      </c>
      <c r="D145" s="3270"/>
      <c r="E145" s="3270"/>
      <c r="F145" s="3270"/>
      <c r="G145" s="3270"/>
      <c r="H145" s="3270"/>
      <c r="I145" s="3271"/>
      <c r="J145" s="3272"/>
      <c r="K145" s="3273"/>
      <c r="P145" s="3272"/>
      <c r="Q145" s="3273"/>
      <c r="V145" s="2559"/>
      <c r="W145" s="3188"/>
      <c r="X145" s="3189"/>
    </row>
    <row r="146" spans="1:24" s="294" customFormat="1" ht="13.95" customHeight="1" thickBot="1">
      <c r="B146" s="304" t="s">
        <v>1864</v>
      </c>
      <c r="C146" s="307"/>
      <c r="J146" s="3056">
        <f>SUM(J140:K145)</f>
        <v>0</v>
      </c>
      <c r="K146" s="3057"/>
      <c r="P146" s="3056">
        <f>SUM(P140:Q145)</f>
        <v>0</v>
      </c>
      <c r="Q146" s="3057"/>
      <c r="V146" s="2561">
        <f>SUM(V140:V145)</f>
        <v>0</v>
      </c>
      <c r="W146" s="3206"/>
      <c r="X146" s="3207"/>
    </row>
    <row r="147" spans="1:24" s="294" customFormat="1" ht="3" customHeight="1">
      <c r="V147" s="1076"/>
    </row>
    <row r="148" spans="1:24" s="294" customFormat="1" ht="15" customHeight="1" thickBot="1">
      <c r="B148" s="296" t="s">
        <v>2339</v>
      </c>
      <c r="V148" s="1076"/>
      <c r="W148" s="294" t="str">
        <f>B148</f>
        <v>Eligible Basis Calculation</v>
      </c>
    </row>
    <row r="149" spans="1:24" s="294" customFormat="1" ht="13.95" customHeight="1">
      <c r="B149" s="294" t="s">
        <v>1789</v>
      </c>
      <c r="J149" s="3255">
        <f>J132</f>
        <v>0</v>
      </c>
      <c r="K149" s="3256"/>
      <c r="M149" s="3257">
        <f>M132</f>
        <v>752783</v>
      </c>
      <c r="N149" s="3258"/>
      <c r="P149" s="3255">
        <f>P132</f>
        <v>3688969</v>
      </c>
      <c r="Q149" s="3256"/>
      <c r="R149" s="3193" t="s">
        <v>4728</v>
      </c>
      <c r="S149" s="3194"/>
      <c r="T149" s="3194"/>
      <c r="V149" s="2559"/>
      <c r="W149" s="3204"/>
      <c r="X149" s="3205"/>
    </row>
    <row r="150" spans="1:24" s="294" customFormat="1" ht="13.95" customHeight="1">
      <c r="B150" s="294" t="s">
        <v>2219</v>
      </c>
      <c r="J150" s="3217">
        <f>J146</f>
        <v>0</v>
      </c>
      <c r="K150" s="3218"/>
      <c r="M150" s="3231"/>
      <c r="N150" s="3231"/>
      <c r="P150" s="3217">
        <f>P146</f>
        <v>0</v>
      </c>
      <c r="Q150" s="3218"/>
      <c r="R150" s="3193"/>
      <c r="S150" s="3194"/>
      <c r="T150" s="3194"/>
      <c r="U150" s="2050"/>
      <c r="V150" s="2559"/>
      <c r="W150" s="3204"/>
      <c r="X150" s="3205"/>
    </row>
    <row r="151" spans="1:24" s="294" customFormat="1" ht="13.95" customHeight="1">
      <c r="B151" s="294" t="s">
        <v>2220</v>
      </c>
      <c r="J151" s="3217">
        <f>J149-J150</f>
        <v>0</v>
      </c>
      <c r="K151" s="3218"/>
      <c r="M151" s="3217">
        <f>M149</f>
        <v>752783</v>
      </c>
      <c r="N151" s="3218"/>
      <c r="P151" s="3217">
        <f>P149-P150</f>
        <v>3688969</v>
      </c>
      <c r="Q151" s="3218"/>
      <c r="R151" s="3193"/>
      <c r="S151" s="3194"/>
      <c r="T151" s="3194"/>
      <c r="U151" s="2050"/>
      <c r="V151" s="2559"/>
      <c r="W151" s="3204"/>
      <c r="X151" s="3205"/>
    </row>
    <row r="152" spans="1:24" s="294" customFormat="1" ht="13.95" customHeight="1">
      <c r="B152" s="294" t="s">
        <v>1484</v>
      </c>
      <c r="G152" s="2273" t="s">
        <v>1713</v>
      </c>
      <c r="H152" s="2924" t="s">
        <v>5272</v>
      </c>
      <c r="I152" s="2925"/>
      <c r="J152" s="3248"/>
      <c r="K152" s="3249"/>
      <c r="M152" s="3250"/>
      <c r="N152" s="3250"/>
      <c r="P152" s="3248">
        <v>1.3</v>
      </c>
      <c r="Q152" s="3249"/>
      <c r="R152" s="3195" t="s">
        <v>5271</v>
      </c>
      <c r="S152" s="3196"/>
      <c r="T152" s="3197"/>
      <c r="U152" s="2051"/>
      <c r="V152" s="2559"/>
      <c r="W152" s="3204"/>
      <c r="X152" s="3205"/>
    </row>
    <row r="153" spans="1:24" s="294" customFormat="1" ht="13.95" customHeight="1">
      <c r="B153" s="294" t="s">
        <v>2053</v>
      </c>
      <c r="J153" s="3217">
        <f>J151*J152</f>
        <v>0</v>
      </c>
      <c r="K153" s="3218"/>
      <c r="M153" s="3217">
        <f>+M151</f>
        <v>752783</v>
      </c>
      <c r="N153" s="3218"/>
      <c r="P153" s="3217">
        <f>P151*P152</f>
        <v>4795659.7</v>
      </c>
      <c r="Q153" s="3218"/>
      <c r="R153" s="3198"/>
      <c r="S153" s="3199"/>
      <c r="T153" s="3200"/>
      <c r="U153" s="2051"/>
      <c r="V153" s="2559"/>
      <c r="W153" s="3204"/>
      <c r="X153" s="3205"/>
    </row>
    <row r="154" spans="1:24" s="294" customFormat="1" ht="13.95" customHeight="1">
      <c r="B154" s="294" t="s">
        <v>2540</v>
      </c>
      <c r="J154" s="3251">
        <f>MIN('Part VI-Revenues &amp; Expenses'!$O$63/'Part VI-Revenues &amp; Expenses'!$O$65,'Part VI-Revenues &amp; Expenses'!$O$152/'Part VI-Revenues &amp; Expenses'!$O$154)</f>
        <v>1</v>
      </c>
      <c r="K154" s="3252"/>
      <c r="M154" s="3251">
        <f>MIN('Part VI-Revenues &amp; Expenses'!$O$63/'Part VI-Revenues &amp; Expenses'!$O$65,'Part VI-Revenues &amp; Expenses'!$O$152/'Part VI-Revenues &amp; Expenses'!$O$154)</f>
        <v>1</v>
      </c>
      <c r="N154" s="3252"/>
      <c r="P154" s="3251">
        <f>MIN('Part VI-Revenues &amp; Expenses'!$O$63/'Part VI-Revenues &amp; Expenses'!$O$65,'Part VI-Revenues &amp; Expenses'!$O$152/'Part VI-Revenues &amp; Expenses'!$O$154)</f>
        <v>1</v>
      </c>
      <c r="Q154" s="3252"/>
      <c r="R154" s="3201"/>
      <c r="S154" s="3202"/>
      <c r="T154" s="3203"/>
      <c r="V154" s="2559"/>
      <c r="W154" s="3204"/>
      <c r="X154" s="3205"/>
    </row>
    <row r="155" spans="1:24" s="294" customFormat="1" ht="13.95" customHeight="1">
      <c r="B155" s="294" t="s">
        <v>2044</v>
      </c>
      <c r="J155" s="3217">
        <f>J153*J154</f>
        <v>0</v>
      </c>
      <c r="K155" s="3218"/>
      <c r="M155" s="3217">
        <f>M153*M154</f>
        <v>752783</v>
      </c>
      <c r="N155" s="3218"/>
      <c r="P155" s="3217">
        <f>P153*P154</f>
        <v>4795659.7</v>
      </c>
      <c r="Q155" s="3218"/>
      <c r="V155" s="2559"/>
      <c r="W155" s="3204"/>
      <c r="X155" s="3205"/>
    </row>
    <row r="156" spans="1:24" s="294" customFormat="1" ht="13.95" customHeight="1">
      <c r="B156" s="294" t="s">
        <v>2045</v>
      </c>
      <c r="J156" s="3248">
        <v>1</v>
      </c>
      <c r="K156" s="3249"/>
      <c r="M156" s="3248">
        <v>1</v>
      </c>
      <c r="N156" s="3249"/>
      <c r="P156" s="3248">
        <v>1</v>
      </c>
      <c r="Q156" s="3249"/>
      <c r="V156" s="2559"/>
      <c r="W156" s="3204"/>
      <c r="X156" s="3205"/>
    </row>
    <row r="157" spans="1:24" s="294" customFormat="1" ht="13.95" customHeight="1" thickBot="1">
      <c r="B157" s="294" t="s">
        <v>2541</v>
      </c>
      <c r="J157" s="3253">
        <f>J155*J156</f>
        <v>0</v>
      </c>
      <c r="K157" s="3254"/>
      <c r="M157" s="3253">
        <f>M155*M156</f>
        <v>752783</v>
      </c>
      <c r="N157" s="3254"/>
      <c r="P157" s="3253">
        <f>P155*P156</f>
        <v>4795659.7</v>
      </c>
      <c r="Q157" s="3254"/>
      <c r="V157" s="2570"/>
      <c r="W157" s="3188"/>
      <c r="X157" s="3189"/>
    </row>
    <row r="158" spans="1:24" s="294" customFormat="1" ht="13.95" customHeight="1" thickBot="1">
      <c r="B158" s="296" t="s">
        <v>1423</v>
      </c>
      <c r="J158" s="3056">
        <f>ROUNDDOWN(J157+M157+P157,0)</f>
        <v>5548442</v>
      </c>
      <c r="K158" s="3224"/>
      <c r="L158" s="3224"/>
      <c r="M158" s="3224"/>
      <c r="N158" s="3224"/>
      <c r="O158" s="3224"/>
      <c r="P158" s="3224"/>
      <c r="Q158" s="3057"/>
      <c r="V158" s="2561"/>
      <c r="W158" s="3190"/>
      <c r="X158" s="3191"/>
    </row>
    <row r="159" spans="1:24" s="294" customFormat="1" ht="6" customHeight="1">
      <c r="B159" s="361"/>
      <c r="L159" s="362"/>
      <c r="M159" s="362"/>
      <c r="N159" s="362"/>
      <c r="O159" s="362"/>
      <c r="V159" s="1076"/>
    </row>
    <row r="160" spans="1:24" s="294" customFormat="1" ht="13.95" customHeight="1">
      <c r="A160" s="423" t="s">
        <v>741</v>
      </c>
      <c r="B160" s="423" t="s">
        <v>1426</v>
      </c>
      <c r="H160" s="353"/>
      <c r="I160" s="353"/>
      <c r="L160" s="2266"/>
      <c r="M160" s="476"/>
      <c r="N160" s="2266"/>
      <c r="O160" s="2266"/>
      <c r="P160" s="2266"/>
      <c r="Q160" s="2266"/>
      <c r="R160" s="2266"/>
      <c r="S160" s="2266"/>
      <c r="T160" s="2266"/>
      <c r="V160" s="1076"/>
    </row>
    <row r="161" spans="1:24" s="294" customFormat="1" ht="15" customHeight="1" thickBot="1">
      <c r="B161" s="296" t="s">
        <v>174</v>
      </c>
      <c r="H161" s="269"/>
      <c r="M161" s="476"/>
      <c r="N161" s="2266"/>
      <c r="O161" s="2266"/>
      <c r="P161" s="2266"/>
      <c r="Q161" s="2266"/>
      <c r="R161" s="2266"/>
      <c r="S161" s="2266"/>
      <c r="T161" s="2266"/>
      <c r="V161" s="1076"/>
      <c r="W161" s="423" t="str">
        <f>B160</f>
        <v>TAX CREDIT CALCULATION - GAP METHOD</v>
      </c>
    </row>
    <row r="162" spans="1:24" s="294" customFormat="1" ht="15" customHeight="1">
      <c r="B162" s="289" t="s">
        <v>2767</v>
      </c>
      <c r="G162" s="3209" t="str">
        <f>IF(J163&gt;J162,"TDC exceeds QAP PUCL!","")</f>
        <v/>
      </c>
      <c r="H162" s="3209"/>
      <c r="I162" s="3210"/>
      <c r="J162" s="3244">
        <f>'Part VIII-Threshold Criteria'!$P$63</f>
        <v>7171052</v>
      </c>
      <c r="K162" s="3245"/>
      <c r="L162" s="3246"/>
      <c r="M162" s="3211" t="s">
        <v>2744</v>
      </c>
      <c r="N162" s="3212"/>
      <c r="O162" s="3212"/>
      <c r="P162" s="3212"/>
      <c r="Q162" s="3212"/>
      <c r="R162" s="3213"/>
      <c r="S162" s="3211" t="s">
        <v>3672</v>
      </c>
      <c r="T162" s="3213"/>
      <c r="V162" s="2559"/>
      <c r="W162" s="3204"/>
      <c r="X162" s="3205"/>
    </row>
    <row r="163" spans="1:24" s="294" customFormat="1" ht="13.95" customHeight="1">
      <c r="B163" s="294" t="s">
        <v>2746</v>
      </c>
      <c r="J163" s="3228">
        <f>MIN(G132,J162,(G132-O165))</f>
        <v>5168536</v>
      </c>
      <c r="K163" s="3229"/>
      <c r="L163" s="3230"/>
      <c r="M163" s="3214"/>
      <c r="N163" s="3215"/>
      <c r="O163" s="3215"/>
      <c r="P163" s="3215"/>
      <c r="Q163" s="3215"/>
      <c r="R163" s="3216"/>
      <c r="S163" s="3214"/>
      <c r="T163" s="3216"/>
      <c r="V163" s="2559"/>
      <c r="W163" s="3204"/>
      <c r="X163" s="3205"/>
    </row>
    <row r="164" spans="1:24" s="294" customFormat="1" ht="13.95" customHeight="1">
      <c r="B164" s="294" t="s">
        <v>263</v>
      </c>
      <c r="J164" s="3217">
        <f>'Part III-Sources of Funds'!$I$58-'Part III-Sources of Funds'!$I$42-'Part III-Sources of Funds'!$I$43-'Part III-Sources of Funds'!$I$49-'Part III-Sources of Funds'!$I$50</f>
        <v>0</v>
      </c>
      <c r="K164" s="3231"/>
      <c r="L164" s="3232"/>
      <c r="M164" s="3214"/>
      <c r="N164" s="3215"/>
      <c r="O164" s="3215"/>
      <c r="P164" s="3215"/>
      <c r="Q164" s="3215"/>
      <c r="R164" s="3216"/>
      <c r="S164" s="3214"/>
      <c r="T164" s="3216"/>
      <c r="V164" s="2559"/>
      <c r="W164" s="3204"/>
      <c r="X164" s="3205"/>
    </row>
    <row r="165" spans="1:24" s="294" customFormat="1" ht="13.95" customHeight="1" thickBot="1">
      <c r="B165" s="294" t="s">
        <v>2231</v>
      </c>
      <c r="J165" s="3217">
        <f>+J163-J164</f>
        <v>5168536</v>
      </c>
      <c r="K165" s="3231"/>
      <c r="L165" s="3232"/>
      <c r="M165" s="3233" t="s">
        <v>2745</v>
      </c>
      <c r="N165" s="3234"/>
      <c r="O165" s="3235">
        <f>'Part III-Sources of Funds'!$I$42</f>
        <v>0</v>
      </c>
      <c r="P165" s="3235"/>
      <c r="Q165" s="3235"/>
      <c r="R165" s="3236"/>
      <c r="S165" s="409" t="s">
        <v>1661</v>
      </c>
      <c r="T165" s="2571" t="s">
        <v>2991</v>
      </c>
      <c r="V165" s="2559"/>
      <c r="W165" s="3204"/>
      <c r="X165" s="3205"/>
    </row>
    <row r="166" spans="1:24" s="294" customFormat="1" ht="13.95" customHeight="1">
      <c r="B166" s="294" t="s">
        <v>1285</v>
      </c>
      <c r="J166" s="3237" t="str">
        <f>"/ 10"</f>
        <v>/ 10</v>
      </c>
      <c r="K166" s="3237"/>
      <c r="L166" s="3237"/>
      <c r="M166" s="2266"/>
      <c r="N166" s="473"/>
      <c r="O166" s="473"/>
      <c r="P166" s="473"/>
      <c r="Q166" s="473"/>
      <c r="R166" s="473"/>
      <c r="V166" s="1076"/>
      <c r="W166" s="3204"/>
      <c r="X166" s="3205"/>
    </row>
    <row r="167" spans="1:24" s="294" customFormat="1" ht="13.95" customHeight="1">
      <c r="B167" s="294" t="s">
        <v>1286</v>
      </c>
      <c r="J167" s="3217">
        <f>J165/10</f>
        <v>516853.6</v>
      </c>
      <c r="K167" s="3231"/>
      <c r="L167" s="3218"/>
      <c r="M167" s="312"/>
      <c r="N167" s="2946" t="s">
        <v>1287</v>
      </c>
      <c r="O167" s="2946"/>
      <c r="Q167" s="2946" t="s">
        <v>1798</v>
      </c>
      <c r="R167" s="2946"/>
      <c r="V167" s="2559"/>
      <c r="W167" s="3204"/>
      <c r="X167" s="3205"/>
    </row>
    <row r="168" spans="1:24" s="294" customFormat="1" ht="13.95" customHeight="1" thickBot="1">
      <c r="B168" s="294" t="s">
        <v>1483</v>
      </c>
      <c r="J168" s="3219">
        <f>N168+Q168</f>
        <v>1.4</v>
      </c>
      <c r="K168" s="3220"/>
      <c r="L168" s="3221"/>
      <c r="M168" s="2273" t="s">
        <v>1288</v>
      </c>
      <c r="N168" s="3222">
        <v>0.86</v>
      </c>
      <c r="O168" s="3223"/>
      <c r="P168" s="2273" t="s">
        <v>611</v>
      </c>
      <c r="Q168" s="3222">
        <v>0.54</v>
      </c>
      <c r="R168" s="3223"/>
      <c r="V168" s="2559"/>
      <c r="W168" s="3204"/>
      <c r="X168" s="3205"/>
    </row>
    <row r="169" spans="1:24" s="294" customFormat="1" ht="13.95" customHeight="1" thickBot="1">
      <c r="B169" s="296" t="s">
        <v>1424</v>
      </c>
      <c r="J169" s="3056">
        <f>ROUNDDOWN(IF(J168=0,"",J167/J168),0)</f>
        <v>369181</v>
      </c>
      <c r="K169" s="3224"/>
      <c r="L169" s="3057"/>
      <c r="M169" s="312"/>
      <c r="N169" s="2266"/>
      <c r="O169" s="2266"/>
      <c r="V169" s="2559"/>
      <c r="W169" s="3204"/>
      <c r="X169" s="3205"/>
    </row>
    <row r="170" spans="1:24" s="294" customFormat="1" ht="6" customHeight="1">
      <c r="J170" s="363"/>
      <c r="K170" s="363"/>
      <c r="L170" s="363"/>
      <c r="M170" s="312"/>
      <c r="N170" s="2269"/>
      <c r="O170" s="2269"/>
      <c r="V170" s="1076"/>
      <c r="W170" s="3204"/>
      <c r="X170" s="3205"/>
    </row>
    <row r="171" spans="1:24" s="294" customFormat="1" ht="16.2" customHeight="1">
      <c r="B171" s="296" t="s">
        <v>2899</v>
      </c>
      <c r="J171" s="322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369181</v>
      </c>
      <c r="K171" s="3226"/>
      <c r="L171" s="3227"/>
      <c r="M171" s="312"/>
      <c r="N171" s="2269"/>
      <c r="O171" s="2269"/>
      <c r="V171" s="2559"/>
      <c r="W171" s="3204"/>
      <c r="X171" s="3205"/>
    </row>
    <row r="172" spans="1:24" s="294" customFormat="1" ht="3" customHeight="1">
      <c r="J172" s="363"/>
      <c r="K172" s="363"/>
      <c r="L172" s="363"/>
      <c r="M172" s="312"/>
      <c r="N172" s="2269"/>
      <c r="O172" s="2269"/>
      <c r="V172" s="1076"/>
      <c r="W172" s="2567"/>
      <c r="X172" s="2568"/>
    </row>
    <row r="173" spans="1:24" s="294" customFormat="1" ht="16.2" customHeight="1">
      <c r="B173" s="296" t="s">
        <v>349</v>
      </c>
      <c r="J173" s="3238">
        <v>369181</v>
      </c>
      <c r="K173" s="3239"/>
      <c r="L173" s="3240"/>
      <c r="M173" s="364" t="str">
        <f>IF(J171=0,"",IF(J173&gt;J171,"ALLOCATION CANNOT EXCEED MAXIMUM - REVISE REQUEST (Try Round Down)!",""))</f>
        <v/>
      </c>
      <c r="N173" s="2269"/>
      <c r="O173" s="2269"/>
      <c r="V173" s="2559"/>
      <c r="W173" s="3204"/>
      <c r="X173" s="3205"/>
    </row>
    <row r="174" spans="1:24" s="294" customFormat="1" ht="3" customHeight="1">
      <c r="J174" s="363"/>
      <c r="K174" s="363"/>
      <c r="L174" s="363"/>
      <c r="M174" s="312"/>
      <c r="N174" s="2269"/>
      <c r="O174" s="2269"/>
      <c r="V174" s="1076"/>
      <c r="W174" s="2567"/>
      <c r="X174" s="2568"/>
    </row>
    <row r="175" spans="1:24" s="294" customFormat="1" ht="16.2" customHeight="1">
      <c r="A175" s="423" t="s">
        <v>1791</v>
      </c>
      <c r="B175" s="423" t="s">
        <v>2619</v>
      </c>
      <c r="D175" s="312"/>
      <c r="E175" s="312"/>
      <c r="F175" s="2258"/>
      <c r="J175" s="3241">
        <f>IF(J173="",0,+MIN(J171,J173))</f>
        <v>369181</v>
      </c>
      <c r="K175" s="3242"/>
      <c r="L175" s="3243"/>
      <c r="N175" s="2572"/>
      <c r="O175" s="2572"/>
      <c r="P175" s="2572"/>
      <c r="Q175" s="2572"/>
      <c r="R175" s="2572"/>
      <c r="S175" s="2572"/>
      <c r="T175" s="2572"/>
      <c r="V175" s="2559"/>
      <c r="W175" s="3204"/>
      <c r="X175" s="3205"/>
    </row>
    <row r="176" spans="1:24" ht="3" customHeight="1"/>
    <row r="177" spans="1:24" ht="6" customHeight="1"/>
    <row r="178" spans="1:24" ht="12" customHeight="1">
      <c r="A178" s="296" t="s">
        <v>1793</v>
      </c>
      <c r="B178" s="321" t="s">
        <v>571</v>
      </c>
      <c r="N178" s="296" t="s">
        <v>529</v>
      </c>
      <c r="O178" s="296" t="s">
        <v>79</v>
      </c>
    </row>
    <row r="179" spans="1:24" ht="352.5" customHeight="1">
      <c r="A179" s="3065" t="s">
        <v>5300</v>
      </c>
      <c r="B179" s="3065"/>
      <c r="C179" s="3065"/>
      <c r="D179" s="3065"/>
      <c r="E179" s="3065"/>
      <c r="F179" s="3065"/>
      <c r="G179" s="3065"/>
      <c r="H179" s="3065"/>
      <c r="I179" s="3065"/>
      <c r="J179" s="3065"/>
      <c r="K179" s="3065"/>
      <c r="L179" s="3065"/>
      <c r="M179" s="3065"/>
      <c r="N179" s="3247"/>
      <c r="O179" s="3247"/>
      <c r="P179" s="3247"/>
      <c r="Q179" s="3247"/>
      <c r="R179" s="3247"/>
      <c r="S179" s="3247"/>
      <c r="T179" s="3247"/>
      <c r="V179" s="966"/>
      <c r="W179" s="3046" t="s">
        <v>2692</v>
      </c>
      <c r="X179" s="3046"/>
    </row>
    <row r="180" spans="1:24" ht="11.25" customHeight="1"/>
    <row r="181" spans="1:24" ht="12" customHeight="1"/>
    <row r="182" spans="1:24" ht="12" customHeight="1"/>
    <row r="183" spans="1:24" ht="14.7" customHeight="1"/>
    <row r="184" spans="1:24" s="294" customFormat="1" ht="14.7" customHeight="1"/>
    <row r="185" spans="1:24" s="294" customFormat="1" ht="14.7" customHeight="1"/>
    <row r="186" spans="1:24" s="294" customFormat="1" ht="14.7" customHeight="1"/>
    <row r="187" spans="1:24" ht="14.7" customHeight="1"/>
    <row r="188" spans="1:24" s="294" customFormat="1" ht="14.7" customHeight="1">
      <c r="A188" s="299"/>
    </row>
    <row r="189" spans="1:24" ht="14.7" customHeight="1"/>
    <row r="190" spans="1:24" s="294" customFormat="1" ht="14.7" customHeight="1"/>
    <row r="191" spans="1:24" s="294" customFormat="1" ht="14.7" customHeight="1">
      <c r="A191" s="299"/>
    </row>
    <row r="192" spans="1:24" s="294" customFormat="1" ht="14.7" customHeight="1">
      <c r="A192" s="480"/>
    </row>
    <row r="193" spans="1:1" s="294" customFormat="1" ht="14.7" customHeight="1"/>
    <row r="194" spans="1:1" s="294" customFormat="1" ht="14.7" customHeight="1">
      <c r="A194" s="333"/>
    </row>
    <row r="195" spans="1:1" s="294" customFormat="1" ht="14.7" customHeight="1">
      <c r="A195" s="333"/>
    </row>
    <row r="196" spans="1:1" s="294" customFormat="1" ht="14.7" customHeight="1">
      <c r="A196" s="333"/>
    </row>
    <row r="197" spans="1:1" s="294" customFormat="1" ht="14.7" customHeight="1"/>
    <row r="198" spans="1:1" s="294"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294"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algorithmName="SHA-512" hashValue="gBn3VtraEnL/RSU8P1MaBF7EocJ/Rz72LeWEEQUj/bqkDSbRDHqqVtZxup323eETQ86QCQ8kRIH3B29qLh01ZA==" saltValue="jlAEA0z8AQseOyTZ2iU5Ow==" spinCount="100000" sheet="1" objects="1" selectLockedCells="1" selectUnlockedCells="1"/>
  <mergeCells count="676">
    <mergeCell ref="C129:F129"/>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W144:X144"/>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81" zoomScaleNormal="100" workbookViewId="0">
      <selection activeCell="A88" sqref="A1:XFD1048576"/>
    </sheetView>
  </sheetViews>
  <sheetFormatPr defaultColWidth="9.33203125" defaultRowHeight="13.2"/>
  <cols>
    <col min="1" max="1" width="7.33203125" style="1890" customWidth="1"/>
    <col min="2" max="2" width="12.6640625" style="1890" customWidth="1"/>
    <col min="3" max="3" width="7.6640625" style="1890" customWidth="1"/>
    <col min="4" max="4" width="12.6640625" style="1890" customWidth="1"/>
    <col min="5" max="5" width="0.6640625" style="1890" customWidth="1"/>
    <col min="6" max="6" width="46.6640625" style="1890" customWidth="1"/>
    <col min="7" max="7" width="0.6640625" style="1890" customWidth="1"/>
    <col min="8" max="8" width="46.6640625" style="1890" customWidth="1"/>
    <col min="9" max="16384" width="9.33203125" style="1890"/>
  </cols>
  <sheetData>
    <row r="1" spans="1:14" ht="15.6">
      <c r="A1" s="3343" t="str">
        <f>CONCATENATE("PART FOUR (b) -  OTHER COSTS","  -  ",'Part I-Project Information'!$O$6," - ",'Part I-Project Information'!$F$34,"  -  ",'Part I-Project Information'!$F$38,"  -  ",'Part I-Project Information'!$J$39,",  ","County")</f>
        <v>PART FOUR (b) -  OTHER COSTS  -  2019-049 - Woodstone Apartments II  -  Leesburg  -  Lee,  County</v>
      </c>
      <c r="B1" s="3344"/>
      <c r="C1" s="3344"/>
      <c r="D1" s="3344"/>
      <c r="E1" s="3344"/>
      <c r="F1" s="3344"/>
      <c r="G1" s="3344"/>
      <c r="H1" s="3344"/>
      <c r="I1" s="942"/>
      <c r="J1" s="942"/>
      <c r="K1" s="942"/>
      <c r="L1" s="942"/>
      <c r="M1" s="942"/>
      <c r="N1" s="942"/>
    </row>
    <row r="2" spans="1:14" ht="9" customHeight="1"/>
    <row r="3" spans="1:14" ht="57" customHeight="1">
      <c r="A3" s="3345" t="s">
        <v>3711</v>
      </c>
      <c r="B3" s="3346"/>
      <c r="C3" s="3346"/>
      <c r="D3" s="3346"/>
      <c r="E3" s="3346"/>
      <c r="F3" s="3346"/>
      <c r="G3" s="3346"/>
      <c r="H3" s="3347"/>
    </row>
    <row r="4" spans="1:14" ht="6" customHeight="1"/>
    <row r="5" spans="1:14" ht="38.25" customHeight="1">
      <c r="A5" s="3348" t="s">
        <v>3828</v>
      </c>
      <c r="B5" s="3348"/>
      <c r="C5" s="3348"/>
      <c r="D5" s="3348"/>
      <c r="F5" s="943" t="s">
        <v>3702</v>
      </c>
      <c r="G5" s="561"/>
      <c r="H5" s="943" t="s">
        <v>3703</v>
      </c>
    </row>
    <row r="6" spans="1:14" ht="6.75" customHeight="1">
      <c r="A6" s="561"/>
      <c r="B6" s="561"/>
      <c r="C6" s="561"/>
      <c r="D6" s="561"/>
    </row>
    <row r="7" spans="1:14" s="2573" customFormat="1" ht="4.5" customHeight="1">
      <c r="A7" s="944"/>
      <c r="B7" s="944"/>
      <c r="C7" s="944"/>
      <c r="D7" s="944"/>
      <c r="E7" s="944"/>
      <c r="F7" s="944"/>
      <c r="G7" s="944"/>
    </row>
    <row r="8" spans="1:14" s="2573" customFormat="1">
      <c r="A8" s="953" t="s">
        <v>102</v>
      </c>
      <c r="B8" s="945"/>
      <c r="C8" s="945"/>
      <c r="D8" s="945"/>
      <c r="E8" s="945"/>
      <c r="F8" s="945"/>
      <c r="G8" s="945"/>
      <c r="H8" s="945"/>
    </row>
    <row r="9" spans="1:14" s="2573" customFormat="1" ht="41.25" customHeight="1">
      <c r="A9" s="3349" t="str">
        <f>'Part IV-A-Uses of Funds'!$C$14</f>
        <v>Engineering-Const Cost Analysis, PNA Report, radon testing, etc.</v>
      </c>
      <c r="B9" s="3350"/>
      <c r="C9" s="3350"/>
      <c r="D9" s="3351"/>
      <c r="F9" s="3339" t="s">
        <v>5292</v>
      </c>
      <c r="G9" s="945"/>
      <c r="H9" s="3339" t="s">
        <v>5293</v>
      </c>
    </row>
    <row r="10" spans="1:14" s="2573" customFormat="1" ht="41.25" customHeight="1">
      <c r="A10" s="3333"/>
      <c r="B10" s="3334"/>
      <c r="C10" s="3334"/>
      <c r="D10" s="3335"/>
      <c r="F10" s="3340"/>
      <c r="G10" s="945"/>
      <c r="H10" s="3340"/>
    </row>
    <row r="11" spans="1:14" s="2573" customFormat="1" ht="4.5" customHeight="1">
      <c r="F11" s="3340"/>
      <c r="G11" s="945"/>
      <c r="H11" s="3340"/>
    </row>
    <row r="12" spans="1:14" s="2573" customFormat="1" ht="15" customHeight="1">
      <c r="A12" s="952" t="s">
        <v>3705</v>
      </c>
      <c r="B12" s="951">
        <f>'Part IV-A-Uses of Funds'!$G$14</f>
        <v>15000</v>
      </c>
      <c r="C12" s="952" t="s">
        <v>1789</v>
      </c>
      <c r="D12" s="951">
        <f>'Part IV-A-Uses of Funds'!$J$14+'Part IV-A-Uses of Funds'!$M$14+'Part IV-A-Uses of Funds'!$P$14</f>
        <v>15000</v>
      </c>
      <c r="F12" s="3340"/>
      <c r="G12" s="945"/>
      <c r="H12" s="3340"/>
    </row>
    <row r="13" spans="1:14" s="2573" customFormat="1" ht="6" customHeight="1">
      <c r="A13" s="945"/>
      <c r="B13" s="946"/>
      <c r="C13" s="945"/>
      <c r="D13" s="945"/>
      <c r="F13" s="3340"/>
      <c r="G13" s="947"/>
      <c r="H13" s="3340"/>
    </row>
    <row r="14" spans="1:14" s="2573" customFormat="1" ht="41.25" customHeight="1">
      <c r="A14" s="3349" t="str">
        <f>'Part IV-A-Uses of Funds'!$C$15</f>
        <v>&lt;&lt; Enter description here; provide detail &amp; justification in tab Part IV-b &gt;&gt;</v>
      </c>
      <c r="B14" s="3350"/>
      <c r="C14" s="3350"/>
      <c r="D14" s="3351"/>
      <c r="F14" s="3340"/>
      <c r="G14" s="945"/>
      <c r="H14" s="3340"/>
    </row>
    <row r="15" spans="1:14" s="2573" customFormat="1" ht="41.25" customHeight="1">
      <c r="A15" s="3333"/>
      <c r="B15" s="3334"/>
      <c r="C15" s="3334"/>
      <c r="D15" s="3335"/>
      <c r="F15" s="3340"/>
      <c r="G15" s="945"/>
      <c r="H15" s="3340"/>
    </row>
    <row r="16" spans="1:14" s="2573" customFormat="1" ht="4.5" customHeight="1">
      <c r="F16" s="3340"/>
      <c r="G16" s="945"/>
      <c r="H16" s="3340"/>
    </row>
    <row r="17" spans="1:8" s="2573" customFormat="1" ht="15" customHeight="1">
      <c r="A17" s="952" t="s">
        <v>3705</v>
      </c>
      <c r="B17" s="951">
        <f>'Part IV-A-Uses of Funds'!$G$15</f>
        <v>0</v>
      </c>
      <c r="C17" s="952" t="s">
        <v>1789</v>
      </c>
      <c r="D17" s="951">
        <f>'Part IV-A-Uses of Funds'!$J$15+'Part IV-A-Uses of Funds'!$M$15+'Part IV-A-Uses of Funds'!$P$15</f>
        <v>0</v>
      </c>
      <c r="F17" s="3340"/>
      <c r="G17" s="945"/>
      <c r="H17" s="3340"/>
    </row>
    <row r="18" spans="1:8" s="2573" customFormat="1" ht="6" customHeight="1">
      <c r="A18" s="945"/>
      <c r="B18" s="946"/>
      <c r="C18" s="945"/>
      <c r="D18" s="945"/>
      <c r="F18" s="3340"/>
      <c r="G18" s="947"/>
      <c r="H18" s="3340"/>
    </row>
    <row r="19" spans="1:8" s="2573" customFormat="1" ht="41.25" customHeight="1">
      <c r="A19" s="3349" t="str">
        <f>'Part IV-A-Uses of Funds'!$C$16</f>
        <v>&lt;&lt; Enter description here; provide detail &amp; justification in tab Part IV-b &gt;&gt;</v>
      </c>
      <c r="B19" s="3350"/>
      <c r="C19" s="3350"/>
      <c r="D19" s="3351"/>
      <c r="F19" s="3340"/>
      <c r="G19" s="945"/>
      <c r="H19" s="3340"/>
    </row>
    <row r="20" spans="1:8" s="2573" customFormat="1" ht="41.25" customHeight="1">
      <c r="A20" s="3333"/>
      <c r="B20" s="3334"/>
      <c r="C20" s="3334"/>
      <c r="D20" s="3335"/>
      <c r="F20" s="3340"/>
      <c r="G20" s="945"/>
      <c r="H20" s="3340"/>
    </row>
    <row r="21" spans="1:8" s="2573" customFormat="1" ht="4.5" customHeight="1">
      <c r="F21" s="3340"/>
      <c r="G21" s="945"/>
      <c r="H21" s="3340"/>
    </row>
    <row r="22" spans="1:8" s="2573" customFormat="1" ht="15" customHeight="1">
      <c r="A22" s="952" t="s">
        <v>3705</v>
      </c>
      <c r="B22" s="951">
        <f>'Part IV-A-Uses of Funds'!$G$16</f>
        <v>0</v>
      </c>
      <c r="C22" s="952" t="s">
        <v>1789</v>
      </c>
      <c r="D22" s="951">
        <f>'Part IV-A-Uses of Funds'!$J$16+'Part IV-A-Uses of Funds'!$M$16+'Part IV-A-Uses of Funds'!$P$16</f>
        <v>0</v>
      </c>
      <c r="F22" s="3340"/>
      <c r="G22" s="945"/>
      <c r="H22" s="3340"/>
    </row>
    <row r="23" spans="1:8" s="2573" customFormat="1" ht="6" customHeight="1">
      <c r="A23" s="945"/>
      <c r="B23" s="946"/>
      <c r="C23" s="945"/>
      <c r="D23" s="945"/>
      <c r="F23" s="3341"/>
      <c r="G23" s="947"/>
      <c r="H23" s="3341"/>
    </row>
    <row r="24" spans="1:8" s="2573" customFormat="1">
      <c r="A24" s="953" t="s">
        <v>3704</v>
      </c>
      <c r="B24" s="945"/>
      <c r="C24" s="945"/>
      <c r="D24" s="945"/>
      <c r="E24" s="945"/>
      <c r="F24" s="945"/>
      <c r="G24" s="945"/>
    </row>
    <row r="25" spans="1:8" s="2573" customFormat="1" ht="41.25" customHeight="1">
      <c r="A25" s="3349" t="str">
        <f>'Part IV-A-Uses of Funds'!$C$41</f>
        <v>&lt;&lt; Enter description here; provide detail &amp; justification in tab Part IV-b &gt;&gt;</v>
      </c>
      <c r="B25" s="3350"/>
      <c r="C25" s="3350"/>
      <c r="D25" s="3351"/>
      <c r="E25" s="945"/>
      <c r="F25" s="3336"/>
      <c r="G25" s="945"/>
      <c r="H25" s="3336"/>
    </row>
    <row r="26" spans="1:8" s="2573" customFormat="1" ht="41.25" customHeight="1">
      <c r="A26" s="3333"/>
      <c r="B26" s="3334"/>
      <c r="C26" s="3334"/>
      <c r="D26" s="3335"/>
      <c r="E26" s="945"/>
      <c r="F26" s="3337"/>
      <c r="G26" s="945"/>
      <c r="H26" s="3337"/>
    </row>
    <row r="27" spans="1:8" s="2573" customFormat="1" ht="4.5" customHeight="1">
      <c r="A27" s="945"/>
      <c r="B27" s="945"/>
      <c r="C27" s="945"/>
      <c r="D27" s="945"/>
      <c r="E27" s="945"/>
      <c r="F27" s="3337"/>
      <c r="G27" s="945"/>
      <c r="H27" s="3337"/>
    </row>
    <row r="28" spans="1:8" s="2573" customFormat="1" ht="10.199999999999999">
      <c r="A28" s="952" t="s">
        <v>3705</v>
      </c>
      <c r="B28" s="951">
        <f>'Part IV-A-Uses of Funds'!$G$41</f>
        <v>0</v>
      </c>
      <c r="C28" s="952" t="s">
        <v>1789</v>
      </c>
      <c r="D28" s="951">
        <f>'Part IV-A-Uses of Funds'!$J$41+'Part IV-A-Uses of Funds'!$M$41+'Part IV-A-Uses of Funds'!$P$41</f>
        <v>0</v>
      </c>
      <c r="E28" s="945"/>
      <c r="F28" s="3337"/>
      <c r="G28" s="945"/>
      <c r="H28" s="3337"/>
    </row>
    <row r="29" spans="1:8" s="2573" customFormat="1" ht="6" customHeight="1">
      <c r="A29" s="945"/>
      <c r="B29" s="946"/>
      <c r="C29" s="945"/>
      <c r="D29" s="945"/>
      <c r="E29" s="945"/>
      <c r="F29" s="3338"/>
      <c r="G29" s="947"/>
      <c r="H29" s="3338"/>
    </row>
    <row r="30" spans="1:8" s="2573" customFormat="1">
      <c r="A30" s="953" t="s">
        <v>721</v>
      </c>
      <c r="B30" s="945"/>
      <c r="C30" s="945"/>
      <c r="D30" s="945"/>
      <c r="E30" s="945"/>
      <c r="F30" s="945"/>
      <c r="G30" s="945"/>
    </row>
    <row r="31" spans="1:8" s="2573" customFormat="1" ht="41.25" customHeight="1">
      <c r="A31" s="3330" t="str">
        <f>'Part IV-A-Uses of Funds'!$C$62</f>
        <v>&lt;&lt; Enter description here; provide detail &amp; justification in tab Part IV-b &gt;&gt;</v>
      </c>
      <c r="B31" s="3331"/>
      <c r="C31" s="3331"/>
      <c r="D31" s="3332"/>
      <c r="E31" s="945"/>
      <c r="F31" s="3339"/>
      <c r="G31" s="945"/>
      <c r="H31" s="3339"/>
    </row>
    <row r="32" spans="1:8" s="2573" customFormat="1" ht="41.25" customHeight="1">
      <c r="A32" s="3333"/>
      <c r="B32" s="3334"/>
      <c r="C32" s="3334"/>
      <c r="D32" s="3335"/>
      <c r="E32" s="945"/>
      <c r="F32" s="3340"/>
      <c r="G32" s="945"/>
      <c r="H32" s="3340"/>
    </row>
    <row r="33" spans="1:8" s="2573" customFormat="1" ht="4.5" customHeight="1">
      <c r="A33" s="945"/>
      <c r="B33" s="945"/>
      <c r="C33" s="945"/>
      <c r="D33" s="945"/>
      <c r="E33" s="945"/>
      <c r="F33" s="3340"/>
      <c r="G33" s="945"/>
      <c r="H33" s="3340"/>
    </row>
    <row r="34" spans="1:8" s="2573" customFormat="1" ht="14.25" customHeight="1">
      <c r="A34" s="952" t="s">
        <v>3705</v>
      </c>
      <c r="B34" s="951">
        <f>'Part IV-A-Uses of Funds'!$G$62</f>
        <v>0</v>
      </c>
      <c r="C34" s="952" t="s">
        <v>1789</v>
      </c>
      <c r="D34" s="951">
        <f>'Part IV-A-Uses of Funds'!$J$62+'Part IV-A-Uses of Funds'!$M$62+'Part IV-A-Uses of Funds'!$P$62</f>
        <v>0</v>
      </c>
      <c r="E34" s="945"/>
      <c r="F34" s="3340"/>
      <c r="G34" s="945"/>
      <c r="H34" s="3340"/>
    </row>
    <row r="35" spans="1:8" s="2573" customFormat="1" ht="6" customHeight="1">
      <c r="D35" s="945"/>
      <c r="E35" s="945"/>
      <c r="F35" s="3340"/>
      <c r="G35" s="947"/>
      <c r="H35" s="3340"/>
    </row>
    <row r="36" spans="1:8" s="2573" customFormat="1" ht="41.25" customHeight="1">
      <c r="A36" s="3330" t="str">
        <f>'Part IV-A-Uses of Funds'!$C$63</f>
        <v>&lt;&lt; Enter description here; provide detail &amp; justification in tab Part IV-b &gt;&gt;</v>
      </c>
      <c r="B36" s="3331"/>
      <c r="C36" s="3331"/>
      <c r="D36" s="3332"/>
      <c r="E36" s="945"/>
      <c r="F36" s="3340"/>
      <c r="G36" s="945"/>
      <c r="H36" s="3340"/>
    </row>
    <row r="37" spans="1:8" s="2573" customFormat="1" ht="41.25" customHeight="1">
      <c r="A37" s="3333"/>
      <c r="B37" s="3334"/>
      <c r="C37" s="3334"/>
      <c r="D37" s="3335"/>
      <c r="E37" s="945"/>
      <c r="F37" s="3340"/>
      <c r="G37" s="945"/>
      <c r="H37" s="3340"/>
    </row>
    <row r="38" spans="1:8" s="2573" customFormat="1" ht="4.5" customHeight="1">
      <c r="A38" s="945"/>
      <c r="B38" s="945"/>
      <c r="C38" s="945"/>
      <c r="D38" s="945"/>
      <c r="E38" s="945"/>
      <c r="F38" s="3340"/>
      <c r="G38" s="945"/>
      <c r="H38" s="3340"/>
    </row>
    <row r="39" spans="1:8" s="2573" customFormat="1" ht="14.25" customHeight="1">
      <c r="A39" s="952" t="s">
        <v>3705</v>
      </c>
      <c r="B39" s="951">
        <f>'Part IV-A-Uses of Funds'!$G$63</f>
        <v>0</v>
      </c>
      <c r="C39" s="952" t="s">
        <v>1789</v>
      </c>
      <c r="D39" s="951">
        <f>'Part IV-A-Uses of Funds'!$J$63+'Part IV-A-Uses of Funds'!$M$63+'Part IV-A-Uses of Funds'!$P$63</f>
        <v>0</v>
      </c>
      <c r="E39" s="945"/>
      <c r="F39" s="3340"/>
      <c r="G39" s="945"/>
      <c r="H39" s="3340"/>
    </row>
    <row r="40" spans="1:8" s="2573" customFormat="1" ht="6" customHeight="1">
      <c r="D40" s="945"/>
      <c r="E40" s="945"/>
      <c r="F40" s="3341"/>
      <c r="G40" s="947"/>
      <c r="H40" s="3341"/>
    </row>
    <row r="41" spans="1:8" s="2573" customFormat="1">
      <c r="A41" s="953" t="s">
        <v>476</v>
      </c>
      <c r="B41" s="945"/>
      <c r="C41" s="945"/>
      <c r="D41" s="945"/>
      <c r="E41" s="949"/>
      <c r="F41" s="949"/>
      <c r="G41" s="945"/>
    </row>
    <row r="42" spans="1:8" s="2573" customFormat="1" ht="41.25" customHeight="1">
      <c r="A42" s="3330" t="str">
        <f>'Part IV-A-Uses of Funds'!$C$76</f>
        <v>&lt;&lt; Enter description here; provide detail &amp; justification in tab Part IV-b &gt;&gt;</v>
      </c>
      <c r="B42" s="3331"/>
      <c r="C42" s="3331"/>
      <c r="D42" s="3332"/>
      <c r="F42" s="3336"/>
      <c r="G42" s="945"/>
      <c r="H42" s="3336"/>
    </row>
    <row r="43" spans="1:8" s="2573" customFormat="1" ht="41.25" customHeight="1">
      <c r="A43" s="3333"/>
      <c r="B43" s="3334"/>
      <c r="C43" s="3334"/>
      <c r="D43" s="3335"/>
      <c r="E43" s="945"/>
      <c r="F43" s="3337"/>
      <c r="G43" s="945"/>
      <c r="H43" s="3337"/>
    </row>
    <row r="44" spans="1:8" s="2573" customFormat="1" ht="4.5" customHeight="1">
      <c r="A44" s="945"/>
      <c r="B44" s="945"/>
      <c r="C44" s="945"/>
      <c r="D44" s="945"/>
      <c r="E44" s="945"/>
      <c r="F44" s="3337"/>
      <c r="G44" s="945"/>
      <c r="H44" s="3337"/>
    </row>
    <row r="45" spans="1:8" s="2573" customFormat="1" ht="13.5" customHeight="1">
      <c r="A45" s="952" t="s">
        <v>3705</v>
      </c>
      <c r="B45" s="951">
        <f>'Part IV-A-Uses of Funds'!$G$76</f>
        <v>0</v>
      </c>
      <c r="C45" s="952" t="s">
        <v>1789</v>
      </c>
      <c r="D45" s="951">
        <f>'Part IV-A-Uses of Funds'!$J$76+'Part IV-A-Uses of Funds'!$M$76+'Part IV-A-Uses of Funds'!$P$76</f>
        <v>0</v>
      </c>
      <c r="E45" s="945"/>
      <c r="F45" s="3337"/>
      <c r="G45" s="945"/>
      <c r="H45" s="3337"/>
    </row>
    <row r="46" spans="1:8" s="2573" customFormat="1" ht="6" customHeight="1">
      <c r="A46" s="945"/>
      <c r="B46" s="946"/>
      <c r="C46" s="945"/>
      <c r="D46" s="945"/>
      <c r="E46" s="945"/>
      <c r="F46" s="3338"/>
      <c r="G46" s="947"/>
      <c r="H46" s="3338"/>
    </row>
    <row r="47" spans="1:8" s="2573" customFormat="1">
      <c r="A47" s="953" t="s">
        <v>723</v>
      </c>
      <c r="B47" s="945"/>
      <c r="C47" s="945"/>
      <c r="D47" s="945"/>
      <c r="E47" s="945"/>
      <c r="F47" s="945"/>
      <c r="G47" s="945"/>
    </row>
    <row r="48" spans="1:8" s="2573" customFormat="1" ht="41.25" customHeight="1">
      <c r="A48" s="3330" t="str">
        <f>'Part IV-A-Uses of Funds'!$C$90</f>
        <v>&lt;&lt; Enter description here; provide detail &amp; justification in tab Part IV-b &gt;&gt;</v>
      </c>
      <c r="B48" s="3331"/>
      <c r="C48" s="3331"/>
      <c r="D48" s="3332"/>
      <c r="F48" s="3336"/>
      <c r="G48" s="945"/>
    </row>
    <row r="49" spans="1:7" s="2573" customFormat="1" ht="41.25" customHeight="1">
      <c r="A49" s="3333"/>
      <c r="B49" s="3334"/>
      <c r="C49" s="3334"/>
      <c r="D49" s="3335"/>
      <c r="E49" s="945"/>
      <c r="F49" s="3337"/>
      <c r="G49" s="945"/>
    </row>
    <row r="50" spans="1:7" s="2573" customFormat="1" ht="3" customHeight="1">
      <c r="A50" s="945"/>
      <c r="B50" s="945"/>
      <c r="C50" s="945"/>
      <c r="D50" s="945"/>
      <c r="E50" s="945"/>
      <c r="F50" s="3337"/>
      <c r="G50" s="945"/>
    </row>
    <row r="51" spans="1:7" s="2573" customFormat="1" ht="13.5" customHeight="1">
      <c r="A51" s="952" t="s">
        <v>3705</v>
      </c>
      <c r="B51" s="951">
        <f>'Part IV-A-Uses of Funds'!$G$90</f>
        <v>0</v>
      </c>
      <c r="C51" s="948"/>
      <c r="D51" s="948"/>
      <c r="E51" s="945"/>
      <c r="F51" s="3337"/>
      <c r="G51" s="945"/>
    </row>
    <row r="52" spans="1:7" s="2573" customFormat="1" ht="3.75" customHeight="1">
      <c r="A52" s="945"/>
      <c r="B52" s="945"/>
      <c r="C52" s="945"/>
      <c r="D52" s="945"/>
      <c r="E52" s="945"/>
      <c r="F52" s="3338"/>
      <c r="G52" s="947"/>
    </row>
    <row r="53" spans="1:7" s="2573" customFormat="1">
      <c r="A53" s="953" t="s">
        <v>3706</v>
      </c>
      <c r="B53" s="945"/>
      <c r="C53" s="945"/>
      <c r="D53" s="945"/>
      <c r="E53" s="945"/>
      <c r="F53" s="945"/>
      <c r="G53" s="945"/>
    </row>
    <row r="54" spans="1:7" s="2573" customFormat="1" ht="41.25" customHeight="1">
      <c r="A54" s="3330" t="str">
        <f>'Part IV-A-Uses of Funds'!$C$103</f>
        <v>&lt;&lt; Enter description here; provide detail &amp; justification in tab Part IV-b &gt;&gt;</v>
      </c>
      <c r="B54" s="3331"/>
      <c r="C54" s="3331"/>
      <c r="D54" s="3332"/>
      <c r="F54" s="3339"/>
      <c r="G54" s="945"/>
    </row>
    <row r="55" spans="1:7" s="2573" customFormat="1" ht="41.25" customHeight="1">
      <c r="A55" s="3333"/>
      <c r="B55" s="3334"/>
      <c r="C55" s="3334"/>
      <c r="D55" s="3335"/>
      <c r="E55" s="945"/>
      <c r="F55" s="3340"/>
      <c r="G55" s="945"/>
    </row>
    <row r="56" spans="1:7" s="2573" customFormat="1" ht="3" customHeight="1">
      <c r="A56" s="945"/>
      <c r="B56" s="945"/>
      <c r="C56" s="945"/>
      <c r="D56" s="945"/>
      <c r="E56" s="945"/>
      <c r="F56" s="3340"/>
      <c r="G56" s="945"/>
    </row>
    <row r="57" spans="1:7" s="2573" customFormat="1" ht="10.199999999999999">
      <c r="A57" s="952" t="s">
        <v>3705</v>
      </c>
      <c r="B57" s="951">
        <f>'Part IV-A-Uses of Funds'!$G$103</f>
        <v>0</v>
      </c>
      <c r="C57" s="948"/>
      <c r="D57" s="948"/>
      <c r="E57" s="945"/>
      <c r="F57" s="3340"/>
      <c r="G57" s="945"/>
    </row>
    <row r="58" spans="1:7" s="2573" customFormat="1" ht="3.75" customHeight="1">
      <c r="A58" s="944"/>
      <c r="B58" s="944"/>
      <c r="C58" s="944"/>
      <c r="D58" s="944"/>
      <c r="E58" s="944"/>
      <c r="F58" s="3340"/>
      <c r="G58" s="947"/>
    </row>
    <row r="59" spans="1:7" s="2573" customFormat="1" ht="41.25" customHeight="1">
      <c r="A59" s="3330" t="str">
        <f>'Part IV-A-Uses of Funds'!$C$104</f>
        <v>&lt;&lt; Enter description here; provide detail &amp; justification in tab Part IV-b &gt;&gt;</v>
      </c>
      <c r="B59" s="3331"/>
      <c r="C59" s="3331"/>
      <c r="D59" s="3332"/>
      <c r="F59" s="3340"/>
      <c r="G59" s="945"/>
    </row>
    <row r="60" spans="1:7" s="2573" customFormat="1" ht="41.25" customHeight="1">
      <c r="A60" s="3333"/>
      <c r="B60" s="3334"/>
      <c r="C60" s="3334"/>
      <c r="D60" s="3335"/>
      <c r="E60" s="945"/>
      <c r="F60" s="3340"/>
      <c r="G60" s="945"/>
    </row>
    <row r="61" spans="1:7" s="2573" customFormat="1" ht="3" customHeight="1">
      <c r="A61" s="945"/>
      <c r="B61" s="945"/>
      <c r="C61" s="945"/>
      <c r="D61" s="945"/>
      <c r="E61" s="945"/>
      <c r="F61" s="3340"/>
      <c r="G61" s="945"/>
    </row>
    <row r="62" spans="1:7" s="2573" customFormat="1" ht="10.199999999999999">
      <c r="A62" s="952" t="s">
        <v>3705</v>
      </c>
      <c r="B62" s="951">
        <f>'Part IV-A-Uses of Funds'!$G$104</f>
        <v>0</v>
      </c>
      <c r="C62" s="948"/>
      <c r="D62" s="948"/>
      <c r="E62" s="945"/>
      <c r="F62" s="3340"/>
      <c r="G62" s="945"/>
    </row>
    <row r="63" spans="1:7" s="2573" customFormat="1" ht="3.75" customHeight="1">
      <c r="A63" s="944"/>
      <c r="B63" s="944"/>
      <c r="C63" s="944"/>
      <c r="D63" s="944"/>
      <c r="E63" s="944"/>
      <c r="F63" s="3341"/>
      <c r="G63" s="947"/>
    </row>
    <row r="64" spans="1:7" s="2573" customFormat="1">
      <c r="A64" s="953" t="s">
        <v>3707</v>
      </c>
      <c r="B64" s="945"/>
      <c r="C64" s="945"/>
      <c r="D64" s="945"/>
      <c r="E64" s="945"/>
      <c r="F64" s="945"/>
      <c r="G64" s="945"/>
    </row>
    <row r="65" spans="1:8" s="2573" customFormat="1" ht="41.25" customHeight="1">
      <c r="A65" s="3330" t="str">
        <f>'Part IV-A-Uses of Funds'!$C$110</f>
        <v>&lt;&lt; Enter description here; provide detail &amp; justification in tab Part IV-b &gt;&gt;</v>
      </c>
      <c r="B65" s="3331"/>
      <c r="C65" s="3331"/>
      <c r="D65" s="3332"/>
      <c r="F65" s="3336"/>
      <c r="G65" s="945"/>
    </row>
    <row r="66" spans="1:8" s="2573" customFormat="1" ht="41.25" customHeight="1">
      <c r="A66" s="3333"/>
      <c r="B66" s="3334"/>
      <c r="C66" s="3334"/>
      <c r="D66" s="3335"/>
      <c r="E66" s="945"/>
      <c r="F66" s="3337"/>
      <c r="G66" s="945"/>
    </row>
    <row r="67" spans="1:8" s="2573" customFormat="1" ht="3" customHeight="1">
      <c r="A67" s="945"/>
      <c r="B67" s="945"/>
      <c r="C67" s="945"/>
      <c r="D67" s="945"/>
      <c r="E67" s="945"/>
      <c r="F67" s="3337"/>
      <c r="G67" s="945"/>
    </row>
    <row r="68" spans="1:8" s="2573" customFormat="1" ht="10.199999999999999">
      <c r="A68" s="952" t="s">
        <v>3705</v>
      </c>
      <c r="B68" s="951">
        <f>'Part IV-A-Uses of Funds'!$G$110</f>
        <v>0</v>
      </c>
      <c r="C68" s="948"/>
      <c r="D68" s="948"/>
      <c r="E68" s="945"/>
      <c r="F68" s="3337"/>
      <c r="G68" s="945"/>
    </row>
    <row r="69" spans="1:8" s="2573" customFormat="1" ht="3.75" customHeight="1">
      <c r="A69" s="945"/>
      <c r="B69" s="946"/>
      <c r="C69" s="945"/>
      <c r="D69" s="945"/>
      <c r="E69" s="945"/>
      <c r="F69" s="3338"/>
      <c r="G69" s="947"/>
    </row>
    <row r="70" spans="1:8" s="2573" customFormat="1">
      <c r="A70" s="953" t="s">
        <v>1308</v>
      </c>
      <c r="B70" s="945"/>
      <c r="C70" s="945"/>
      <c r="D70" s="945"/>
      <c r="E70" s="945"/>
      <c r="F70" s="945"/>
      <c r="G70" s="945"/>
    </row>
    <row r="71" spans="1:8" s="2573" customFormat="1" ht="41.25" customHeight="1">
      <c r="A71" s="3330" t="str">
        <f>'Part IV-A-Uses of Funds'!$C$125</f>
        <v>T &amp; I Escrow--$37,680; Asset Mgmt Fees --$45,000</v>
      </c>
      <c r="B71" s="3331"/>
      <c r="C71" s="3331"/>
      <c r="D71" s="3332"/>
      <c r="F71" s="3336" t="s">
        <v>5290</v>
      </c>
      <c r="G71" s="945"/>
      <c r="H71" s="3342" t="s">
        <v>5291</v>
      </c>
    </row>
    <row r="72" spans="1:8" s="2573" customFormat="1" ht="41.25" customHeight="1">
      <c r="A72" s="3333"/>
      <c r="B72" s="3334"/>
      <c r="C72" s="3334"/>
      <c r="D72" s="3335"/>
      <c r="E72" s="945"/>
      <c r="F72" s="3337"/>
      <c r="G72" s="945"/>
      <c r="H72" s="3337"/>
    </row>
    <row r="73" spans="1:8" s="2573" customFormat="1" ht="4.5" customHeight="1">
      <c r="A73" s="945"/>
      <c r="B73" s="945"/>
      <c r="C73" s="945"/>
      <c r="D73" s="945"/>
      <c r="E73" s="945"/>
      <c r="F73" s="3337"/>
      <c r="G73" s="945"/>
      <c r="H73" s="3337"/>
    </row>
    <row r="74" spans="1:8" s="2573" customFormat="1" ht="12.75" customHeight="1">
      <c r="A74" s="952" t="s">
        <v>3705</v>
      </c>
      <c r="B74" s="951">
        <f>'Part IV-A-Uses of Funds'!$G$125</f>
        <v>82680</v>
      </c>
      <c r="C74" s="952" t="s">
        <v>1789</v>
      </c>
      <c r="D74" s="951">
        <f>'Part IV-A-Uses of Funds'!$J$125+'Part IV-A-Uses of Funds'!$M$125+'Part IV-A-Uses of Funds'!$P$125</f>
        <v>0</v>
      </c>
      <c r="E74" s="945"/>
      <c r="F74" s="3337"/>
      <c r="G74" s="945"/>
      <c r="H74" s="3337"/>
    </row>
    <row r="75" spans="1:8" s="2573" customFormat="1" ht="6" customHeight="1">
      <c r="A75" s="945"/>
      <c r="B75" s="946"/>
      <c r="C75" s="945"/>
      <c r="D75" s="945"/>
      <c r="E75" s="945"/>
      <c r="F75" s="3338"/>
      <c r="G75" s="947"/>
      <c r="H75" s="3338"/>
    </row>
    <row r="76" spans="1:8" s="2573" customFormat="1">
      <c r="A76" s="953" t="s">
        <v>3708</v>
      </c>
      <c r="B76" s="946"/>
      <c r="C76" s="945"/>
      <c r="D76" s="945"/>
      <c r="E76" s="945"/>
      <c r="F76" s="945"/>
      <c r="G76" s="947"/>
    </row>
    <row r="77" spans="1:8" s="2573" customFormat="1" ht="41.25" customHeight="1">
      <c r="A77" s="3330" t="str">
        <f>'Part IV-A-Uses of Funds'!$C$129</f>
        <v>Relocation cost explanation included on Tab IV-B-Other Items</v>
      </c>
      <c r="B77" s="3331"/>
      <c r="C77" s="3331"/>
      <c r="D77" s="3332"/>
      <c r="F77" s="3336" t="s">
        <v>5287</v>
      </c>
      <c r="G77" s="945"/>
      <c r="H77" s="3336" t="s">
        <v>5288</v>
      </c>
    </row>
    <row r="78" spans="1:8" s="2573" customFormat="1" ht="41.25" customHeight="1">
      <c r="A78" s="3333"/>
      <c r="B78" s="3334"/>
      <c r="C78" s="3334"/>
      <c r="D78" s="3335"/>
      <c r="E78" s="945"/>
      <c r="F78" s="3337"/>
      <c r="G78" s="945"/>
      <c r="H78" s="3337"/>
    </row>
    <row r="79" spans="1:8" s="2573" customFormat="1" ht="4.5" customHeight="1">
      <c r="A79" s="945"/>
      <c r="B79" s="945"/>
      <c r="C79" s="945"/>
      <c r="D79" s="945"/>
      <c r="E79" s="945"/>
      <c r="F79" s="3337"/>
      <c r="G79" s="945"/>
      <c r="H79" s="3337"/>
    </row>
    <row r="80" spans="1:8" s="2573" customFormat="1" ht="12.75" customHeight="1">
      <c r="A80" s="952" t="s">
        <v>3705</v>
      </c>
      <c r="B80" s="951">
        <f>'Part IV-A-Uses of Funds'!$G$129</f>
        <v>0</v>
      </c>
      <c r="C80" s="952" t="s">
        <v>1789</v>
      </c>
      <c r="D80" s="951">
        <f>'Part IV-A-Uses of Funds'!$J$129+'Part IV-A-Uses of Funds'!$M$129+'Part IV-A-Uses of Funds'!$P$129</f>
        <v>0</v>
      </c>
      <c r="E80" s="950"/>
      <c r="F80" s="3337"/>
      <c r="G80" s="945"/>
      <c r="H80" s="3337"/>
    </row>
    <row r="81" spans="4:8" s="2573" customFormat="1" ht="6" customHeight="1">
      <c r="D81" s="2574"/>
      <c r="E81" s="2575"/>
      <c r="F81" s="3338"/>
      <c r="G81" s="947"/>
      <c r="H81" s="3338"/>
    </row>
    <row r="82" spans="4:8" s="2573" customFormat="1" ht="10.199999999999999"/>
    <row r="83" spans="4:8" s="2573" customFormat="1" ht="10.199999999999999"/>
    <row r="84" spans="4:8" s="2573" customFormat="1" ht="10.199999999999999"/>
    <row r="85" spans="4:8" s="2573" customFormat="1" ht="10.199999999999999"/>
    <row r="86" spans="4:8" s="2573" customFormat="1" ht="10.199999999999999"/>
    <row r="87" spans="4:8" s="2573" customFormat="1" ht="10.199999999999999"/>
    <row r="88" spans="4:8" s="2573" customFormat="1" ht="10.199999999999999"/>
    <row r="89" spans="4:8" s="2573" customFormat="1" ht="10.199999999999999"/>
    <row r="90" spans="4:8" s="2573" customFormat="1" ht="10.199999999999999"/>
    <row r="91" spans="4:8" s="2573" customFormat="1" ht="10.199999999999999"/>
    <row r="92" spans="4:8" s="2573" customFormat="1" ht="10.199999999999999"/>
  </sheetData>
  <sheetProtection algorithmName="SHA-512" hashValue="mVQRy7mCw5E073GPXI3+HJHyta2SJwUFA+qZ3OQPArrbcG8KnkbK2aGXtXWOKJX8kJDD7E3+yE9Xkxww4COsWg==" saltValue="EJ6J/u8agsFicgzY2QXmOQ==" spinCount="100000" sheet="1" objects="1" selectLockedCells="1" selectUnlockedCells="1"/>
  <mergeCells count="38">
    <mergeCell ref="H71:H75"/>
    <mergeCell ref="F9:F13"/>
    <mergeCell ref="H9:H13"/>
    <mergeCell ref="A1:H1"/>
    <mergeCell ref="A3:H3"/>
    <mergeCell ref="A5:D5"/>
    <mergeCell ref="A9:D10"/>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A48:D49"/>
    <mergeCell ref="F48:F52"/>
    <mergeCell ref="A54:D55"/>
    <mergeCell ref="F54:F58"/>
    <mergeCell ref="A59:D60"/>
    <mergeCell ref="F59:F63"/>
    <mergeCell ref="A65:D66"/>
    <mergeCell ref="F65:F69"/>
    <mergeCell ref="A71:D72"/>
    <mergeCell ref="F77:F81"/>
    <mergeCell ref="H77:H81"/>
    <mergeCell ref="F71:F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4" zoomScaleNormal="100" workbookViewId="0">
      <selection activeCell="A4" sqref="A1:XFD1048576"/>
    </sheetView>
  </sheetViews>
  <sheetFormatPr defaultColWidth="8.6640625" defaultRowHeight="13.2"/>
  <cols>
    <col min="1" max="1" width="2.33203125" style="26" customWidth="1"/>
    <col min="2" max="3" width="8.6640625" style="26"/>
    <col min="4" max="4" width="12.664062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3.95" customHeight="1">
      <c r="A1" s="3375" t="str">
        <f>CONCATENATE("PART FIVE - UTILITY ALLOWANCES","  -  ",'Part I-Project Information'!$O$6," ",'Part I-Project Information'!$F$34,", ",'Part I-Project Information'!F38,", ",'Part I-Project Information'!J39," County")</f>
        <v>PART FIVE - UTILITY ALLOWANCES  -  2019-049 Woodstone Apartments II, Leesburg, Lee County</v>
      </c>
      <c r="B1" s="3376"/>
      <c r="C1" s="3376"/>
      <c r="D1" s="3376"/>
      <c r="E1" s="3376"/>
      <c r="F1" s="3376"/>
      <c r="G1" s="3376"/>
      <c r="H1" s="3376"/>
      <c r="I1" s="3376"/>
      <c r="J1" s="3376"/>
      <c r="K1" s="3376"/>
      <c r="L1" s="3376"/>
      <c r="M1" s="3376"/>
      <c r="N1" s="9"/>
      <c r="O1" s="9"/>
      <c r="P1" s="9"/>
      <c r="Q1" s="9"/>
      <c r="R1" s="15"/>
      <c r="S1" s="15"/>
      <c r="T1" s="15"/>
    </row>
    <row r="2" spans="1:20" s="7" customFormat="1" ht="7.5" customHeight="1"/>
    <row r="3" spans="1:20" s="7" customFormat="1" ht="12.75" customHeight="1">
      <c r="B3" s="3378" t="str">
        <f>'Part I-Project Information'!$B$6</f>
        <v>April 2019 Final</v>
      </c>
      <c r="C3" s="3378"/>
      <c r="D3" s="3378"/>
      <c r="E3" s="3378"/>
      <c r="F3" s="3" t="s">
        <v>4607</v>
      </c>
      <c r="I3" s="2285" t="str">
        <f>VLOOKUP('Part I-Project Information'!$J$39,'DCA Underwriting Assumptions'!$G$158:$H$317,2)</f>
        <v>South</v>
      </c>
    </row>
    <row r="4" spans="1:20" s="7" customFormat="1" ht="6" customHeight="1"/>
    <row r="5" spans="1:20">
      <c r="A5" s="252" t="s">
        <v>3802</v>
      </c>
    </row>
    <row r="6" spans="1:20" ht="6" customHeight="1">
      <c r="A6" s="7"/>
    </row>
    <row r="7" spans="1:20" s="7" customFormat="1">
      <c r="A7" s="12" t="s">
        <v>615</v>
      </c>
      <c r="B7" s="12" t="s">
        <v>2226</v>
      </c>
      <c r="F7" s="1" t="s">
        <v>2518</v>
      </c>
      <c r="G7" s="1"/>
      <c r="H7" s="1"/>
      <c r="I7" s="3377" t="s">
        <v>256</v>
      </c>
      <c r="J7" s="3356"/>
      <c r="K7" s="3356"/>
      <c r="L7" s="3356"/>
      <c r="M7" s="3357"/>
    </row>
    <row r="8" spans="1:20" s="7" customFormat="1" ht="13.2" customHeight="1">
      <c r="A8" s="12"/>
      <c r="F8" s="1" t="s">
        <v>635</v>
      </c>
      <c r="G8" s="1"/>
      <c r="H8" s="32"/>
      <c r="I8" s="3368">
        <v>43466</v>
      </c>
      <c r="J8" s="3369"/>
      <c r="K8" s="5" t="s">
        <v>539</v>
      </c>
      <c r="L8" s="3370" t="s">
        <v>5196</v>
      </c>
      <c r="M8" s="3371"/>
    </row>
    <row r="9" spans="1:20" s="7" customFormat="1" ht="4.5" customHeight="1">
      <c r="A9" s="12"/>
    </row>
    <row r="10" spans="1:20" s="12" customFormat="1">
      <c r="B10" s="246"/>
      <c r="C10" s="246"/>
      <c r="D10" s="246"/>
      <c r="E10" s="246"/>
      <c r="F10" s="3364" t="s">
        <v>608</v>
      </c>
      <c r="G10" s="3364"/>
      <c r="I10" s="3365" t="s">
        <v>200</v>
      </c>
      <c r="J10" s="3365"/>
      <c r="K10" s="3365"/>
      <c r="L10" s="3365"/>
      <c r="M10" s="3365"/>
    </row>
    <row r="11" spans="1:20" s="12" customFormat="1">
      <c r="B11" s="246" t="s">
        <v>797</v>
      </c>
      <c r="D11" s="246" t="s">
        <v>1598</v>
      </c>
      <c r="F11" s="2283" t="s">
        <v>641</v>
      </c>
      <c r="G11" s="2283" t="s">
        <v>1849</v>
      </c>
      <c r="I11" s="247" t="s">
        <v>567</v>
      </c>
      <c r="J11" s="248">
        <v>1</v>
      </c>
      <c r="K11" s="248">
        <v>2</v>
      </c>
      <c r="L11" s="248">
        <v>3</v>
      </c>
      <c r="M11" s="248">
        <v>4</v>
      </c>
    </row>
    <row r="12" spans="1:20" s="7" customFormat="1" ht="12" customHeight="1">
      <c r="B12" s="2235" t="s">
        <v>1851</v>
      </c>
      <c r="C12" s="2236"/>
      <c r="D12" s="3366" t="s">
        <v>5250</v>
      </c>
      <c r="E12" s="3367"/>
      <c r="F12" s="2576" t="s">
        <v>441</v>
      </c>
      <c r="G12" s="2576"/>
      <c r="H12" s="1036"/>
      <c r="I12" s="2577"/>
      <c r="J12" s="2577">
        <v>4</v>
      </c>
      <c r="K12" s="2577">
        <v>5</v>
      </c>
      <c r="L12" s="2577">
        <v>6</v>
      </c>
      <c r="M12" s="2577"/>
      <c r="O12" s="3352" t="s">
        <v>3827</v>
      </c>
      <c r="P12" s="3352"/>
    </row>
    <row r="13" spans="1:20" s="7" customFormat="1" ht="12" customHeight="1">
      <c r="B13" s="2237" t="s">
        <v>1596</v>
      </c>
      <c r="C13" s="2238"/>
      <c r="D13" s="3353" t="s">
        <v>1595</v>
      </c>
      <c r="E13" s="3354"/>
      <c r="F13" s="2578" t="s">
        <v>441</v>
      </c>
      <c r="G13" s="2578"/>
      <c r="H13" s="1035"/>
      <c r="I13" s="2579"/>
      <c r="J13" s="2579">
        <v>7</v>
      </c>
      <c r="K13" s="2579">
        <v>9</v>
      </c>
      <c r="L13" s="2580">
        <v>11</v>
      </c>
      <c r="M13" s="2580"/>
      <c r="O13" s="3352"/>
      <c r="P13" s="3352"/>
    </row>
    <row r="14" spans="1:20" s="7" customFormat="1" ht="12" customHeight="1">
      <c r="B14" s="2239" t="s">
        <v>1597</v>
      </c>
      <c r="C14" s="2240"/>
      <c r="D14" s="3353" t="s">
        <v>1595</v>
      </c>
      <c r="E14" s="3354"/>
      <c r="F14" s="2578" t="s">
        <v>441</v>
      </c>
      <c r="G14" s="2578"/>
      <c r="H14" s="249"/>
      <c r="I14" s="2579"/>
      <c r="J14" s="2579">
        <v>13</v>
      </c>
      <c r="K14" s="2579">
        <v>18</v>
      </c>
      <c r="L14" s="2580">
        <v>23</v>
      </c>
      <c r="M14" s="2580"/>
      <c r="O14" s="3352"/>
      <c r="P14" s="3352"/>
    </row>
    <row r="15" spans="1:20" s="7" customFormat="1" ht="12" customHeight="1">
      <c r="B15" s="2241" t="s">
        <v>467</v>
      </c>
      <c r="C15" s="2242"/>
      <c r="D15" s="2241" t="s">
        <v>1595</v>
      </c>
      <c r="E15" s="250"/>
      <c r="F15" s="2578" t="s">
        <v>441</v>
      </c>
      <c r="G15" s="2578"/>
      <c r="H15" s="1034"/>
      <c r="I15" s="2579"/>
      <c r="J15" s="2579">
        <v>10</v>
      </c>
      <c r="K15" s="2579">
        <v>13</v>
      </c>
      <c r="L15" s="2580">
        <v>16</v>
      </c>
      <c r="M15" s="2580"/>
      <c r="O15" s="3352"/>
      <c r="P15" s="3352"/>
    </row>
    <row r="16" spans="1:20" s="7" customFormat="1" ht="12" customHeight="1">
      <c r="B16" s="2243" t="s">
        <v>3799</v>
      </c>
      <c r="C16" s="2238"/>
      <c r="D16" s="2237" t="s">
        <v>1595</v>
      </c>
      <c r="E16" s="1033"/>
      <c r="F16" s="2578"/>
      <c r="G16" s="2578"/>
      <c r="H16" s="1035"/>
      <c r="I16" s="2579"/>
      <c r="J16" s="2579"/>
      <c r="K16" s="2579"/>
      <c r="L16" s="2580"/>
      <c r="M16" s="2580"/>
      <c r="O16" s="3352"/>
      <c r="P16" s="3352"/>
    </row>
    <row r="17" spans="1:19" s="7" customFormat="1" ht="12" customHeight="1">
      <c r="B17" s="2243" t="s">
        <v>3800</v>
      </c>
      <c r="C17" s="2238"/>
      <c r="D17" s="2237" t="s">
        <v>1595</v>
      </c>
      <c r="E17" s="1033"/>
      <c r="F17" s="2578"/>
      <c r="G17" s="2578"/>
      <c r="H17" s="1035"/>
      <c r="I17" s="2579"/>
      <c r="J17" s="2579"/>
      <c r="K17" s="2579"/>
      <c r="L17" s="2580"/>
      <c r="M17" s="2580"/>
      <c r="O17" s="3352"/>
      <c r="P17" s="3352"/>
    </row>
    <row r="18" spans="1:19" s="7" customFormat="1" ht="12" customHeight="1">
      <c r="B18" s="2244" t="s">
        <v>3801</v>
      </c>
      <c r="C18" s="2240"/>
      <c r="D18" s="2239" t="s">
        <v>1595</v>
      </c>
      <c r="E18" s="1033"/>
      <c r="F18" s="2578" t="s">
        <v>441</v>
      </c>
      <c r="G18" s="2578"/>
      <c r="H18" s="249"/>
      <c r="I18" s="2579"/>
      <c r="J18" s="2579">
        <v>21</v>
      </c>
      <c r="K18" s="2579">
        <v>27</v>
      </c>
      <c r="L18" s="2580">
        <v>33</v>
      </c>
      <c r="M18" s="2580"/>
      <c r="O18" s="3352"/>
      <c r="P18" s="3352"/>
    </row>
    <row r="19" spans="1:19" s="7" customFormat="1" ht="12" customHeight="1">
      <c r="B19" s="2241" t="s">
        <v>1369</v>
      </c>
      <c r="C19" s="2242"/>
      <c r="D19" s="2247" t="s">
        <v>3467</v>
      </c>
      <c r="E19" s="2581" t="s">
        <v>2988</v>
      </c>
      <c r="F19" s="2578"/>
      <c r="G19" s="2578" t="s">
        <v>441</v>
      </c>
      <c r="H19" s="1034"/>
      <c r="I19" s="2579"/>
      <c r="J19" s="2579"/>
      <c r="K19" s="2579"/>
      <c r="L19" s="2580"/>
      <c r="M19" s="2580"/>
      <c r="O19" s="3352"/>
      <c r="P19" s="3352"/>
    </row>
    <row r="20" spans="1:19" s="7" customFormat="1" ht="12" customHeight="1">
      <c r="B20" s="2245" t="s">
        <v>1850</v>
      </c>
      <c r="C20" s="2246"/>
      <c r="D20" s="251"/>
      <c r="E20" s="223"/>
      <c r="F20" s="2578"/>
      <c r="G20" s="2578" t="s">
        <v>441</v>
      </c>
      <c r="H20" s="1035"/>
      <c r="I20" s="2579"/>
      <c r="J20" s="2579"/>
      <c r="K20" s="2579"/>
      <c r="L20" s="2580"/>
      <c r="M20" s="2580"/>
      <c r="O20" s="3352"/>
      <c r="P20" s="3352"/>
    </row>
    <row r="21" spans="1:19" s="7" customFormat="1" ht="12" customHeight="1">
      <c r="B21" s="2245" t="s">
        <v>740</v>
      </c>
      <c r="C21" s="3372"/>
      <c r="D21" s="3373"/>
      <c r="E21" s="3374"/>
      <c r="F21" s="2582"/>
      <c r="G21" s="2582"/>
      <c r="H21" s="1037"/>
      <c r="I21" s="2583"/>
      <c r="J21" s="2583"/>
      <c r="K21" s="2583"/>
      <c r="L21" s="2584"/>
      <c r="M21" s="2584"/>
      <c r="O21" s="3352"/>
      <c r="P21" s="3352"/>
    </row>
    <row r="22" spans="1:19" s="7" customFormat="1">
      <c r="B22" s="246" t="s">
        <v>1019</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55</v>
      </c>
      <c r="K22" s="150">
        <f>IF(SUM(K12:K21)=0,0,IF(OR($D12="&lt;&lt;Select Fuel &gt;&gt;",$D13="&lt;&lt;Select Fuel &gt;&gt;",$D14="&lt;&lt;Select Fuel &gt;&gt;"),"Select Fuel",IF($E19="&lt;Select&gt;","Submeter?",SUM(K12:K21))))</f>
        <v>72</v>
      </c>
      <c r="L22" s="150">
        <f>IF(SUM(L12:L21)=0,0,IF(OR($D12="&lt;&lt;Select Fuel &gt;&gt;",$D13="&lt;&lt;Select Fuel &gt;&gt;",$D14="&lt;&lt;Select Fuel &gt;&gt;"),"Select Fuel",IF($E19="&lt;Select&gt;","Submeter?",SUM(L12:L21))))</f>
        <v>89</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739</v>
      </c>
      <c r="B24" s="12" t="s">
        <v>2227</v>
      </c>
      <c r="F24" s="1" t="s">
        <v>2518</v>
      </c>
      <c r="G24" s="1"/>
      <c r="H24" s="1"/>
      <c r="I24" s="3355"/>
      <c r="J24" s="3356"/>
      <c r="K24" s="3356"/>
      <c r="L24" s="3356"/>
      <c r="M24" s="3357"/>
    </row>
    <row r="25" spans="1:19" s="7" customFormat="1" ht="13.2" customHeight="1">
      <c r="A25" s="12"/>
      <c r="B25" s="12"/>
      <c r="F25" s="1" t="s">
        <v>635</v>
      </c>
      <c r="G25" s="1"/>
      <c r="H25" s="32"/>
      <c r="I25" s="3368"/>
      <c r="J25" s="3369"/>
      <c r="K25" s="5" t="s">
        <v>539</v>
      </c>
      <c r="L25" s="3370"/>
      <c r="M25" s="3371"/>
    </row>
    <row r="26" spans="1:19" s="7" customFormat="1" ht="4.5" customHeight="1">
      <c r="A26" s="12"/>
    </row>
    <row r="27" spans="1:19" s="12" customFormat="1">
      <c r="B27" s="246"/>
      <c r="C27" s="246"/>
      <c r="D27" s="246"/>
      <c r="E27" s="246"/>
      <c r="F27" s="3364" t="s">
        <v>608</v>
      </c>
      <c r="G27" s="3364"/>
      <c r="I27" s="3365" t="s">
        <v>200</v>
      </c>
      <c r="J27" s="3365"/>
      <c r="K27" s="3365"/>
      <c r="L27" s="3365"/>
      <c r="M27" s="3365"/>
    </row>
    <row r="28" spans="1:19" s="12" customFormat="1">
      <c r="B28" s="246" t="s">
        <v>797</v>
      </c>
      <c r="D28" s="246" t="s">
        <v>1598</v>
      </c>
      <c r="F28" s="2283" t="s">
        <v>641</v>
      </c>
      <c r="G28" s="2283" t="s">
        <v>1849</v>
      </c>
      <c r="I28" s="247" t="s">
        <v>567</v>
      </c>
      <c r="J28" s="248">
        <v>1</v>
      </c>
      <c r="K28" s="248">
        <v>2</v>
      </c>
      <c r="L28" s="248">
        <v>3</v>
      </c>
      <c r="M28" s="248">
        <v>4</v>
      </c>
    </row>
    <row r="29" spans="1:19" s="7" customFormat="1" ht="12" customHeight="1">
      <c r="B29" s="2235" t="s">
        <v>1851</v>
      </c>
      <c r="C29" s="2236"/>
      <c r="D29" s="3366" t="s">
        <v>1819</v>
      </c>
      <c r="E29" s="3367"/>
      <c r="F29" s="2576"/>
      <c r="G29" s="2576"/>
      <c r="H29" s="1036"/>
      <c r="I29" s="2577"/>
      <c r="J29" s="2577"/>
      <c r="K29" s="2577"/>
      <c r="L29" s="2577"/>
      <c r="M29" s="2577"/>
      <c r="O29" s="3352" t="s">
        <v>3827</v>
      </c>
      <c r="P29" s="3352"/>
    </row>
    <row r="30" spans="1:19" s="7" customFormat="1" ht="12" customHeight="1">
      <c r="B30" s="2237" t="s">
        <v>1596</v>
      </c>
      <c r="C30" s="2238"/>
      <c r="D30" s="3353" t="s">
        <v>1819</v>
      </c>
      <c r="E30" s="3354"/>
      <c r="F30" s="2578"/>
      <c r="G30" s="2578"/>
      <c r="H30" s="1035"/>
      <c r="I30" s="2579"/>
      <c r="J30" s="2579"/>
      <c r="K30" s="2579"/>
      <c r="L30" s="2580"/>
      <c r="M30" s="2580"/>
      <c r="O30" s="3352"/>
      <c r="P30" s="3352"/>
    </row>
    <row r="31" spans="1:19" s="7" customFormat="1" ht="12" customHeight="1">
      <c r="B31" s="2239" t="s">
        <v>1597</v>
      </c>
      <c r="C31" s="2240"/>
      <c r="D31" s="3353" t="s">
        <v>1819</v>
      </c>
      <c r="E31" s="3354"/>
      <c r="F31" s="2578"/>
      <c r="G31" s="2578"/>
      <c r="H31" s="249"/>
      <c r="I31" s="2579"/>
      <c r="J31" s="2579"/>
      <c r="K31" s="2579"/>
      <c r="L31" s="2580"/>
      <c r="M31" s="2580"/>
      <c r="O31" s="3352"/>
      <c r="P31" s="3352"/>
    </row>
    <row r="32" spans="1:19" s="7" customFormat="1" ht="12" customHeight="1">
      <c r="B32" s="2241" t="s">
        <v>467</v>
      </c>
      <c r="C32" s="2242"/>
      <c r="D32" s="2241" t="s">
        <v>1595</v>
      </c>
      <c r="E32" s="250"/>
      <c r="F32" s="2578"/>
      <c r="G32" s="2578"/>
      <c r="H32" s="1034"/>
      <c r="I32" s="2579"/>
      <c r="J32" s="2579"/>
      <c r="K32" s="2579"/>
      <c r="L32" s="2580"/>
      <c r="M32" s="2580"/>
      <c r="O32" s="3352"/>
      <c r="P32" s="3352"/>
    </row>
    <row r="33" spans="1:19" s="7" customFormat="1" ht="12" customHeight="1">
      <c r="B33" s="2243" t="s">
        <v>3799</v>
      </c>
      <c r="C33" s="2238"/>
      <c r="D33" s="2237" t="s">
        <v>1595</v>
      </c>
      <c r="E33" s="1033"/>
      <c r="F33" s="2578"/>
      <c r="G33" s="2578"/>
      <c r="H33" s="1035"/>
      <c r="I33" s="2579"/>
      <c r="J33" s="2579"/>
      <c r="K33" s="2579"/>
      <c r="L33" s="2580"/>
      <c r="M33" s="2580"/>
      <c r="O33" s="3352"/>
      <c r="P33" s="3352"/>
    </row>
    <row r="34" spans="1:19" s="7" customFormat="1" ht="12" customHeight="1">
      <c r="B34" s="2243" t="s">
        <v>3800</v>
      </c>
      <c r="C34" s="2238"/>
      <c r="D34" s="2237" t="s">
        <v>1595</v>
      </c>
      <c r="E34" s="1033"/>
      <c r="F34" s="2578"/>
      <c r="G34" s="2578"/>
      <c r="H34" s="1035"/>
      <c r="I34" s="2579"/>
      <c r="J34" s="2579"/>
      <c r="K34" s="2579"/>
      <c r="L34" s="2580"/>
      <c r="M34" s="2580"/>
      <c r="O34" s="3352"/>
      <c r="P34" s="3352"/>
    </row>
    <row r="35" spans="1:19" s="7" customFormat="1" ht="12" customHeight="1">
      <c r="B35" s="2244" t="s">
        <v>3801</v>
      </c>
      <c r="C35" s="2240"/>
      <c r="D35" s="2239" t="s">
        <v>1595</v>
      </c>
      <c r="E35" s="1033"/>
      <c r="F35" s="2578"/>
      <c r="G35" s="2578"/>
      <c r="H35" s="249"/>
      <c r="I35" s="2579"/>
      <c r="J35" s="2579"/>
      <c r="K35" s="2579"/>
      <c r="L35" s="2580"/>
      <c r="M35" s="2580"/>
      <c r="O35" s="3352"/>
      <c r="P35" s="3352"/>
    </row>
    <row r="36" spans="1:19" s="7" customFormat="1" ht="12" customHeight="1">
      <c r="B36" s="2241" t="s">
        <v>1369</v>
      </c>
      <c r="C36" s="2242"/>
      <c r="D36" s="2247" t="s">
        <v>3467</v>
      </c>
      <c r="E36" s="2581" t="s">
        <v>201</v>
      </c>
      <c r="F36" s="2578"/>
      <c r="G36" s="2578"/>
      <c r="H36" s="1034"/>
      <c r="I36" s="2579"/>
      <c r="J36" s="2579"/>
      <c r="K36" s="2579"/>
      <c r="L36" s="2580"/>
      <c r="M36" s="2580"/>
      <c r="O36" s="3352"/>
      <c r="P36" s="3352"/>
    </row>
    <row r="37" spans="1:19" s="7" customFormat="1" ht="12" customHeight="1">
      <c r="B37" s="2245" t="s">
        <v>1850</v>
      </c>
      <c r="C37" s="2246"/>
      <c r="D37" s="251"/>
      <c r="E37" s="223"/>
      <c r="F37" s="2578"/>
      <c r="G37" s="2578"/>
      <c r="H37" s="1035"/>
      <c r="I37" s="2579"/>
      <c r="J37" s="2579"/>
      <c r="K37" s="2579"/>
      <c r="L37" s="2580"/>
      <c r="M37" s="2580"/>
      <c r="O37" s="3352"/>
      <c r="P37" s="3352"/>
    </row>
    <row r="38" spans="1:19" s="7" customFormat="1" ht="12" customHeight="1">
      <c r="B38" s="2245" t="s">
        <v>740</v>
      </c>
      <c r="C38" s="3372"/>
      <c r="D38" s="3373"/>
      <c r="E38" s="3374"/>
      <c r="F38" s="2582"/>
      <c r="G38" s="2582"/>
      <c r="H38" s="1037"/>
      <c r="I38" s="2583"/>
      <c r="J38" s="2583"/>
      <c r="K38" s="2583"/>
      <c r="L38" s="2584"/>
      <c r="M38" s="2584"/>
      <c r="O38" s="3352"/>
      <c r="P38" s="3352"/>
    </row>
    <row r="39" spans="1:19" s="7" customFormat="1">
      <c r="B39" s="246" t="s">
        <v>1019</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3468</v>
      </c>
      <c r="D41" s="26"/>
      <c r="E41" s="26"/>
      <c r="F41" s="80"/>
      <c r="G41" s="80"/>
      <c r="I41" s="2283"/>
      <c r="J41" s="2283"/>
      <c r="K41" s="2283"/>
      <c r="L41" s="2283"/>
      <c r="M41" s="2283"/>
    </row>
    <row r="42" spans="1:19" s="7" customFormat="1" ht="12" customHeight="1">
      <c r="A42" s="12"/>
      <c r="B42" s="12" t="s">
        <v>571</v>
      </c>
      <c r="M42" s="26"/>
      <c r="N42" s="26"/>
      <c r="O42" s="26"/>
      <c r="P42" s="26"/>
      <c r="Q42" s="26"/>
      <c r="R42" s="26"/>
      <c r="S42" s="26"/>
    </row>
    <row r="43" spans="1:19" s="7" customFormat="1" ht="24.75" customHeight="1">
      <c r="B43" s="3358" t="s">
        <v>5295</v>
      </c>
      <c r="C43" s="3359"/>
      <c r="D43" s="3359"/>
      <c r="E43" s="3359"/>
      <c r="F43" s="3359"/>
      <c r="G43" s="3359"/>
      <c r="H43" s="3359"/>
      <c r="I43" s="3359"/>
      <c r="J43" s="3359"/>
      <c r="K43" s="3359"/>
      <c r="L43" s="3359"/>
      <c r="M43" s="3360"/>
      <c r="N43" s="26"/>
      <c r="O43" s="2765" t="s">
        <v>2692</v>
      </c>
      <c r="P43" s="2765"/>
      <c r="Q43" s="2765"/>
      <c r="R43" s="2765"/>
      <c r="S43" s="2765"/>
    </row>
    <row r="44" spans="1:19" s="7" customFormat="1" ht="3" customHeight="1">
      <c r="M44" s="26"/>
      <c r="N44" s="26"/>
      <c r="O44" s="2765"/>
      <c r="P44" s="2765"/>
      <c r="Q44" s="2765"/>
      <c r="R44" s="2765"/>
      <c r="S44" s="2765"/>
    </row>
    <row r="45" spans="1:19" s="7" customFormat="1" ht="12" customHeight="1">
      <c r="A45" s="12"/>
      <c r="B45" s="12" t="s">
        <v>1844</v>
      </c>
      <c r="M45" s="26"/>
      <c r="N45" s="26"/>
      <c r="O45" s="2765"/>
      <c r="P45" s="2765"/>
      <c r="Q45" s="2765"/>
      <c r="R45" s="2765"/>
      <c r="S45" s="2765"/>
    </row>
    <row r="46" spans="1:19" s="7" customFormat="1" ht="24.75" customHeight="1">
      <c r="B46" s="3361"/>
      <c r="C46" s="3362"/>
      <c r="D46" s="3362"/>
      <c r="E46" s="3362"/>
      <c r="F46" s="3362"/>
      <c r="G46" s="3362"/>
      <c r="H46" s="3362"/>
      <c r="I46" s="3362"/>
      <c r="J46" s="3362"/>
      <c r="K46" s="3362"/>
      <c r="L46" s="3362"/>
      <c r="M46" s="3363"/>
      <c r="N46" s="26"/>
      <c r="O46" s="2765"/>
      <c r="P46" s="2765"/>
      <c r="Q46" s="2765"/>
      <c r="R46" s="2765"/>
      <c r="S46" s="2765"/>
    </row>
  </sheetData>
  <sheetProtection algorithmName="SHA-512" hashValue="BK1JrBOtOTgTQxk0FSkyCfVq4O3mVkhXKgjOK26b59CAffjNz5uXTMFPZl2c/sO/BsMF4f6vxdfpdjBvAHJ+7g==" saltValue="LO+5n0yq4d97tQkNQW6ziQ==" spinCount="100000" sheet="1" object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2019-05-21T21:28:10Z</cp:lastPrinted>
  <dcterms:created xsi:type="dcterms:W3CDTF">2005-09-15T20:51:37Z</dcterms:created>
  <dcterms:modified xsi:type="dcterms:W3CDTF">2020-01-27T15:34:08Z</dcterms:modified>
</cp:coreProperties>
</file>