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0E796693-0E66-4D34-AB5D-39345E2DF1CD}" xr6:coauthVersionLast="44" xr6:coauthVersionMax="44" xr10:uidLastSave="{00000000-0000-0000-0000-000000000000}"/>
  <workbookProtection workbookAlgorithmName="SHA-512" workbookHashValue="5G8+5seNRdvypMyELjECupcPaex/6fbjIqtT7zaSSQf9bKl+yAwhOGD180LLJKma5AKNISRGmfZq3lfO57N6bQ==" workbookSaltValue="BqNPYJcsDjqxBA6+Du4S0A==" workbookSpinCount="100000" lockStructure="1"/>
  <bookViews>
    <workbookView xWindow="528" yWindow="540" windowWidth="19296" windowHeight="5556" tabRatio="876" firstSheet="8" activeTab="25"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Narrative'!$A$1:$A$20</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G82" i="78" l="1"/>
  <c r="G8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L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Q1737" i="94" s="1"/>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L2070" i="94"/>
  <c r="P2068" i="94"/>
  <c r="M2052" i="94"/>
  <c r="L2039" i="94"/>
  <c r="S2034" i="94"/>
  <c r="R2034" i="94"/>
  <c r="P2032" i="94"/>
  <c r="J2032" i="94"/>
  <c r="P2017" i="94"/>
  <c r="I2007" i="94"/>
  <c r="G1999" i="94"/>
  <c r="G1991" i="94"/>
  <c r="P1990" i="94"/>
  <c r="P2098" i="94" s="1"/>
  <c r="P1982" i="94"/>
  <c r="P1978" i="94"/>
  <c r="P1984" i="94" s="1"/>
  <c r="Q1970" i="94"/>
  <c r="Q1969" i="94"/>
  <c r="Q1966" i="94"/>
  <c r="L1966" i="94"/>
  <c r="L1955" i="94"/>
  <c r="J1955" i="94"/>
  <c r="L1954" i="94"/>
  <c r="U1948" i="94"/>
  <c r="U1947" i="94"/>
  <c r="P1946" i="94"/>
  <c r="K1941" i="94"/>
  <c r="P1936" i="94"/>
  <c r="G1928" i="94"/>
  <c r="J1927" i="94"/>
  <c r="L1884" i="94"/>
  <c r="K1884" i="94"/>
  <c r="K1882" i="94"/>
  <c r="L1880" i="94"/>
  <c r="L1870" i="94"/>
  <c r="I1861" i="94"/>
  <c r="J1859" i="94"/>
  <c r="L1857" i="94"/>
  <c r="L1856" i="94"/>
  <c r="L1855" i="94"/>
  <c r="Q1854" i="94"/>
  <c r="P1853" i="94"/>
  <c r="J1830" i="94"/>
  <c r="J1829" i="94"/>
  <c r="J1828" i="94"/>
  <c r="K1826" i="94"/>
  <c r="H1826" i="94"/>
  <c r="T1820" i="94"/>
  <c r="F1808" i="94"/>
  <c r="J1757" i="94"/>
  <c r="Q1744" i="94"/>
  <c r="F1738"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815" i="94" l="1"/>
  <c r="M1815" i="94" s="1"/>
  <c r="T1815" i="94" s="1"/>
  <c r="L2034" i="94"/>
  <c r="M1947" i="94"/>
  <c r="K1969" i="94"/>
  <c r="L1814" i="94"/>
  <c r="M1814" i="94" s="1"/>
  <c r="T1814" i="94" s="1"/>
  <c r="L1816" i="94"/>
  <c r="M1816" i="94" s="1"/>
  <c r="T1816" i="94" s="1"/>
  <c r="M1930" i="94"/>
  <c r="Q1929" i="94"/>
  <c r="P1819" i="94"/>
  <c r="P1801" i="94" s="1"/>
  <c r="R2068" i="94"/>
  <c r="Q1763" i="94"/>
  <c r="Q1858" i="94"/>
  <c r="H1736" i="94"/>
  <c r="L1965" i="94"/>
  <c r="L1858" i="94"/>
  <c r="L1757" i="94"/>
  <c r="F1746" i="94"/>
  <c r="I1325" i="94"/>
  <c r="F1325" i="94"/>
  <c r="H1325" i="94"/>
  <c r="K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KE773" i="94" s="1"/>
  <c r="M774" i="94"/>
  <c r="N774" i="94"/>
  <c r="O774" i="94"/>
  <c r="P774" i="94"/>
  <c r="M775" i="94"/>
  <c r="N775" i="94"/>
  <c r="O775" i="94"/>
  <c r="P775" i="94"/>
  <c r="M776" i="94"/>
  <c r="N776" i="94"/>
  <c r="O776" i="94"/>
  <c r="P776" i="94"/>
  <c r="M777" i="94"/>
  <c r="N777" i="94"/>
  <c r="O777" i="94"/>
  <c r="P777" i="94"/>
  <c r="LB777" i="94" s="1"/>
  <c r="M778" i="94"/>
  <c r="N778" i="94"/>
  <c r="O778" i="94"/>
  <c r="P778" i="94"/>
  <c r="M779" i="94"/>
  <c r="N779" i="94"/>
  <c r="O779" i="94"/>
  <c r="P779" i="94"/>
  <c r="MR779" i="94" s="1"/>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JL785" i="94" s="1"/>
  <c r="M786" i="94"/>
  <c r="N786" i="94"/>
  <c r="O786" i="94"/>
  <c r="P786" i="94"/>
  <c r="M787" i="94"/>
  <c r="N787" i="94"/>
  <c r="O787" i="94"/>
  <c r="P787" i="94"/>
  <c r="JE787" i="94" s="1"/>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EC775" i="94" s="1"/>
  <c r="D775" i="94"/>
  <c r="E775" i="94"/>
  <c r="F775" i="94"/>
  <c r="G775" i="94"/>
  <c r="H775" i="94"/>
  <c r="J775" i="94"/>
  <c r="C776" i="94"/>
  <c r="D776" i="94"/>
  <c r="E776" i="94"/>
  <c r="F776" i="94"/>
  <c r="G776" i="94"/>
  <c r="H776" i="94"/>
  <c r="J776" i="94"/>
  <c r="C777" i="94"/>
  <c r="D777" i="94"/>
  <c r="E777" i="94"/>
  <c r="F777" i="94"/>
  <c r="G777" i="94"/>
  <c r="H777" i="94"/>
  <c r="J777" i="94"/>
  <c r="C778" i="94"/>
  <c r="LM778" i="94" s="1"/>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AG786" i="94" s="1"/>
  <c r="D786" i="94"/>
  <c r="E786" i="94"/>
  <c r="F786" i="94"/>
  <c r="G786" i="94"/>
  <c r="H786" i="94"/>
  <c r="J786" i="94"/>
  <c r="C787" i="94"/>
  <c r="D787" i="94"/>
  <c r="E787" i="94"/>
  <c r="F787" i="94"/>
  <c r="G787" i="94"/>
  <c r="H787" i="94"/>
  <c r="J787" i="94"/>
  <c r="C788" i="94"/>
  <c r="D788" i="94"/>
  <c r="E788" i="94"/>
  <c r="F788" i="94"/>
  <c r="G788" i="94"/>
  <c r="H788" i="94"/>
  <c r="J788" i="94"/>
  <c r="C789" i="94"/>
  <c r="GA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GA797" i="94" s="1"/>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B780" i="94"/>
  <c r="B781" i="94"/>
  <c r="B782" i="94"/>
  <c r="B783" i="94"/>
  <c r="B784" i="94"/>
  <c r="B785" i="94"/>
  <c r="B786" i="94"/>
  <c r="LI786" i="94" s="1"/>
  <c r="B787" i="94"/>
  <c r="B788" i="94"/>
  <c r="B789" i="94"/>
  <c r="B790" i="94"/>
  <c r="B791" i="94"/>
  <c r="B792" i="94"/>
  <c r="B793" i="94"/>
  <c r="B794" i="94"/>
  <c r="B795" i="94"/>
  <c r="B796" i="94"/>
  <c r="B797" i="94"/>
  <c r="B798" i="94"/>
  <c r="B799" i="94"/>
  <c r="B800" i="94"/>
  <c r="B801" i="94"/>
  <c r="BJ801" i="94" s="1"/>
  <c r="B802" i="94"/>
  <c r="B803" i="94"/>
  <c r="B804" i="94"/>
  <c r="B805" i="94"/>
  <c r="B806" i="94"/>
  <c r="B807" i="94"/>
  <c r="B808" i="94"/>
  <c r="B809" i="94"/>
  <c r="CC809" i="94" s="1"/>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IA801" i="94"/>
  <c r="CP801" i="94"/>
  <c r="IB795" i="94"/>
  <c r="IB793" i="94"/>
  <c r="GE793" i="94"/>
  <c r="GC793" i="94"/>
  <c r="GA793" i="94"/>
  <c r="FV793" i="94"/>
  <c r="FJ793" i="94"/>
  <c r="FC793" i="94"/>
  <c r="EW793" i="94"/>
  <c r="EI793" i="94"/>
  <c r="EG793" i="94"/>
  <c r="EE793" i="94"/>
  <c r="ED793" i="94"/>
  <c r="DW793" i="94"/>
  <c r="DQ793" i="94"/>
  <c r="DJ793" i="94"/>
  <c r="CX793" i="94"/>
  <c r="CQ793" i="94"/>
  <c r="CK793" i="94"/>
  <c r="BW793" i="94"/>
  <c r="BR793" i="94"/>
  <c r="BK793" i="94"/>
  <c r="AX793" i="94"/>
  <c r="AQ793" i="94"/>
  <c r="AL793" i="94"/>
  <c r="Y793" i="94"/>
  <c r="GD792" i="94"/>
  <c r="LO787" i="94"/>
  <c r="LM787" i="94"/>
  <c r="LL787" i="94"/>
  <c r="LK787" i="94"/>
  <c r="LI787" i="94"/>
  <c r="LH787" i="94"/>
  <c r="LG787" i="94"/>
  <c r="IC787" i="94"/>
  <c r="IA787" i="94"/>
  <c r="GE787" i="94"/>
  <c r="GD787" i="94"/>
  <c r="GB787" i="94"/>
  <c r="GA787" i="94"/>
  <c r="FU787" i="94"/>
  <c r="FS787" i="94"/>
  <c r="FR787" i="94"/>
  <c r="FQ787" i="94"/>
  <c r="FO787" i="94"/>
  <c r="FN787" i="94"/>
  <c r="FM787" i="94"/>
  <c r="FK787" i="94"/>
  <c r="FJ787" i="94"/>
  <c r="FI787" i="94"/>
  <c r="FG787" i="94"/>
  <c r="FF787" i="94"/>
  <c r="FE787" i="94"/>
  <c r="FC787" i="94"/>
  <c r="FB787" i="94"/>
  <c r="FA787" i="94"/>
  <c r="EY787" i="94"/>
  <c r="EX787" i="94"/>
  <c r="EW787" i="94"/>
  <c r="EU787" i="94"/>
  <c r="ET787" i="94"/>
  <c r="ES787" i="94"/>
  <c r="EQ787" i="94"/>
  <c r="EP787" i="94"/>
  <c r="EO787" i="94"/>
  <c r="EM787" i="94"/>
  <c r="EL787" i="94"/>
  <c r="EK787" i="94"/>
  <c r="EI787" i="94"/>
  <c r="EH787" i="94"/>
  <c r="EG787" i="94"/>
  <c r="EE787" i="94"/>
  <c r="ED787" i="94"/>
  <c r="EC787" i="94"/>
  <c r="CB787" i="94"/>
  <c r="BJ787" i="94"/>
  <c r="BI787" i="94"/>
  <c r="BG787" i="94"/>
  <c r="BF787" i="94"/>
  <c r="BE787" i="94"/>
  <c r="BC787" i="94"/>
  <c r="BB787" i="94"/>
  <c r="BA787" i="94"/>
  <c r="AY787" i="94"/>
  <c r="AX787" i="94"/>
  <c r="AW787" i="94"/>
  <c r="AU787" i="94"/>
  <c r="AT787" i="94"/>
  <c r="AS787" i="94"/>
  <c r="AQ787" i="94"/>
  <c r="AP787" i="94"/>
  <c r="AO787" i="94"/>
  <c r="AM787" i="94"/>
  <c r="AL787" i="94"/>
  <c r="AK787" i="94"/>
  <c r="AI787" i="94"/>
  <c r="AH787" i="94"/>
  <c r="AG787" i="94"/>
  <c r="AE787" i="94"/>
  <c r="AD787" i="94"/>
  <c r="AC787" i="94"/>
  <c r="AA787" i="94"/>
  <c r="Z787" i="94"/>
  <c r="Y787" i="94"/>
  <c r="W787" i="94"/>
  <c r="LO785" i="94"/>
  <c r="LM785" i="94"/>
  <c r="LL785" i="94"/>
  <c r="LK785" i="94"/>
  <c r="LI785" i="94"/>
  <c r="LH785" i="94"/>
  <c r="LG785" i="94"/>
  <c r="IC785" i="94"/>
  <c r="IA785" i="94"/>
  <c r="GE785" i="94"/>
  <c r="GD785" i="94"/>
  <c r="GC785" i="94"/>
  <c r="GB785" i="94"/>
  <c r="GA785" i="94"/>
  <c r="FZ785" i="94"/>
  <c r="FX785" i="94"/>
  <c r="FW785" i="94"/>
  <c r="FV785" i="94"/>
  <c r="FT785" i="94"/>
  <c r="FS785" i="94"/>
  <c r="FR785" i="94"/>
  <c r="FP785" i="94"/>
  <c r="FO785" i="94"/>
  <c r="FN785" i="94"/>
  <c r="FL785" i="94"/>
  <c r="FK785" i="94"/>
  <c r="FJ785" i="94"/>
  <c r="FH785" i="94"/>
  <c r="FG785" i="94"/>
  <c r="FF785" i="94"/>
  <c r="FD785" i="94"/>
  <c r="FC785" i="94"/>
  <c r="FB785" i="94"/>
  <c r="EZ785" i="94"/>
  <c r="EY785" i="94"/>
  <c r="EX785" i="94"/>
  <c r="EV785" i="94"/>
  <c r="EU785" i="94"/>
  <c r="ET785" i="94"/>
  <c r="ER785" i="94"/>
  <c r="EQ785" i="94"/>
  <c r="EP785" i="94"/>
  <c r="EN785" i="94"/>
  <c r="EM785" i="94"/>
  <c r="EL785" i="94"/>
  <c r="EJ785" i="94"/>
  <c r="EI785" i="94"/>
  <c r="EH785" i="94"/>
  <c r="EG785" i="94"/>
  <c r="EF785" i="94"/>
  <c r="EE785" i="94"/>
  <c r="ED785" i="94"/>
  <c r="EC785" i="94"/>
  <c r="EB785" i="94"/>
  <c r="EA785" i="94"/>
  <c r="DZ785" i="94"/>
  <c r="DX785" i="94"/>
  <c r="DW785" i="94"/>
  <c r="DV785" i="94"/>
  <c r="DT785" i="94"/>
  <c r="DS785" i="94"/>
  <c r="DR785" i="94"/>
  <c r="DP785" i="94"/>
  <c r="DO785" i="94"/>
  <c r="DN785" i="94"/>
  <c r="DL785" i="94"/>
  <c r="DK785" i="94"/>
  <c r="DJ785" i="94"/>
  <c r="DH785" i="94"/>
  <c r="DG785" i="94"/>
  <c r="DF785" i="94"/>
  <c r="DD785" i="94"/>
  <c r="DC785" i="94"/>
  <c r="DB785" i="94"/>
  <c r="CZ785" i="94"/>
  <c r="CY785" i="94"/>
  <c r="CX785" i="94"/>
  <c r="CV785" i="94"/>
  <c r="CU785" i="94"/>
  <c r="CT785" i="94"/>
  <c r="CR785" i="94"/>
  <c r="CQ785" i="94"/>
  <c r="CP785" i="94"/>
  <c r="CN785" i="94"/>
  <c r="CM785" i="94"/>
  <c r="CL785" i="94"/>
  <c r="CJ785" i="94"/>
  <c r="CI785" i="94"/>
  <c r="CH785" i="94"/>
  <c r="CF785" i="94"/>
  <c r="CE785" i="94"/>
  <c r="CD785" i="94"/>
  <c r="CB785" i="94"/>
  <c r="CA785" i="94"/>
  <c r="BZ785" i="94"/>
  <c r="BX785" i="94"/>
  <c r="BW785" i="94"/>
  <c r="BV785" i="94"/>
  <c r="BT785" i="94"/>
  <c r="BS785" i="94"/>
  <c r="BR785" i="94"/>
  <c r="BP785" i="94"/>
  <c r="BO785" i="94"/>
  <c r="BN785" i="94"/>
  <c r="BL785" i="94"/>
  <c r="BK785" i="94"/>
  <c r="BJ785" i="94"/>
  <c r="BH785" i="94"/>
  <c r="BG785" i="94"/>
  <c r="BF785" i="94"/>
  <c r="BD785" i="94"/>
  <c r="BC785" i="94"/>
  <c r="BB785" i="94"/>
  <c r="AZ785" i="94"/>
  <c r="AY785" i="94"/>
  <c r="AX785" i="94"/>
  <c r="AV785" i="94"/>
  <c r="AU785" i="94"/>
  <c r="AT785" i="94"/>
  <c r="AR785" i="94"/>
  <c r="AQ785" i="94"/>
  <c r="AP785" i="94"/>
  <c r="AN785" i="94"/>
  <c r="AM785" i="94"/>
  <c r="AL785" i="94"/>
  <c r="AJ785" i="94"/>
  <c r="AI785" i="94"/>
  <c r="AH785" i="94"/>
  <c r="AF785" i="94"/>
  <c r="AE785" i="94"/>
  <c r="AD785" i="94"/>
  <c r="AB785" i="94"/>
  <c r="AA785" i="94"/>
  <c r="Z785" i="94"/>
  <c r="X785" i="94"/>
  <c r="W785" i="94"/>
  <c r="LP784" i="94"/>
  <c r="EF781" i="94"/>
  <c r="IB780" i="94"/>
  <c r="LO779" i="94"/>
  <c r="LN779" i="94"/>
  <c r="LL779" i="94"/>
  <c r="LK779" i="94"/>
  <c r="LJ779" i="94"/>
  <c r="LH779" i="94"/>
  <c r="LG779" i="94"/>
  <c r="LF779" i="94"/>
  <c r="IB779" i="94"/>
  <c r="IA779" i="94"/>
  <c r="HZ779" i="94"/>
  <c r="GE779" i="94"/>
  <c r="GD779" i="94"/>
  <c r="GC779" i="94"/>
  <c r="GA779" i="94"/>
  <c r="FY779" i="94"/>
  <c r="FU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W779" i="94"/>
  <c r="EV779" i="94"/>
  <c r="EU779" i="94"/>
  <c r="ET779" i="94"/>
  <c r="ES779" i="94"/>
  <c r="ER779" i="94"/>
  <c r="EQ779" i="94"/>
  <c r="EP779" i="94"/>
  <c r="EO779" i="94"/>
  <c r="EN779" i="94"/>
  <c r="EM779" i="94"/>
  <c r="EL779" i="94"/>
  <c r="EK779" i="94"/>
  <c r="EJ779" i="94"/>
  <c r="EI779" i="94"/>
  <c r="EH779" i="94"/>
  <c r="EG779" i="94"/>
  <c r="EF779" i="94"/>
  <c r="EE779" i="94"/>
  <c r="ED779" i="94"/>
  <c r="EC779" i="94"/>
  <c r="EB779" i="94"/>
  <c r="DT779" i="94"/>
  <c r="DL779" i="94"/>
  <c r="DD779" i="94"/>
  <c r="CV779" i="94"/>
  <c r="CN779" i="94"/>
  <c r="CF779" i="94"/>
  <c r="BX779" i="94"/>
  <c r="BP779" i="94"/>
  <c r="BJ779" i="94"/>
  <c r="BI779" i="94"/>
  <c r="BH779" i="94"/>
  <c r="BG779" i="94"/>
  <c r="BF779" i="94"/>
  <c r="BE779" i="94"/>
  <c r="BD779" i="94"/>
  <c r="BC779" i="94"/>
  <c r="BB779" i="94"/>
  <c r="BA779" i="94"/>
  <c r="AZ779" i="94"/>
  <c r="AY779" i="94"/>
  <c r="AX779" i="94"/>
  <c r="AW779" i="94"/>
  <c r="AV779" i="94"/>
  <c r="AU779" i="94"/>
  <c r="AT779" i="94"/>
  <c r="AS779" i="94"/>
  <c r="AR779" i="94"/>
  <c r="AQ779" i="94"/>
  <c r="AP779" i="94"/>
  <c r="AO779" i="94"/>
  <c r="AN779" i="94"/>
  <c r="AM779" i="94"/>
  <c r="AL779" i="94"/>
  <c r="AK779" i="94"/>
  <c r="AJ779" i="94"/>
  <c r="AI779" i="94"/>
  <c r="AH779" i="94"/>
  <c r="AG779" i="94"/>
  <c r="AF779" i="94"/>
  <c r="AE779" i="94"/>
  <c r="AD779" i="94"/>
  <c r="AC779" i="94"/>
  <c r="AB779" i="94"/>
  <c r="AA779" i="94"/>
  <c r="Z779" i="94"/>
  <c r="Y779" i="94"/>
  <c r="X779" i="94"/>
  <c r="W779" i="94"/>
  <c r="MC778" i="94"/>
  <c r="LU778" i="94"/>
  <c r="HH778" i="94"/>
  <c r="GJ778" i="94"/>
  <c r="GB778" i="94"/>
  <c r="ER778" i="94"/>
  <c r="BE778" i="94"/>
  <c r="AW778" i="94"/>
  <c r="LO777" i="94"/>
  <c r="LN777" i="94"/>
  <c r="LM777" i="94"/>
  <c r="LL777" i="94"/>
  <c r="LK777" i="94"/>
  <c r="LJ777" i="94"/>
  <c r="LI777" i="94"/>
  <c r="LH777" i="94"/>
  <c r="LG777" i="94"/>
  <c r="LF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IY776" i="94"/>
  <c r="GA776" i="94"/>
  <c r="EF776" i="94"/>
  <c r="W776" i="94"/>
  <c r="I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5" i="94" s="1"/>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DL778" i="94" l="1"/>
  <c r="GR778" i="94"/>
  <c r="ML778" i="94"/>
  <c r="EJ778" i="94"/>
  <c r="GZ778" i="94"/>
  <c r="Y778" i="94"/>
  <c r="EZ778" i="94"/>
  <c r="HP778" i="94"/>
  <c r="AG778" i="94"/>
  <c r="FH778" i="94"/>
  <c r="HX778" i="94"/>
  <c r="U548" i="94"/>
  <c r="AO778" i="94"/>
  <c r="FP778" i="94"/>
  <c r="IC793" i="94"/>
  <c r="IB787" i="94"/>
  <c r="HZ785" i="94"/>
  <c r="KG777" i="94"/>
  <c r="KO777" i="94"/>
  <c r="FD794" i="94"/>
  <c r="FK786" i="94"/>
  <c r="HY785" i="94"/>
  <c r="EE786" i="94"/>
  <c r="HY787" i="94"/>
  <c r="HY793" i="94"/>
  <c r="LM793" i="94"/>
  <c r="LN793" i="94"/>
  <c r="FO793" i="94"/>
  <c r="EP793" i="94"/>
  <c r="BE793" i="94"/>
  <c r="AE793" i="94"/>
  <c r="LN785" i="94"/>
  <c r="LJ785" i="94"/>
  <c r="LF785" i="94"/>
  <c r="FU785" i="94"/>
  <c r="FQ785" i="94"/>
  <c r="FM785" i="94"/>
  <c r="FI785" i="94"/>
  <c r="FE785" i="94"/>
  <c r="FA785" i="94"/>
  <c r="EW785" i="94"/>
  <c r="ES785" i="94"/>
  <c r="EO785" i="94"/>
  <c r="EK785" i="94"/>
  <c r="BI785" i="94"/>
  <c r="BE785" i="94"/>
  <c r="BA785" i="94"/>
  <c r="AW785" i="94"/>
  <c r="AS785" i="94"/>
  <c r="AO785" i="94"/>
  <c r="AK785" i="94"/>
  <c r="AG785" i="94"/>
  <c r="AC785" i="94"/>
  <c r="Y785" i="94"/>
  <c r="IC803" i="94"/>
  <c r="DC793" i="94"/>
  <c r="CD793" i="94"/>
  <c r="LN787" i="94"/>
  <c r="LJ787" i="94"/>
  <c r="LF787" i="94"/>
  <c r="HZ787" i="94"/>
  <c r="GC787" i="94"/>
  <c r="FT787" i="94"/>
  <c r="FP787" i="94"/>
  <c r="FL787" i="94"/>
  <c r="FH787" i="94"/>
  <c r="FD787" i="94"/>
  <c r="EZ787" i="94"/>
  <c r="EV787" i="94"/>
  <c r="ER787" i="94"/>
  <c r="EN787" i="94"/>
  <c r="EJ787" i="94"/>
  <c r="EF787" i="94"/>
  <c r="DQ787" i="94"/>
  <c r="BH787" i="94"/>
  <c r="BD787" i="94"/>
  <c r="AZ787" i="94"/>
  <c r="AV787" i="94"/>
  <c r="AR787" i="94"/>
  <c r="AN787" i="94"/>
  <c r="AJ787" i="94"/>
  <c r="AF787" i="94"/>
  <c r="AB787" i="94"/>
  <c r="X787" i="94"/>
  <c r="FY785" i="94"/>
  <c r="DY785" i="94"/>
  <c r="DU785" i="94"/>
  <c r="DQ785" i="94"/>
  <c r="DM785" i="94"/>
  <c r="DI785" i="94"/>
  <c r="DE785" i="94"/>
  <c r="DA785" i="94"/>
  <c r="CW785" i="94"/>
  <c r="CS785" i="94"/>
  <c r="CO785" i="94"/>
  <c r="CK785" i="94"/>
  <c r="CG785" i="94"/>
  <c r="CC785" i="94"/>
  <c r="BY785" i="94"/>
  <c r="BU785" i="94"/>
  <c r="BQ785" i="94"/>
  <c r="BM785" i="94"/>
  <c r="LM779" i="94"/>
  <c r="LI779" i="94"/>
  <c r="IC779" i="94"/>
  <c r="HY779" i="94"/>
  <c r="GB779" i="94"/>
  <c r="FT779" i="94"/>
  <c r="A461" i="94"/>
  <c r="U555" i="94"/>
  <c r="GV786" i="94"/>
  <c r="IB785" i="94"/>
  <c r="HZ781" i="94"/>
  <c r="U1814" i="94"/>
  <c r="GI782" i="94"/>
  <c r="CK774" i="94"/>
  <c r="G575" i="94"/>
  <c r="V591" i="94"/>
  <c r="M963" i="94"/>
  <c r="ML772" i="94"/>
  <c r="DP787" i="94"/>
  <c r="FX779" i="94"/>
  <c r="JW773" i="94"/>
  <c r="AJ802" i="94"/>
  <c r="GB800" i="94"/>
  <c r="EN794" i="94"/>
  <c r="GC792" i="94"/>
  <c r="LH786" i="94"/>
  <c r="GE784" i="94"/>
  <c r="MB778" i="94"/>
  <c r="LI776" i="94"/>
  <c r="AH778" i="94"/>
  <c r="MD778" i="94"/>
  <c r="AE776" i="94"/>
  <c r="EK778" i="94"/>
  <c r="GK778" i="94"/>
  <c r="HI778" i="94"/>
  <c r="LN778" i="94"/>
  <c r="BQ779" i="94"/>
  <c r="CO779" i="94"/>
  <c r="DE779" i="94"/>
  <c r="DU779" i="94"/>
  <c r="EL786" i="94"/>
  <c r="GC773" i="94"/>
  <c r="FS776" i="94"/>
  <c r="KW777" i="94"/>
  <c r="AQ778" i="94"/>
  <c r="ED778" i="94"/>
  <c r="FR778" i="94"/>
  <c r="HJ778" i="94"/>
  <c r="LO778" i="94"/>
  <c r="CH779" i="94"/>
  <c r="LQ786" i="94"/>
  <c r="BG802" i="94"/>
  <c r="EC773" i="94"/>
  <c r="GD773" i="94"/>
  <c r="IQ773" i="94"/>
  <c r="LC773" i="94"/>
  <c r="CI776" i="94"/>
  <c r="FV776" i="94"/>
  <c r="GD776" i="94"/>
  <c r="IS777" i="94"/>
  <c r="LE777" i="94"/>
  <c r="AB778" i="94"/>
  <c r="AJ778" i="94"/>
  <c r="AR778" i="94"/>
  <c r="AZ778" i="94"/>
  <c r="BH778" i="94"/>
  <c r="EE778" i="94"/>
  <c r="EM778" i="94"/>
  <c r="EU778" i="94"/>
  <c r="FC778" i="94"/>
  <c r="FK778" i="94"/>
  <c r="FS778" i="94"/>
  <c r="GE778" i="94"/>
  <c r="GM778" i="94"/>
  <c r="GU778" i="94"/>
  <c r="HC778" i="94"/>
  <c r="HK778" i="94"/>
  <c r="HS778" i="94"/>
  <c r="LH778" i="94"/>
  <c r="LP778" i="94"/>
  <c r="LX778" i="94"/>
  <c r="BK779" i="94"/>
  <c r="BS779" i="94"/>
  <c r="CA779" i="94"/>
  <c r="CI779" i="94"/>
  <c r="CQ779" i="94"/>
  <c r="CY779" i="94"/>
  <c r="DG779" i="94"/>
  <c r="DO779" i="94"/>
  <c r="DW779" i="94"/>
  <c r="IA781" i="94"/>
  <c r="AV786" i="94"/>
  <c r="ET786" i="94"/>
  <c r="GE786" i="94"/>
  <c r="HK786" i="94"/>
  <c r="LX786" i="94"/>
  <c r="CR787" i="94"/>
  <c r="IA789" i="94"/>
  <c r="Z794" i="94"/>
  <c r="LM794" i="94"/>
  <c r="EZ802" i="94"/>
  <c r="IC773" i="94"/>
  <c r="AX778" i="94"/>
  <c r="FA778" i="94"/>
  <c r="GC778" i="94"/>
  <c r="LF778" i="94"/>
  <c r="LP786" i="94"/>
  <c r="CJ787" i="94"/>
  <c r="KU773" i="94"/>
  <c r="AA778" i="94"/>
  <c r="EL778" i="94"/>
  <c r="GL778" i="94"/>
  <c r="HR778" i="94"/>
  <c r="BZ779" i="94"/>
  <c r="CX779" i="94"/>
  <c r="DV779" i="94"/>
  <c r="AO786" i="94"/>
  <c r="FS786" i="94"/>
  <c r="CK787" i="94"/>
  <c r="HX794" i="94"/>
  <c r="ED773" i="94"/>
  <c r="GE773" i="94"/>
  <c r="IY773" i="94"/>
  <c r="Y774" i="94"/>
  <c r="CQ776" i="94"/>
  <c r="FW776" i="94"/>
  <c r="GE776" i="94"/>
  <c r="JA777" i="94"/>
  <c r="AC778" i="94"/>
  <c r="AK778" i="94"/>
  <c r="AS778" i="94"/>
  <c r="BA778" i="94"/>
  <c r="BI778" i="94"/>
  <c r="EF778" i="94"/>
  <c r="EN778" i="94"/>
  <c r="EV778" i="94"/>
  <c r="FD778" i="94"/>
  <c r="FL778" i="94"/>
  <c r="FT778" i="94"/>
  <c r="GF778" i="94"/>
  <c r="GN778" i="94"/>
  <c r="GV778" i="94"/>
  <c r="HD778" i="94"/>
  <c r="HL778" i="94"/>
  <c r="HT778" i="94"/>
  <c r="LI778" i="94"/>
  <c r="LQ778" i="94"/>
  <c r="LY778" i="94"/>
  <c r="BL779" i="94"/>
  <c r="BT779" i="94"/>
  <c r="CB779" i="94"/>
  <c r="CJ779" i="94"/>
  <c r="CR779" i="94"/>
  <c r="CZ779" i="94"/>
  <c r="DH779" i="94"/>
  <c r="DP779" i="94"/>
  <c r="DX779" i="94"/>
  <c r="KM779" i="94"/>
  <c r="AW786" i="94"/>
  <c r="EU786" i="94"/>
  <c r="GF786" i="94"/>
  <c r="HL786" i="94"/>
  <c r="LY786" i="94"/>
  <c r="CZ787" i="94"/>
  <c r="IB789" i="94"/>
  <c r="AH794" i="94"/>
  <c r="GB773" i="94"/>
  <c r="KM773" i="94"/>
  <c r="EG776" i="94"/>
  <c r="GB776" i="94"/>
  <c r="BF778" i="94"/>
  <c r="FI778" i="94"/>
  <c r="HQ778" i="94"/>
  <c r="EG781" i="94"/>
  <c r="AN786" i="94"/>
  <c r="HC786" i="94"/>
  <c r="MQ773" i="94"/>
  <c r="CA776" i="94"/>
  <c r="GC776" i="94"/>
  <c r="AI778" i="94"/>
  <c r="FB778" i="94"/>
  <c r="DF779" i="94"/>
  <c r="HD786" i="94"/>
  <c r="EG789" i="94"/>
  <c r="Y783" i="94"/>
  <c r="EE773" i="94"/>
  <c r="HY773" i="94"/>
  <c r="JG773" i="94"/>
  <c r="EC776" i="94"/>
  <c r="FX776" i="94"/>
  <c r="HW776" i="94"/>
  <c r="JI777" i="94"/>
  <c r="AD778" i="94"/>
  <c r="AL778" i="94"/>
  <c r="AT778" i="94"/>
  <c r="BB778" i="94"/>
  <c r="BJ778" i="94"/>
  <c r="EG778" i="94"/>
  <c r="EO778" i="94"/>
  <c r="EW778" i="94"/>
  <c r="FE778" i="94"/>
  <c r="FM778" i="94"/>
  <c r="FU778" i="94"/>
  <c r="GG778" i="94"/>
  <c r="GO778" i="94"/>
  <c r="GW778" i="94"/>
  <c r="HE778" i="94"/>
  <c r="HM778" i="94"/>
  <c r="HU778" i="94"/>
  <c r="LJ778" i="94"/>
  <c r="LR778" i="94"/>
  <c r="LZ778" i="94"/>
  <c r="BM779" i="94"/>
  <c r="BU779" i="94"/>
  <c r="CC779" i="94"/>
  <c r="CK779" i="94"/>
  <c r="CS779" i="94"/>
  <c r="DA779" i="94"/>
  <c r="DI779" i="94"/>
  <c r="DQ779" i="94"/>
  <c r="DY779" i="94"/>
  <c r="FV779" i="94"/>
  <c r="FW784" i="94"/>
  <c r="X786" i="94"/>
  <c r="BD786" i="94"/>
  <c r="FB786" i="94"/>
  <c r="GM786" i="94"/>
  <c r="HS786" i="94"/>
  <c r="BL787" i="94"/>
  <c r="DA787" i="94"/>
  <c r="EG792" i="94"/>
  <c r="BF794" i="94"/>
  <c r="EE800" i="94"/>
  <c r="Z778" i="94"/>
  <c r="ES778" i="94"/>
  <c r="GS778" i="94"/>
  <c r="CG779" i="94"/>
  <c r="FZ779" i="94"/>
  <c r="MC774" i="94"/>
  <c r="II773" i="94"/>
  <c r="IK777" i="94"/>
  <c r="AY778" i="94"/>
  <c r="FJ778" i="94"/>
  <c r="GT778" i="94"/>
  <c r="LG778" i="94"/>
  <c r="BR779" i="94"/>
  <c r="DN779" i="94"/>
  <c r="EF773" i="94"/>
  <c r="HZ773" i="94"/>
  <c r="JO773" i="94"/>
  <c r="EW774" i="94"/>
  <c r="ED776" i="94"/>
  <c r="FY776" i="94"/>
  <c r="JQ777" i="94"/>
  <c r="W778" i="94"/>
  <c r="AE778" i="94"/>
  <c r="AM778" i="94"/>
  <c r="AU778" i="94"/>
  <c r="BC778" i="94"/>
  <c r="CN778" i="94"/>
  <c r="EH778" i="94"/>
  <c r="EP778" i="94"/>
  <c r="EX778" i="94"/>
  <c r="FF778" i="94"/>
  <c r="FN778" i="94"/>
  <c r="FX778" i="94"/>
  <c r="GH778" i="94"/>
  <c r="GP778" i="94"/>
  <c r="GX778" i="94"/>
  <c r="HF778" i="94"/>
  <c r="HN778" i="94"/>
  <c r="HV778" i="94"/>
  <c r="LK778" i="94"/>
  <c r="LS778" i="94"/>
  <c r="MA778" i="94"/>
  <c r="BN779" i="94"/>
  <c r="BV779" i="94"/>
  <c r="CD779" i="94"/>
  <c r="CL779" i="94"/>
  <c r="CT779" i="94"/>
  <c r="DB779" i="94"/>
  <c r="DJ779" i="94"/>
  <c r="DR779" i="94"/>
  <c r="DZ779" i="94"/>
  <c r="FW779" i="94"/>
  <c r="FX784" i="94"/>
  <c r="Y786" i="94"/>
  <c r="BE786" i="94"/>
  <c r="FC786" i="94"/>
  <c r="GN786" i="94"/>
  <c r="HT786" i="94"/>
  <c r="BT787" i="94"/>
  <c r="DH787" i="94"/>
  <c r="FV792" i="94"/>
  <c r="EF794" i="94"/>
  <c r="AP778" i="94"/>
  <c r="EC778" i="94"/>
  <c r="FQ778" i="94"/>
  <c r="HA778" i="94"/>
  <c r="LV778" i="94"/>
  <c r="BY779" i="94"/>
  <c r="CW779" i="94"/>
  <c r="DM779" i="94"/>
  <c r="FR786" i="94"/>
  <c r="FL794" i="94"/>
  <c r="DD782" i="94"/>
  <c r="BG778" i="94"/>
  <c r="ET778" i="94"/>
  <c r="GD778" i="94"/>
  <c r="HB778" i="94"/>
  <c r="LW778" i="94"/>
  <c r="CP779" i="94"/>
  <c r="EM786" i="94"/>
  <c r="EG773" i="94"/>
  <c r="IA773" i="94"/>
  <c r="HI774" i="94"/>
  <c r="EE776" i="94"/>
  <c r="FZ776" i="94"/>
  <c r="JY777" i="94"/>
  <c r="X778" i="94"/>
  <c r="AF778" i="94"/>
  <c r="AN778" i="94"/>
  <c r="AV778" i="94"/>
  <c r="BD778" i="94"/>
  <c r="CV778" i="94"/>
  <c r="EI778" i="94"/>
  <c r="EQ778" i="94"/>
  <c r="EY778" i="94"/>
  <c r="FG778" i="94"/>
  <c r="FO778" i="94"/>
  <c r="GA778" i="94"/>
  <c r="GI778" i="94"/>
  <c r="GQ778" i="94"/>
  <c r="GY778" i="94"/>
  <c r="HG778" i="94"/>
  <c r="HO778" i="94"/>
  <c r="HW778" i="94"/>
  <c r="LL778" i="94"/>
  <c r="LT778" i="94"/>
  <c r="BO779" i="94"/>
  <c r="BW779" i="94"/>
  <c r="CE779" i="94"/>
  <c r="CM779" i="94"/>
  <c r="CU779" i="94"/>
  <c r="DC779" i="94"/>
  <c r="DK779" i="94"/>
  <c r="DS779" i="94"/>
  <c r="EA779" i="94"/>
  <c r="AF786" i="94"/>
  <c r="ED786" i="94"/>
  <c r="FJ786" i="94"/>
  <c r="GU786" i="94"/>
  <c r="BU787" i="94"/>
  <c r="IJ773" i="94"/>
  <c r="JH773" i="94"/>
  <c r="KF773" i="94"/>
  <c r="AG774" i="94"/>
  <c r="JJ777" i="94"/>
  <c r="J571" i="94"/>
  <c r="IG773" i="94"/>
  <c r="IO773" i="94"/>
  <c r="IW773" i="94"/>
  <c r="JE773" i="94"/>
  <c r="JM773" i="94"/>
  <c r="JU773" i="94"/>
  <c r="KC773" i="94"/>
  <c r="KK773" i="94"/>
  <c r="KS773" i="94"/>
  <c r="LA773" i="94"/>
  <c r="MR773" i="94"/>
  <c r="BU774" i="94"/>
  <c r="EG774" i="94"/>
  <c r="GS774" i="94"/>
  <c r="II777" i="94"/>
  <c r="IQ777" i="94"/>
  <c r="IY777" i="94"/>
  <c r="JG777" i="94"/>
  <c r="JO777" i="94"/>
  <c r="JW777" i="94"/>
  <c r="KE777" i="94"/>
  <c r="KM777" i="94"/>
  <c r="KU777" i="94"/>
  <c r="LC777" i="94"/>
  <c r="JW779" i="94"/>
  <c r="DN782" i="94"/>
  <c r="JB777" i="94"/>
  <c r="KU779" i="94"/>
  <c r="MA782" i="94"/>
  <c r="S472" i="94"/>
  <c r="U570" i="94"/>
  <c r="IH773" i="94"/>
  <c r="IP773" i="94"/>
  <c r="IX773" i="94"/>
  <c r="JF773" i="94"/>
  <c r="JN773" i="94"/>
  <c r="JV773" i="94"/>
  <c r="KD773" i="94"/>
  <c r="KL773" i="94"/>
  <c r="KT773" i="94"/>
  <c r="LB773" i="94"/>
  <c r="MS773" i="94"/>
  <c r="CC774" i="94"/>
  <c r="EO774" i="94"/>
  <c r="HA774" i="94"/>
  <c r="IJ777" i="94"/>
  <c r="IR777" i="94"/>
  <c r="IZ777" i="94"/>
  <c r="JH777" i="94"/>
  <c r="JP777" i="94"/>
  <c r="JX777" i="94"/>
  <c r="KF777" i="94"/>
  <c r="KN777" i="94"/>
  <c r="KV777" i="94"/>
  <c r="LD777" i="94"/>
  <c r="KE779" i="94"/>
  <c r="FZ782" i="94"/>
  <c r="DH795" i="94"/>
  <c r="DY787" i="94"/>
  <c r="GB808" i="94"/>
  <c r="LL802" i="94"/>
  <c r="GK794" i="94"/>
  <c r="JP773" i="94"/>
  <c r="CS774" i="94"/>
  <c r="ID777" i="94"/>
  <c r="KH777" i="94"/>
  <c r="II779" i="94"/>
  <c r="G472" i="94"/>
  <c r="P571" i="94"/>
  <c r="S575" i="94"/>
  <c r="IK773" i="94"/>
  <c r="IS773" i="94"/>
  <c r="JA773" i="94"/>
  <c r="JI773" i="94"/>
  <c r="JQ773" i="94"/>
  <c r="JY773" i="94"/>
  <c r="KG773" i="94"/>
  <c r="KO773" i="94"/>
  <c r="KW773" i="94"/>
  <c r="LE773" i="94"/>
  <c r="AO774" i="94"/>
  <c r="DA774" i="94"/>
  <c r="FM774" i="94"/>
  <c r="IA774" i="94"/>
  <c r="IE777" i="94"/>
  <c r="IM777" i="94"/>
  <c r="IU777" i="94"/>
  <c r="JC777" i="94"/>
  <c r="JK777" i="94"/>
  <c r="JS777" i="94"/>
  <c r="KA777" i="94"/>
  <c r="KI777" i="94"/>
  <c r="KQ777" i="94"/>
  <c r="KY777" i="94"/>
  <c r="IQ779" i="94"/>
  <c r="LC779" i="94"/>
  <c r="IR773" i="94"/>
  <c r="KV773" i="94"/>
  <c r="HQ774" i="94"/>
  <c r="ID773" i="94"/>
  <c r="IT773" i="94"/>
  <c r="KP773" i="94"/>
  <c r="FU774" i="94"/>
  <c r="IF777" i="94"/>
  <c r="IN777" i="94"/>
  <c r="IV777" i="94"/>
  <c r="JD777" i="94"/>
  <c r="JL777" i="94"/>
  <c r="JT777" i="94"/>
  <c r="KB777" i="94"/>
  <c r="KJ777" i="94"/>
  <c r="KR777" i="94"/>
  <c r="KZ777" i="94"/>
  <c r="IY779" i="94"/>
  <c r="AP782" i="94"/>
  <c r="M571" i="94"/>
  <c r="IZ773" i="94"/>
  <c r="JX773" i="94"/>
  <c r="KN773" i="94"/>
  <c r="LD773" i="94"/>
  <c r="FE774" i="94"/>
  <c r="IT777" i="94"/>
  <c r="JZ777" i="94"/>
  <c r="KX777" i="94"/>
  <c r="JJ773" i="94"/>
  <c r="JZ773" i="94"/>
  <c r="MO773" i="94"/>
  <c r="DI774" i="94"/>
  <c r="LM774" i="94"/>
  <c r="IE773" i="94"/>
  <c r="IM773" i="94"/>
  <c r="IU773" i="94"/>
  <c r="JC773" i="94"/>
  <c r="JK773" i="94"/>
  <c r="JS773" i="94"/>
  <c r="KA773" i="94"/>
  <c r="KI773" i="94"/>
  <c r="KQ773" i="94"/>
  <c r="KY773" i="94"/>
  <c r="MP773" i="94"/>
  <c r="BE774" i="94"/>
  <c r="DQ774" i="94"/>
  <c r="GC774" i="94"/>
  <c r="LU774" i="94"/>
  <c r="IG777" i="94"/>
  <c r="IO777" i="94"/>
  <c r="IW777" i="94"/>
  <c r="JE777" i="94"/>
  <c r="JM777" i="94"/>
  <c r="JU777" i="94"/>
  <c r="KC777" i="94"/>
  <c r="KK777" i="94"/>
  <c r="KS777" i="94"/>
  <c r="LA777" i="94"/>
  <c r="JG779" i="94"/>
  <c r="AX782" i="94"/>
  <c r="IL777" i="94"/>
  <c r="JR777" i="94"/>
  <c r="KP777" i="94"/>
  <c r="IL773" i="94"/>
  <c r="JB773" i="94"/>
  <c r="JR773" i="94"/>
  <c r="KH773" i="94"/>
  <c r="KX773" i="94"/>
  <c r="AW774" i="94"/>
  <c r="P478" i="94"/>
  <c r="V472" i="94"/>
  <c r="V483" i="94"/>
  <c r="V486" i="94" s="1"/>
  <c r="IF773" i="94"/>
  <c r="IN773" i="94"/>
  <c r="IV773" i="94"/>
  <c r="JD773" i="94"/>
  <c r="JL773" i="94"/>
  <c r="JT773" i="94"/>
  <c r="KB773" i="94"/>
  <c r="KJ773" i="94"/>
  <c r="KR773" i="94"/>
  <c r="KZ773" i="94"/>
  <c r="BM774" i="94"/>
  <c r="DY774" i="94"/>
  <c r="GK774" i="94"/>
  <c r="IH777" i="94"/>
  <c r="IP777" i="94"/>
  <c r="IX777" i="94"/>
  <c r="JF777" i="94"/>
  <c r="JN777" i="94"/>
  <c r="JV777" i="94"/>
  <c r="KD777" i="94"/>
  <c r="KL777" i="94"/>
  <c r="KT777" i="94"/>
  <c r="JO779" i="94"/>
  <c r="A570" i="94"/>
  <c r="A460" i="94"/>
  <c r="CC787" i="94"/>
  <c r="DI787" i="94"/>
  <c r="EV794" i="94"/>
  <c r="S556" i="94"/>
  <c r="V575" i="94"/>
  <c r="DX787" i="94"/>
  <c r="AP794" i="94"/>
  <c r="FT794" i="94"/>
  <c r="U461" i="94"/>
  <c r="BM787" i="94"/>
  <c r="CS787" i="94"/>
  <c r="AX794" i="94"/>
  <c r="D483" i="94"/>
  <c r="S522" i="94"/>
  <c r="V556" i="94"/>
  <c r="IC797" i="94"/>
  <c r="IB797" i="94"/>
  <c r="IA797" i="94"/>
  <c r="HZ797" i="94"/>
  <c r="HY797" i="94"/>
  <c r="HZ789" i="94"/>
  <c r="EF789" i="94"/>
  <c r="HY789" i="94"/>
  <c r="EE789" i="94"/>
  <c r="GE789" i="94"/>
  <c r="ED789" i="94"/>
  <c r="GD789" i="94"/>
  <c r="EC789" i="94"/>
  <c r="JS789" i="94"/>
  <c r="GC789" i="94"/>
  <c r="IC789" i="94"/>
  <c r="GB789" i="94"/>
  <c r="DW787" i="94"/>
  <c r="DO787" i="94"/>
  <c r="DG787" i="94"/>
  <c r="CY787" i="94"/>
  <c r="CQ787" i="94"/>
  <c r="CI787" i="94"/>
  <c r="CA787" i="94"/>
  <c r="BS787" i="94"/>
  <c r="BK787" i="94"/>
  <c r="FZ787" i="94"/>
  <c r="DV787" i="94"/>
  <c r="DN787" i="94"/>
  <c r="DF787" i="94"/>
  <c r="CX787" i="94"/>
  <c r="CP787" i="94"/>
  <c r="CH787" i="94"/>
  <c r="BZ787" i="94"/>
  <c r="BR787" i="94"/>
  <c r="FY787" i="94"/>
  <c r="DU787" i="94"/>
  <c r="DM787" i="94"/>
  <c r="DE787" i="94"/>
  <c r="CW787" i="94"/>
  <c r="CO787" i="94"/>
  <c r="CG787" i="94"/>
  <c r="BY787" i="94"/>
  <c r="BQ787" i="94"/>
  <c r="FX787" i="94"/>
  <c r="EB787" i="94"/>
  <c r="DT787" i="94"/>
  <c r="DL787" i="94"/>
  <c r="DD787" i="94"/>
  <c r="CV787" i="94"/>
  <c r="CN787" i="94"/>
  <c r="CF787" i="94"/>
  <c r="BX787" i="94"/>
  <c r="BP787" i="94"/>
  <c r="FW787" i="94"/>
  <c r="EA787" i="94"/>
  <c r="DS787" i="94"/>
  <c r="DK787" i="94"/>
  <c r="DC787" i="94"/>
  <c r="CU787" i="94"/>
  <c r="CM787" i="94"/>
  <c r="CE787" i="94"/>
  <c r="BW787" i="94"/>
  <c r="BO787" i="94"/>
  <c r="FV787" i="94"/>
  <c r="DZ787" i="94"/>
  <c r="DR787" i="94"/>
  <c r="DJ787" i="94"/>
  <c r="DB787" i="94"/>
  <c r="CT787" i="94"/>
  <c r="CL787" i="94"/>
  <c r="CD787" i="94"/>
  <c r="BV787" i="94"/>
  <c r="BN787" i="94"/>
  <c r="HY781" i="94"/>
  <c r="EE781" i="94"/>
  <c r="GE781" i="94"/>
  <c r="ED781" i="94"/>
  <c r="KH781" i="94"/>
  <c r="GD781" i="94"/>
  <c r="EC781" i="94"/>
  <c r="JB781" i="94"/>
  <c r="GC781" i="94"/>
  <c r="IC781" i="94"/>
  <c r="GB781" i="94"/>
  <c r="IB781" i="94"/>
  <c r="GA781" i="94"/>
  <c r="LK802" i="94"/>
  <c r="EY802" i="94"/>
  <c r="BB802" i="94"/>
  <c r="AI802" i="94"/>
  <c r="HL802" i="94"/>
  <c r="ER802" i="94"/>
  <c r="AZ802" i="94"/>
  <c r="AD802" i="94"/>
  <c r="GE802" i="94"/>
  <c r="EQ802" i="94"/>
  <c r="AY802" i="94"/>
  <c r="AB802" i="94"/>
  <c r="FP802" i="94"/>
  <c r="EJ802" i="94"/>
  <c r="AT802" i="94"/>
  <c r="AA802" i="94"/>
  <c r="FO802" i="94"/>
  <c r="EI802" i="94"/>
  <c r="AR802" i="94"/>
  <c r="FH802" i="94"/>
  <c r="BJ802" i="94"/>
  <c r="AQ802" i="94"/>
  <c r="MA802" i="94"/>
  <c r="FG802" i="94"/>
  <c r="BH802" i="94"/>
  <c r="AL802" i="94"/>
  <c r="GA800" i="94"/>
  <c r="ED800" i="94"/>
  <c r="FZ800" i="94"/>
  <c r="EC800" i="94"/>
  <c r="FY800" i="94"/>
  <c r="FX800" i="94"/>
  <c r="FV800" i="94"/>
  <c r="EG800" i="94"/>
  <c r="GD800" i="94"/>
  <c r="EF800" i="94"/>
  <c r="LL794" i="94"/>
  <c r="HR794" i="94"/>
  <c r="GG794" i="94"/>
  <c r="FS794" i="94"/>
  <c r="FK794" i="94"/>
  <c r="FC794" i="94"/>
  <c r="EU794" i="94"/>
  <c r="EM794" i="94"/>
  <c r="EE794" i="94"/>
  <c r="BE794" i="94"/>
  <c r="AW794" i="94"/>
  <c r="AO794" i="94"/>
  <c r="AG794" i="94"/>
  <c r="Y794" i="94"/>
  <c r="LK794" i="94"/>
  <c r="HM794" i="94"/>
  <c r="GE794" i="94"/>
  <c r="FR794" i="94"/>
  <c r="FJ794" i="94"/>
  <c r="FB794" i="94"/>
  <c r="ET794" i="94"/>
  <c r="EL794" i="94"/>
  <c r="ED794" i="94"/>
  <c r="BD794" i="94"/>
  <c r="AV794" i="94"/>
  <c r="AN794" i="94"/>
  <c r="AF794" i="94"/>
  <c r="X794" i="94"/>
  <c r="MC794" i="94"/>
  <c r="LJ794" i="94"/>
  <c r="HH794" i="94"/>
  <c r="GD794" i="94"/>
  <c r="FQ794" i="94"/>
  <c r="FI794" i="94"/>
  <c r="FA794" i="94"/>
  <c r="ES794" i="94"/>
  <c r="EK794" i="94"/>
  <c r="EC794" i="94"/>
  <c r="BC794" i="94"/>
  <c r="AU794" i="94"/>
  <c r="AM794" i="94"/>
  <c r="AE794" i="94"/>
  <c r="W794" i="94"/>
  <c r="LW794" i="94"/>
  <c r="LI794" i="94"/>
  <c r="HB794" i="94"/>
  <c r="GC794" i="94"/>
  <c r="FP794" i="94"/>
  <c r="FH794" i="94"/>
  <c r="EZ794" i="94"/>
  <c r="ER794" i="94"/>
  <c r="EJ794" i="94"/>
  <c r="BJ794" i="94"/>
  <c r="BB794" i="94"/>
  <c r="AT794" i="94"/>
  <c r="AL794" i="94"/>
  <c r="AD794" i="94"/>
  <c r="LR794" i="94"/>
  <c r="LH794" i="94"/>
  <c r="GX794" i="94"/>
  <c r="GB794" i="94"/>
  <c r="FO794" i="94"/>
  <c r="FG794" i="94"/>
  <c r="EY794" i="94"/>
  <c r="EQ794" i="94"/>
  <c r="EI794" i="94"/>
  <c r="BI794" i="94"/>
  <c r="BA794" i="94"/>
  <c r="AS794" i="94"/>
  <c r="AK794" i="94"/>
  <c r="AC794" i="94"/>
  <c r="LO794" i="94"/>
  <c r="LG794" i="94"/>
  <c r="GS794" i="94"/>
  <c r="GA794" i="94"/>
  <c r="FN794" i="94"/>
  <c r="FF794" i="94"/>
  <c r="EX794" i="94"/>
  <c r="EP794" i="94"/>
  <c r="EH794" i="94"/>
  <c r="BH794" i="94"/>
  <c r="AZ794" i="94"/>
  <c r="AR794" i="94"/>
  <c r="AJ794" i="94"/>
  <c r="AB794" i="94"/>
  <c r="LN794" i="94"/>
  <c r="LF794" i="94"/>
  <c r="GO794" i="94"/>
  <c r="FU794" i="94"/>
  <c r="FM794" i="94"/>
  <c r="FE794" i="94"/>
  <c r="EW794" i="94"/>
  <c r="EO794" i="94"/>
  <c r="EG794" i="94"/>
  <c r="BG794" i="94"/>
  <c r="AY794" i="94"/>
  <c r="AQ794" i="94"/>
  <c r="AI794" i="94"/>
  <c r="AA794" i="94"/>
  <c r="GB792" i="94"/>
  <c r="EF792" i="94"/>
  <c r="GA792" i="94"/>
  <c r="EE792" i="94"/>
  <c r="FZ792" i="94"/>
  <c r="ED792" i="94"/>
  <c r="FY792" i="94"/>
  <c r="EC792" i="94"/>
  <c r="FX792" i="94"/>
  <c r="GE792" i="94"/>
  <c r="FW792" i="94"/>
  <c r="LW786" i="94"/>
  <c r="LO786" i="94"/>
  <c r="LG786" i="94"/>
  <c r="HR786" i="94"/>
  <c r="HJ786" i="94"/>
  <c r="HB786" i="94"/>
  <c r="GT786" i="94"/>
  <c r="GL786" i="94"/>
  <c r="GD786" i="94"/>
  <c r="FQ786" i="94"/>
  <c r="FI786" i="94"/>
  <c r="FA786" i="94"/>
  <c r="ES786" i="94"/>
  <c r="EK786" i="94"/>
  <c r="EC786" i="94"/>
  <c r="BC786" i="94"/>
  <c r="AU786" i="94"/>
  <c r="AM786" i="94"/>
  <c r="AE786" i="94"/>
  <c r="W786" i="94"/>
  <c r="MD786" i="94"/>
  <c r="LV786" i="94"/>
  <c r="LN786" i="94"/>
  <c r="LF786" i="94"/>
  <c r="HQ786" i="94"/>
  <c r="HI786" i="94"/>
  <c r="HA786" i="94"/>
  <c r="GS786" i="94"/>
  <c r="GK786" i="94"/>
  <c r="GC786" i="94"/>
  <c r="FP786" i="94"/>
  <c r="FH786" i="94"/>
  <c r="EZ786" i="94"/>
  <c r="ER786" i="94"/>
  <c r="EJ786" i="94"/>
  <c r="BJ786" i="94"/>
  <c r="BB786" i="94"/>
  <c r="AT786" i="94"/>
  <c r="AL786" i="94"/>
  <c r="AD786" i="94"/>
  <c r="MC786" i="94"/>
  <c r="LU786" i="94"/>
  <c r="LM786" i="94"/>
  <c r="HX786" i="94"/>
  <c r="HP786" i="94"/>
  <c r="HH786" i="94"/>
  <c r="GZ786" i="94"/>
  <c r="GR786" i="94"/>
  <c r="GJ786" i="94"/>
  <c r="GB786" i="94"/>
  <c r="FO786" i="94"/>
  <c r="FG786" i="94"/>
  <c r="EY786" i="94"/>
  <c r="EQ786" i="94"/>
  <c r="EI786" i="94"/>
  <c r="BI786" i="94"/>
  <c r="BA786" i="94"/>
  <c r="AS786" i="94"/>
  <c r="AK786" i="94"/>
  <c r="AC786" i="94"/>
  <c r="MB786" i="94"/>
  <c r="LT786" i="94"/>
  <c r="LL786" i="94"/>
  <c r="HW786" i="94"/>
  <c r="HO786" i="94"/>
  <c r="HG786" i="94"/>
  <c r="GY786" i="94"/>
  <c r="GQ786" i="94"/>
  <c r="GI786" i="94"/>
  <c r="GA786" i="94"/>
  <c r="FN786" i="94"/>
  <c r="FF786" i="94"/>
  <c r="EX786" i="94"/>
  <c r="EP786" i="94"/>
  <c r="EH786" i="94"/>
  <c r="BH786" i="94"/>
  <c r="AZ786" i="94"/>
  <c r="AR786" i="94"/>
  <c r="AJ786" i="94"/>
  <c r="AB786" i="94"/>
  <c r="MA786" i="94"/>
  <c r="LS786" i="94"/>
  <c r="LK786" i="94"/>
  <c r="HV786" i="94"/>
  <c r="HN786" i="94"/>
  <c r="HF786" i="94"/>
  <c r="GX786" i="94"/>
  <c r="GP786" i="94"/>
  <c r="GH786" i="94"/>
  <c r="FU786" i="94"/>
  <c r="FM786" i="94"/>
  <c r="FE786" i="94"/>
  <c r="EW786" i="94"/>
  <c r="EO786" i="94"/>
  <c r="EG786" i="94"/>
  <c r="BG786" i="94"/>
  <c r="AY786" i="94"/>
  <c r="AQ786" i="94"/>
  <c r="AI786" i="94"/>
  <c r="AA786" i="94"/>
  <c r="LZ786" i="94"/>
  <c r="LR786" i="94"/>
  <c r="LJ786" i="94"/>
  <c r="HU786" i="94"/>
  <c r="HM786" i="94"/>
  <c r="HE786" i="94"/>
  <c r="GW786" i="94"/>
  <c r="GO786" i="94"/>
  <c r="GG786" i="94"/>
  <c r="FT786" i="94"/>
  <c r="FL786" i="94"/>
  <c r="FD786" i="94"/>
  <c r="EV786" i="94"/>
  <c r="EN786" i="94"/>
  <c r="EF786" i="94"/>
  <c r="BF786" i="94"/>
  <c r="AX786" i="94"/>
  <c r="AP786" i="94"/>
  <c r="AH786" i="94"/>
  <c r="Z786" i="94"/>
  <c r="GD784" i="94"/>
  <c r="FV784" i="94"/>
  <c r="GC784" i="94"/>
  <c r="EG784" i="94"/>
  <c r="GB784" i="94"/>
  <c r="EF784" i="94"/>
  <c r="GA784" i="94"/>
  <c r="EE784" i="94"/>
  <c r="FZ784" i="94"/>
  <c r="ED784" i="94"/>
  <c r="FY784" i="94"/>
  <c r="EC784" i="94"/>
  <c r="LQ782" i="94"/>
  <c r="FP782" i="94"/>
  <c r="CU782" i="94"/>
  <c r="AH782" i="94"/>
  <c r="LG782" i="94"/>
  <c r="FG782" i="94"/>
  <c r="CL782" i="94"/>
  <c r="Z782" i="94"/>
  <c r="HS782" i="94"/>
  <c r="EX782" i="94"/>
  <c r="CD782" i="94"/>
  <c r="HJ782" i="94"/>
  <c r="EO782" i="94"/>
  <c r="BV782" i="94"/>
  <c r="HA782" i="94"/>
  <c r="EF782" i="94"/>
  <c r="BN782" i="94"/>
  <c r="GR782" i="94"/>
  <c r="DW782" i="94"/>
  <c r="BF782" i="94"/>
  <c r="LH782" i="94"/>
  <c r="ES773" i="94"/>
  <c r="GO783" i="94"/>
  <c r="CW773" i="94"/>
  <c r="LX777" i="94"/>
  <c r="HT773" i="94"/>
  <c r="EX779" i="94"/>
  <c r="FL795" i="94"/>
  <c r="EA793" i="94"/>
  <c r="LT802" i="94"/>
  <c r="MD794" i="94"/>
  <c r="J563" i="94"/>
  <c r="J483" i="94"/>
  <c r="J472" i="94"/>
  <c r="S468" i="94"/>
  <c r="LZ774" i="94"/>
  <c r="Z774" i="94"/>
  <c r="BF774" i="94"/>
  <c r="BV774" i="94"/>
  <c r="CT774" i="94"/>
  <c r="DB774" i="94"/>
  <c r="DJ774" i="94"/>
  <c r="DR774" i="94"/>
  <c r="DZ774" i="94"/>
  <c r="EX774" i="94"/>
  <c r="FF774" i="94"/>
  <c r="FN774" i="94"/>
  <c r="FV774" i="94"/>
  <c r="GD774" i="94"/>
  <c r="GL774" i="94"/>
  <c r="GT774" i="94"/>
  <c r="HB774" i="94"/>
  <c r="HJ774" i="94"/>
  <c r="HR774" i="94"/>
  <c r="LF774" i="94"/>
  <c r="LN774" i="94"/>
  <c r="LV774" i="94"/>
  <c r="MD774" i="94"/>
  <c r="MB774" i="94"/>
  <c r="AH774" i="94"/>
  <c r="BN774" i="94"/>
  <c r="CL774" i="94"/>
  <c r="EP774" i="94"/>
  <c r="AC774" i="94"/>
  <c r="AK774" i="94"/>
  <c r="AS774" i="94"/>
  <c r="BA774" i="94"/>
  <c r="BI774" i="94"/>
  <c r="BQ774" i="94"/>
  <c r="BY774" i="94"/>
  <c r="CG774" i="94"/>
  <c r="CO774" i="94"/>
  <c r="CW774" i="94"/>
  <c r="DE774" i="94"/>
  <c r="DM774" i="94"/>
  <c r="DU774" i="94"/>
  <c r="EC774" i="94"/>
  <c r="EK774" i="94"/>
  <c r="ES774" i="94"/>
  <c r="FA774" i="94"/>
  <c r="FI774" i="94"/>
  <c r="FQ774" i="94"/>
  <c r="FY774" i="94"/>
  <c r="GG774" i="94"/>
  <c r="GO774" i="94"/>
  <c r="GW774" i="94"/>
  <c r="HE774" i="94"/>
  <c r="HM774" i="94"/>
  <c r="HU774" i="94"/>
  <c r="LI774" i="94"/>
  <c r="LQ774" i="94"/>
  <c r="LY774" i="94"/>
  <c r="AP774" i="94"/>
  <c r="AX774" i="94"/>
  <c r="CD774" i="94"/>
  <c r="EH774" i="94"/>
  <c r="AD774" i="94"/>
  <c r="AL774" i="94"/>
  <c r="AT774" i="94"/>
  <c r="BB774" i="94"/>
  <c r="BJ774" i="94"/>
  <c r="BR774" i="94"/>
  <c r="BZ774" i="94"/>
  <c r="CH774" i="94"/>
  <c r="CP774" i="94"/>
  <c r="CX774" i="94"/>
  <c r="DF774" i="94"/>
  <c r="DN774" i="94"/>
  <c r="DV774" i="94"/>
  <c r="ED774" i="94"/>
  <c r="EL774" i="94"/>
  <c r="ET774" i="94"/>
  <c r="FB774" i="94"/>
  <c r="FJ774" i="94"/>
  <c r="FR774" i="94"/>
  <c r="FZ774" i="94"/>
  <c r="GH774" i="94"/>
  <c r="GP774" i="94"/>
  <c r="GX774" i="94"/>
  <c r="HF774" i="94"/>
  <c r="HN774" i="94"/>
  <c r="HV774" i="94"/>
  <c r="LJ774" i="94"/>
  <c r="LR774" i="94"/>
  <c r="MO781" i="94"/>
  <c r="MS775" i="94"/>
  <c r="W774" i="94"/>
  <c r="AA774" i="94"/>
  <c r="AE774" i="94"/>
  <c r="AI774" i="94"/>
  <c r="AM774" i="94"/>
  <c r="AQ774" i="94"/>
  <c r="AU774" i="94"/>
  <c r="AY774" i="94"/>
  <c r="BC774" i="94"/>
  <c r="BG774" i="94"/>
  <c r="BK774" i="94"/>
  <c r="BO774" i="94"/>
  <c r="BS774" i="94"/>
  <c r="BW774" i="94"/>
  <c r="CA774" i="94"/>
  <c r="CE774" i="94"/>
  <c r="CI774" i="94"/>
  <c r="CM774" i="94"/>
  <c r="CQ774" i="94"/>
  <c r="CU774" i="94"/>
  <c r="CY774" i="94"/>
  <c r="DC774" i="94"/>
  <c r="DG774" i="94"/>
  <c r="DK774" i="94"/>
  <c r="DO774" i="94"/>
  <c r="DS774" i="94"/>
  <c r="DW774" i="94"/>
  <c r="EA774" i="94"/>
  <c r="EE774" i="94"/>
  <c r="EI774" i="94"/>
  <c r="EM774" i="94"/>
  <c r="EQ774" i="94"/>
  <c r="EU774" i="94"/>
  <c r="EY774" i="94"/>
  <c r="FC774" i="94"/>
  <c r="FG774" i="94"/>
  <c r="FK774" i="94"/>
  <c r="FO774" i="94"/>
  <c r="FS774" i="94"/>
  <c r="FW774" i="94"/>
  <c r="GA774" i="94"/>
  <c r="GE774" i="94"/>
  <c r="GI774" i="94"/>
  <c r="GM774" i="94"/>
  <c r="GQ774" i="94"/>
  <c r="GU774" i="94"/>
  <c r="GY774" i="94"/>
  <c r="HC774" i="94"/>
  <c r="HG774" i="94"/>
  <c r="HK774" i="94"/>
  <c r="HO774" i="94"/>
  <c r="HS774" i="94"/>
  <c r="HW774" i="94"/>
  <c r="LG774" i="94"/>
  <c r="LK774" i="94"/>
  <c r="LO774" i="94"/>
  <c r="LS774" i="94"/>
  <c r="LW774" i="94"/>
  <c r="MA774" i="94"/>
  <c r="X774" i="94"/>
  <c r="AB774" i="94"/>
  <c r="AF774" i="94"/>
  <c r="AJ774" i="94"/>
  <c r="AN774" i="94"/>
  <c r="AR774" i="94"/>
  <c r="AV774" i="94"/>
  <c r="AZ774" i="94"/>
  <c r="BD774" i="94"/>
  <c r="BH774" i="94"/>
  <c r="BL774" i="94"/>
  <c r="BP774" i="94"/>
  <c r="BT774" i="94"/>
  <c r="BX774" i="94"/>
  <c r="CB774" i="94"/>
  <c r="CF774" i="94"/>
  <c r="CJ774" i="94"/>
  <c r="CN774" i="94"/>
  <c r="CR774" i="94"/>
  <c r="CV774" i="94"/>
  <c r="CZ774" i="94"/>
  <c r="DD774" i="94"/>
  <c r="DH774" i="94"/>
  <c r="DL774" i="94"/>
  <c r="DP774" i="94"/>
  <c r="DT774" i="94"/>
  <c r="DX774" i="94"/>
  <c r="EB774" i="94"/>
  <c r="EF774" i="94"/>
  <c r="EJ774" i="94"/>
  <c r="EN774" i="94"/>
  <c r="ER774" i="94"/>
  <c r="EV774" i="94"/>
  <c r="EZ774" i="94"/>
  <c r="FD774" i="94"/>
  <c r="FH774" i="94"/>
  <c r="FL774" i="94"/>
  <c r="FP774" i="94"/>
  <c r="FT774" i="94"/>
  <c r="FX774" i="94"/>
  <c r="GB774" i="94"/>
  <c r="GF774" i="94"/>
  <c r="GJ774" i="94"/>
  <c r="GN774" i="94"/>
  <c r="GR774" i="94"/>
  <c r="GV774" i="94"/>
  <c r="GZ774" i="94"/>
  <c r="HD774" i="94"/>
  <c r="HH774" i="94"/>
  <c r="HL774" i="94"/>
  <c r="HP774" i="94"/>
  <c r="HT774" i="94"/>
  <c r="HX774" i="94"/>
  <c r="LH774" i="94"/>
  <c r="LL774" i="94"/>
  <c r="LP774" i="94"/>
  <c r="LT774" i="94"/>
  <c r="LX774" i="94"/>
  <c r="ID781" i="94"/>
  <c r="JJ781" i="94"/>
  <c r="KP781" i="94"/>
  <c r="IL781" i="94"/>
  <c r="JR781" i="94"/>
  <c r="KX781" i="94"/>
  <c r="IT781" i="94"/>
  <c r="JZ781"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2" i="94" l="1"/>
  <c r="M577" i="94"/>
  <c r="M594" i="94" s="1"/>
  <c r="M596" i="94" s="1"/>
  <c r="M598" i="94" s="1"/>
  <c r="E481" i="94"/>
  <c r="B489" i="94"/>
  <c r="P1734" i="94"/>
  <c r="P1740" i="94"/>
  <c r="P1719" i="94"/>
  <c r="E1660" i="94"/>
  <c r="K1883" i="94"/>
  <c r="L1883" i="94"/>
  <c r="P1837" i="94"/>
  <c r="K1879" i="94"/>
  <c r="E1661" i="94"/>
  <c r="S577" i="94"/>
  <c r="J577" i="94"/>
  <c r="J594" i="94" s="1"/>
  <c r="J596" i="94" s="1"/>
  <c r="J598" i="94" s="1"/>
  <c r="G577" i="94"/>
  <c r="E480" i="94"/>
  <c r="E483" i="94" s="1"/>
  <c r="G479" i="94" s="1"/>
  <c r="P1968" i="94"/>
  <c r="P1964"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P1954" i="94" l="1"/>
  <c r="N904" i="94"/>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776" i="94"/>
  <c r="K776" i="94" s="1"/>
  <c r="L776" i="94" s="1"/>
  <c r="I775" i="94"/>
  <c r="K775" i="94" s="1"/>
  <c r="L775" i="94" s="1"/>
  <c r="I774" i="94"/>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5" i="94" l="1"/>
  <c r="I1105" i="94"/>
  <c r="J1073" i="94"/>
  <c r="B1073" i="94"/>
  <c r="B1135" i="94"/>
  <c r="H1105" i="94"/>
  <c r="I1073" i="94"/>
  <c r="G1105" i="94"/>
  <c r="H1073" i="94"/>
  <c r="F1105" i="94"/>
  <c r="G1073" i="94"/>
  <c r="E1105" i="94"/>
  <c r="F1073" i="94"/>
  <c r="F1135" i="94"/>
  <c r="D1105" i="94"/>
  <c r="E1073" i="94"/>
  <c r="E1135" i="94"/>
  <c r="K1105" i="94"/>
  <c r="C1105" i="94"/>
  <c r="D1073" i="94"/>
  <c r="K1073" i="94"/>
  <c r="J1105" i="94"/>
  <c r="C1073" i="94"/>
  <c r="B1105" i="94"/>
  <c r="D1135" i="94"/>
  <c r="P416" i="94"/>
  <c r="F1136" i="94"/>
  <c r="G1106" i="94"/>
  <c r="G1074" i="94"/>
  <c r="E1136" i="94"/>
  <c r="F1106" i="94"/>
  <c r="F1074" i="94"/>
  <c r="D1136" i="94"/>
  <c r="E1106" i="94"/>
  <c r="E1074" i="94"/>
  <c r="C1136" i="94"/>
  <c r="D1106" i="94"/>
  <c r="D1074" i="94"/>
  <c r="B1136" i="94"/>
  <c r="K1106" i="94"/>
  <c r="C1106" i="94"/>
  <c r="K1074" i="94"/>
  <c r="C1074" i="94"/>
  <c r="J1106" i="94"/>
  <c r="B1106" i="94"/>
  <c r="J1074" i="94"/>
  <c r="B1074" i="94"/>
  <c r="I1106" i="94"/>
  <c r="I1074" i="94"/>
  <c r="H1106" i="94"/>
  <c r="H1074" i="94"/>
  <c r="P417" i="94"/>
  <c r="E1107" i="94"/>
  <c r="D1075" i="94"/>
  <c r="D1107" i="94"/>
  <c r="K1075" i="94"/>
  <c r="C1075" i="94"/>
  <c r="K1107" i="94"/>
  <c r="C1107" i="94"/>
  <c r="J1075" i="94"/>
  <c r="B1075" i="94"/>
  <c r="F1137" i="94"/>
  <c r="J1107" i="94"/>
  <c r="B1107" i="94"/>
  <c r="I1075" i="94"/>
  <c r="E1137" i="94"/>
  <c r="I1107" i="94"/>
  <c r="H1075" i="94"/>
  <c r="D1137" i="94"/>
  <c r="H1107" i="94"/>
  <c r="G1075" i="94"/>
  <c r="C1137" i="94"/>
  <c r="G1107" i="94"/>
  <c r="F1075" i="94"/>
  <c r="F1107" i="94"/>
  <c r="E1075" i="94"/>
  <c r="B1137" i="94"/>
  <c r="P418" i="94"/>
  <c r="D1134" i="94"/>
  <c r="H1104" i="94"/>
  <c r="D1104" i="94"/>
  <c r="H1072" i="94"/>
  <c r="D1072" i="94"/>
  <c r="C1134" i="94"/>
  <c r="K1104" i="94"/>
  <c r="G1104" i="94"/>
  <c r="C1104" i="94"/>
  <c r="K1072" i="94"/>
  <c r="G1072" i="94"/>
  <c r="C1072" i="94"/>
  <c r="F1134" i="94"/>
  <c r="B1134" i="94"/>
  <c r="J1104" i="94"/>
  <c r="F1104" i="94"/>
  <c r="B1104" i="94"/>
  <c r="J1072" i="94"/>
  <c r="F1072" i="94"/>
  <c r="B1072" i="94"/>
  <c r="E1134" i="94"/>
  <c r="I1104" i="94"/>
  <c r="E1104" i="94"/>
  <c r="I1072" i="94"/>
  <c r="E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P1200" i="94"/>
  <c r="T1823" i="94"/>
  <c r="T1821" i="94"/>
  <c r="A628" i="94"/>
  <c r="I713"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A565" i="93"/>
  <c r="P554" i="93"/>
  <c r="A512" i="93"/>
  <c r="C99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5" i="93" l="1"/>
  <c r="I1829" i="94"/>
  <c r="I1734" i="93"/>
  <c r="I1828"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N88" i="66" l="1"/>
  <c r="L1216" i="94"/>
  <c r="L1202" i="94"/>
  <c r="Q768" i="93"/>
  <c r="Q773" i="94"/>
  <c r="Q772" i="93"/>
  <c r="Q777"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17" i="94"/>
  <c r="L1203" i="94"/>
  <c r="C55" i="84"/>
  <c r="I55" i="84" s="1"/>
  <c r="B1032" i="94"/>
  <c r="P77" i="94"/>
  <c r="O2074" i="94"/>
  <c r="Q773" i="93"/>
  <c r="Q778"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199" i="94"/>
  <c r="L1213" i="94"/>
  <c r="L1214" i="94"/>
  <c r="L1200" i="94"/>
  <c r="L1215" i="94"/>
  <c r="L1201" i="94"/>
  <c r="L409" i="94"/>
  <c r="L410" i="94" s="1"/>
  <c r="Q779" i="93"/>
  <c r="Q784" i="94"/>
  <c r="Q778" i="93"/>
  <c r="Q783" i="94"/>
  <c r="Q777" i="93"/>
  <c r="Q782" i="94"/>
  <c r="Q776" i="93"/>
  <c r="Q781" i="94"/>
  <c r="Q775" i="93"/>
  <c r="Q780" i="94"/>
  <c r="Q774" i="93"/>
  <c r="Q779" i="94"/>
  <c r="Q771" i="93"/>
  <c r="Q776" i="94"/>
  <c r="I21" i="75"/>
  <c r="I783" i="94" s="1"/>
  <c r="K783" i="94" s="1"/>
  <c r="L783" i="94" s="1"/>
  <c r="I18" i="75"/>
  <c r="I780" i="94" s="1"/>
  <c r="K780" i="94" s="1"/>
  <c r="L780" i="94" s="1"/>
  <c r="I19" i="75"/>
  <c r="I781" i="94" s="1"/>
  <c r="K781" i="94" s="1"/>
  <c r="L781" i="94" s="1"/>
  <c r="I22" i="75"/>
  <c r="I784" i="94" s="1"/>
  <c r="K784" i="94" s="1"/>
  <c r="L784" i="94" s="1"/>
  <c r="I17" i="75"/>
  <c r="I779" i="94" s="1"/>
  <c r="K779" i="94" s="1"/>
  <c r="L779" i="94" s="1"/>
  <c r="I20" i="75"/>
  <c r="I782" i="94" s="1"/>
  <c r="K782" i="94" s="1"/>
  <c r="L782" i="94" s="1"/>
  <c r="Q767" i="93"/>
  <c r="Q772" i="94"/>
  <c r="R10" i="75"/>
  <c r="R772" i="94" s="1"/>
  <c r="P927" i="93"/>
  <c r="N928" i="93" s="1"/>
  <c r="B1036" i="94"/>
  <c r="D13" i="74"/>
  <c r="E13" i="74" s="1"/>
  <c r="C23" i="74"/>
  <c r="C1038" i="94" s="1"/>
  <c r="N66" i="93"/>
  <c r="N77" i="94"/>
  <c r="U166" i="72"/>
  <c r="P316" i="72"/>
  <c r="P1857" i="93" s="1"/>
  <c r="O320" i="72"/>
  <c r="O316" i="72"/>
  <c r="I781" i="93"/>
  <c r="K781" i="93" s="1"/>
  <c r="L781" i="93" s="1"/>
  <c r="R794"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Q770" i="93"/>
  <c r="K61" i="84"/>
  <c r="E61" i="84"/>
  <c r="G61" i="84"/>
  <c r="I61"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E55" i="84" l="1"/>
  <c r="G55" i="84"/>
  <c r="K55" i="84"/>
  <c r="D23" i="74"/>
  <c r="D1038" i="94" s="1"/>
  <c r="D21" i="74"/>
  <c r="D1036" i="94" s="1"/>
  <c r="E23" i="74"/>
  <c r="E1038" i="94" s="1"/>
  <c r="E21" i="74"/>
  <c r="E1036" i="94" s="1"/>
  <c r="B40" i="74"/>
  <c r="B1055" i="94" s="1"/>
  <c r="B1041" i="94"/>
  <c r="J2055" i="94"/>
  <c r="J2056" i="94" s="1"/>
  <c r="G1870" i="94"/>
  <c r="P1203" i="94"/>
  <c r="I436" i="94"/>
  <c r="B39" i="74"/>
  <c r="B993" i="93" s="1"/>
  <c r="B1040" i="94"/>
  <c r="I51" i="93"/>
  <c r="I63" i="94"/>
  <c r="N51" i="93"/>
  <c r="N63" i="94"/>
  <c r="T1822" i="94"/>
  <c r="O768" i="94"/>
  <c r="M768" i="94"/>
  <c r="O63" i="94"/>
  <c r="O1634" i="93"/>
  <c r="O1734" i="94"/>
  <c r="O1638" i="93"/>
  <c r="O1740" i="94"/>
  <c r="O1857" i="93"/>
  <c r="O1964" i="94"/>
  <c r="D30" i="74"/>
  <c r="D1045" i="94" s="1"/>
  <c r="C1045" i="94"/>
  <c r="L810" i="94"/>
  <c r="L811" i="94" s="1"/>
  <c r="O1861" i="93"/>
  <c r="O1968" i="94"/>
  <c r="N929" i="93"/>
  <c r="P932" i="93"/>
  <c r="O933" i="93" s="1"/>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G68" i="84"/>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I67" i="66"/>
  <c r="I90" i="94"/>
  <c r="P149" i="75"/>
  <c r="H89" i="94"/>
  <c r="D53" i="82"/>
  <c r="B994" i="93"/>
  <c r="J1776" i="93"/>
  <c r="J1870" i="94"/>
  <c r="C11" i="86"/>
  <c r="B996" i="93"/>
  <c r="B1057" i="94"/>
  <c r="F23" i="74"/>
  <c r="F1038" i="94" s="1"/>
  <c r="F21" i="74"/>
  <c r="F1036" i="94" s="1"/>
  <c r="P427" i="94"/>
  <c r="P428" i="94"/>
  <c r="I437" i="94"/>
  <c r="C10" i="86"/>
  <c r="B1054" i="94"/>
  <c r="T1825" i="94"/>
  <c r="P990" i="94"/>
  <c r="K63" i="94"/>
  <c r="R14" i="75"/>
  <c r="R18" i="75"/>
  <c r="R17" i="75"/>
  <c r="R12" i="75"/>
  <c r="R13" i="75"/>
  <c r="G1153" i="93"/>
  <c r="O1719" i="94"/>
  <c r="G1202" i="94"/>
  <c r="G1223" i="94"/>
  <c r="G1221" i="94"/>
  <c r="G1217" i="94"/>
  <c r="G1216" i="94"/>
  <c r="I1216" i="94" s="1"/>
  <c r="G1214" i="94"/>
  <c r="I1214" i="94" s="1"/>
  <c r="G1213" i="94"/>
  <c r="G1209" i="94"/>
  <c r="G1207" i="94"/>
  <c r="G1200" i="94"/>
  <c r="G1203" i="94"/>
  <c r="G1201" i="94"/>
  <c r="G1224" i="94"/>
  <c r="G1222" i="94"/>
  <c r="G1220" i="94"/>
  <c r="G1215" i="94"/>
  <c r="I1215" i="94" s="1"/>
  <c r="G1210" i="94"/>
  <c r="G1208" i="94"/>
  <c r="G1206" i="94"/>
  <c r="G1199" i="94"/>
  <c r="E68" i="8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H1215" i="94"/>
  <c r="N1220" i="94"/>
  <c r="M1220" i="94"/>
  <c r="K1225" i="94"/>
  <c r="I1222" i="94"/>
  <c r="H1222" i="94"/>
  <c r="F1211" i="94"/>
  <c r="H1206" i="94"/>
  <c r="I1206" i="94"/>
  <c r="H1214" i="94"/>
  <c r="H1203" i="94"/>
  <c r="I1203" i="94"/>
  <c r="N1221" i="94"/>
  <c r="M1221" i="94"/>
  <c r="H1207" i="94"/>
  <c r="I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66" i="66" l="1"/>
  <c r="P89" i="94"/>
  <c r="P151" i="75"/>
  <c r="H91" i="94"/>
  <c r="N1159" i="93"/>
  <c r="G23" i="74"/>
  <c r="G1038" i="94" s="1"/>
  <c r="G21" i="74"/>
  <c r="G1036" i="94" s="1"/>
  <c r="C996" i="93"/>
  <c r="C1057" i="94"/>
  <c r="M988" i="94"/>
  <c r="P429" i="94"/>
  <c r="R779" i="94"/>
  <c r="R774" i="93"/>
  <c r="R780" i="94"/>
  <c r="R775" i="93"/>
  <c r="R775" i="94"/>
  <c r="R770" i="93"/>
  <c r="R776" i="94"/>
  <c r="R771" i="93"/>
  <c r="R774" i="94"/>
  <c r="R769" i="93"/>
  <c r="I56" i="73"/>
  <c r="I58" i="73"/>
  <c r="I57" i="73"/>
  <c r="N1144" i="93"/>
  <c r="N1142" i="93"/>
  <c r="N1147" i="93" s="1"/>
  <c r="N1160" i="93"/>
  <c r="I1149" i="93"/>
  <c r="I1154" i="93" s="1"/>
  <c r="N1152" i="93"/>
  <c r="N1139" i="93"/>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B992" i="93" l="1"/>
  <c r="E996" i="93"/>
  <c r="E1057" i="94"/>
  <c r="I23" i="74"/>
  <c r="I1038" i="94" s="1"/>
  <c r="I21" i="74"/>
  <c r="I1036" i="94" s="1"/>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4" i="75" l="1"/>
  <c r="I836" i="94" s="1"/>
  <c r="O836" i="94"/>
  <c r="P836" i="94" s="1"/>
  <c r="I77" i="75"/>
  <c r="I839" i="94" s="1"/>
  <c r="O839" i="94"/>
  <c r="P839" i="94" s="1"/>
  <c r="I75" i="75"/>
  <c r="I837" i="94" s="1"/>
  <c r="O837" i="94"/>
  <c r="P837" i="94" s="1"/>
  <c r="I71" i="75"/>
  <c r="I833" i="94" s="1"/>
  <c r="O833" i="94"/>
  <c r="P833" i="94" s="1"/>
  <c r="F996" i="93"/>
  <c r="F1057" i="94"/>
  <c r="J23" i="74"/>
  <c r="J1038" i="94" s="1"/>
  <c r="J21" i="74"/>
  <c r="J1036" i="94" s="1"/>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J607" i="94" l="1"/>
  <c r="P1221" i="94"/>
  <c r="I48" i="75"/>
  <c r="I49" i="75"/>
  <c r="D38" i="74"/>
  <c r="D1053" i="94" s="1"/>
  <c r="K23" i="74"/>
  <c r="K1038" i="94" s="1"/>
  <c r="K21" i="74"/>
  <c r="K1036" i="94" s="1"/>
  <c r="G996" i="93"/>
  <c r="G1057" i="94"/>
  <c r="D19" i="74"/>
  <c r="D1034" i="94" s="1"/>
  <c r="D1039" i="94" s="1"/>
  <c r="C38" i="74"/>
  <c r="C1053" i="94" s="1"/>
  <c r="G38" i="74"/>
  <c r="G1053" i="94" s="1"/>
  <c r="H38" i="74"/>
  <c r="H1053" i="94" s="1"/>
  <c r="F38" i="74"/>
  <c r="F1053" i="94" s="1"/>
  <c r="E38" i="74"/>
  <c r="E1053" i="94" s="1"/>
  <c r="C19" i="74"/>
  <c r="C24" i="74" s="1"/>
  <c r="C44" i="82" s="1"/>
  <c r="C51" i="82" s="1"/>
  <c r="G19" i="74"/>
  <c r="G1034" i="94" s="1"/>
  <c r="G1039" i="94" s="1"/>
  <c r="E19" i="74"/>
  <c r="E1034" i="94" s="1"/>
  <c r="E1039" i="94" s="1"/>
  <c r="F19" i="74"/>
  <c r="F24" i="74" s="1"/>
  <c r="F44" i="82" s="1"/>
  <c r="F51" i="82" s="1"/>
  <c r="H19" i="74"/>
  <c r="H1034" i="94" s="1"/>
  <c r="H1039" i="94" s="1"/>
  <c r="O2081" i="94"/>
  <c r="O2082" i="94" s="1"/>
  <c r="O2075" i="94"/>
  <c r="O2076" i="94" s="1"/>
  <c r="N1625" i="94"/>
  <c r="O1385" i="94"/>
  <c r="M1467" i="94"/>
  <c r="L1467" i="94" s="1"/>
  <c r="M1464" i="94"/>
  <c r="L1464" i="94" s="1"/>
  <c r="E492" i="94"/>
  <c r="D579" i="94"/>
  <c r="F569" i="94"/>
  <c r="E523" i="94"/>
  <c r="J488" i="94"/>
  <c r="N1628" i="94"/>
  <c r="O1628" i="94" s="1"/>
  <c r="G24" i="74"/>
  <c r="G44" i="82" s="1"/>
  <c r="G51" i="82" s="1"/>
  <c r="P2099" i="94"/>
  <c r="P1654" i="94"/>
  <c r="B35" i="74"/>
  <c r="B1050" i="94" s="1"/>
  <c r="B1034" i="94"/>
  <c r="B1039" i="94" s="1"/>
  <c r="B24" i="74"/>
  <c r="B44" i="82" s="1"/>
  <c r="B51" i="82" s="1"/>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B33" i="74" l="1"/>
  <c r="B1048" i="94" s="1"/>
  <c r="B37" i="74"/>
  <c r="B1052" i="94" s="1"/>
  <c r="B55" i="74"/>
  <c r="B65" i="82" s="1"/>
  <c r="B53" i="74"/>
  <c r="B1068" i="94" s="1"/>
  <c r="H996" i="93"/>
  <c r="H1057" i="94"/>
  <c r="C33" i="74"/>
  <c r="C1048" i="94" s="1"/>
  <c r="F1034" i="94"/>
  <c r="F1039" i="94" s="1"/>
  <c r="D24" i="74"/>
  <c r="D44" i="82" s="1"/>
  <c r="D46" i="82" s="1"/>
  <c r="G33" i="74"/>
  <c r="G1048" i="94" s="1"/>
  <c r="C1034" i="94"/>
  <c r="C1039" i="94" s="1"/>
  <c r="C37" i="74"/>
  <c r="C1052" i="94" s="1"/>
  <c r="G37" i="74"/>
  <c r="G1052" i="94" s="1"/>
  <c r="F37" i="74"/>
  <c r="F1052" i="94" s="1"/>
  <c r="F33" i="74"/>
  <c r="F1048"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E24" i="74"/>
  <c r="H24" i="74"/>
  <c r="I1034" i="94"/>
  <c r="I1039" i="94" s="1"/>
  <c r="I24" i="74"/>
  <c r="J19" i="74"/>
  <c r="J1031" i="94"/>
  <c r="K1628" i="94"/>
  <c r="N1627" i="94"/>
  <c r="E33" i="86"/>
  <c r="K1037" i="94"/>
  <c r="J603" i="94"/>
  <c r="J599" i="93"/>
  <c r="G598" i="93" s="1"/>
  <c r="J608" i="94"/>
  <c r="P293" i="72"/>
  <c r="O293" i="72"/>
  <c r="O1941" i="94" s="1"/>
  <c r="K470" i="73"/>
  <c r="N469" i="73"/>
  <c r="B46" i="82"/>
  <c r="J34" i="74"/>
  <c r="J1049" i="94" s="1"/>
  <c r="J35" i="74"/>
  <c r="J1050" i="94" s="1"/>
  <c r="J38" i="74"/>
  <c r="J1053" i="94" s="1"/>
  <c r="I42" i="74"/>
  <c r="H995" i="93"/>
  <c r="I41" i="74"/>
  <c r="I1056" i="94" s="1"/>
  <c r="I12" i="86"/>
  <c r="I994" i="93"/>
  <c r="J40" i="74"/>
  <c r="J1055" i="94" s="1"/>
  <c r="C31" i="86"/>
  <c r="I993" i="93"/>
  <c r="J39" i="74"/>
  <c r="J1054" i="94" s="1"/>
  <c r="C30" i="86"/>
  <c r="K72" i="84"/>
  <c r="I76" i="84"/>
  <c r="I73" i="84" s="1"/>
  <c r="E72" i="84"/>
  <c r="C46" i="82"/>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B62" i="74"/>
  <c r="K16" i="74"/>
  <c r="C45" i="74"/>
  <c r="B52" i="74"/>
  <c r="B1067" i="94" s="1"/>
  <c r="B54" i="74"/>
  <c r="B47" i="74"/>
  <c r="B1062" i="94" s="1"/>
  <c r="B46" i="74"/>
  <c r="B1061" i="94" s="1"/>
  <c r="C55" i="74" l="1"/>
  <c r="C65" i="82" s="1"/>
  <c r="C53" i="74"/>
  <c r="C1068" i="94" s="1"/>
  <c r="I996" i="93"/>
  <c r="I1057" i="94"/>
  <c r="D51" i="82"/>
  <c r="D33" i="74"/>
  <c r="D1048" i="94" s="1"/>
  <c r="D37" i="74"/>
  <c r="D1052" i="94" s="1"/>
  <c r="H44" i="82"/>
  <c r="H51" i="82" s="1"/>
  <c r="H33" i="74"/>
  <c r="H1048" i="94" s="1"/>
  <c r="H37" i="74"/>
  <c r="H1052" i="94" s="1"/>
  <c r="E44" i="82"/>
  <c r="E46" i="82" s="1"/>
  <c r="E37" i="74"/>
  <c r="E1052" i="94" s="1"/>
  <c r="E33" i="74"/>
  <c r="E1048" i="94" s="1"/>
  <c r="I44" i="82"/>
  <c r="I46" i="82" s="1"/>
  <c r="I37" i="74"/>
  <c r="I1052" i="94" s="1"/>
  <c r="I33" i="74"/>
  <c r="I1048" i="94" s="1"/>
  <c r="K19" i="74"/>
  <c r="K1031" i="94"/>
  <c r="K235" i="72"/>
  <c r="O1801" i="94"/>
  <c r="F33" i="86"/>
  <c r="B1069" i="94"/>
  <c r="J1034" i="94"/>
  <c r="J1039" i="94" s="1"/>
  <c r="J24" i="7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D55" i="74" l="1"/>
  <c r="D65" i="82" s="1"/>
  <c r="D53" i="74"/>
  <c r="D1068" i="94" s="1"/>
  <c r="J996" i="93"/>
  <c r="J1057" i="94"/>
  <c r="D32" i="86"/>
  <c r="J1056" i="94"/>
  <c r="H46" i="82"/>
  <c r="I51" i="82"/>
  <c r="E51" i="82"/>
  <c r="J44" i="82"/>
  <c r="J51" i="82" s="1"/>
  <c r="J33" i="74"/>
  <c r="J1048" i="94" s="1"/>
  <c r="J37" i="74"/>
  <c r="J1052" i="94" s="1"/>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E55" i="74" l="1"/>
  <c r="E65" i="82" s="1"/>
  <c r="E53" i="74"/>
  <c r="E1068" i="94" s="1"/>
  <c r="B74" i="74"/>
  <c r="B1089" i="94" s="1"/>
  <c r="K1057" i="94"/>
  <c r="J46" i="82"/>
  <c r="K44" i="82"/>
  <c r="K46" i="82" s="1"/>
  <c r="K37" i="74"/>
  <c r="K1052" i="94" s="1"/>
  <c r="K33" i="74"/>
  <c r="K1048" i="94" s="1"/>
  <c r="C51" i="74"/>
  <c r="C1063" i="94"/>
  <c r="B1066" i="94"/>
  <c r="B1071" i="94" s="1"/>
  <c r="B56" i="74"/>
  <c r="H33" i="86"/>
  <c r="D1069" i="94"/>
  <c r="C66" i="74"/>
  <c r="C1081" i="94" s="1"/>
  <c r="C67" i="74"/>
  <c r="C1082" i="94" s="1"/>
  <c r="C70" i="74"/>
  <c r="C1085" i="94" s="1"/>
  <c r="K996" i="93"/>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F55" i="74" l="1"/>
  <c r="F65" i="82" s="1"/>
  <c r="F53" i="74"/>
  <c r="F1068" i="94" s="1"/>
  <c r="K51" i="82"/>
  <c r="B64" i="82"/>
  <c r="B71" i="82" s="1"/>
  <c r="B69" i="74"/>
  <c r="B1084" i="94" s="1"/>
  <c r="B65" i="74"/>
  <c r="B1080"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B66" i="82"/>
  <c r="C64" i="82"/>
  <c r="C66" i="82" s="1"/>
  <c r="C65" i="74"/>
  <c r="C1080" i="94" s="1"/>
  <c r="C69" i="74"/>
  <c r="C1084"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I31" i="86" l="1"/>
  <c r="E1087" i="94"/>
  <c r="H55" i="74"/>
  <c r="H65" i="82" s="1"/>
  <c r="H53" i="74"/>
  <c r="H1068" i="94" s="1"/>
  <c r="C71" i="82"/>
  <c r="D64" i="82"/>
  <c r="D66" i="82" s="1"/>
  <c r="D65" i="74"/>
  <c r="D1080" i="94" s="1"/>
  <c r="D69" i="74"/>
  <c r="D1084" i="94" s="1"/>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I55" i="74" l="1"/>
  <c r="I65" i="82" s="1"/>
  <c r="I53" i="74"/>
  <c r="I1068" i="94" s="1"/>
  <c r="D71" i="82"/>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J55" i="74" l="1"/>
  <c r="J65" i="82" s="1"/>
  <c r="J53" i="74"/>
  <c r="J1068" i="94" s="1"/>
  <c r="E66" i="82"/>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K55" i="74" l="1"/>
  <c r="K65" i="82" s="1"/>
  <c r="K53" i="74"/>
  <c r="K1068" i="94" s="1"/>
  <c r="F66" i="82"/>
  <c r="B25" i="82" s="1"/>
  <c r="J52" i="82" s="1"/>
  <c r="J54" i="82" s="1"/>
  <c r="J55" i="82" s="1"/>
  <c r="J56" i="82"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K46" i="74"/>
  <c r="K1061" i="94" s="1"/>
  <c r="K47" i="74"/>
  <c r="K1062" i="94" s="1"/>
  <c r="K54" i="74"/>
  <c r="K52" i="74"/>
  <c r="K1067" i="94" s="1"/>
  <c r="J48" i="74"/>
  <c r="B87" i="74" l="1"/>
  <c r="B85" i="74"/>
  <c r="B1100" i="94" s="1"/>
  <c r="E52" i="82"/>
  <c r="E54" i="82" s="1"/>
  <c r="E55" i="82" s="1"/>
  <c r="E56" i="82" s="1"/>
  <c r="D72" i="82"/>
  <c r="D74" i="82" s="1"/>
  <c r="D75" i="82" s="1"/>
  <c r="D76" i="82" s="1"/>
  <c r="I72" i="82"/>
  <c r="H52" i="82"/>
  <c r="H54" i="82" s="1"/>
  <c r="H55" i="82" s="1"/>
  <c r="H56" i="82" s="1"/>
  <c r="K72" i="82"/>
  <c r="J72" i="82"/>
  <c r="G72" i="82"/>
  <c r="G52" i="82"/>
  <c r="G54" i="82" s="1"/>
  <c r="G55" i="82" s="1"/>
  <c r="G56" i="82" s="1"/>
  <c r="D52" i="82"/>
  <c r="D54" i="82" s="1"/>
  <c r="D55" i="82" s="1"/>
  <c r="D56" i="82" s="1"/>
  <c r="H72" i="82"/>
  <c r="F72" i="82"/>
  <c r="F74" i="82" s="1"/>
  <c r="F75" i="82" s="1"/>
  <c r="F76" i="82" s="1"/>
  <c r="B72" i="82"/>
  <c r="B74" i="82" s="1"/>
  <c r="B75" i="82" s="1"/>
  <c r="B76" i="82" s="1"/>
  <c r="E72" i="82"/>
  <c r="E74" i="82" s="1"/>
  <c r="E75" i="82" s="1"/>
  <c r="E76" i="82" s="1"/>
  <c r="B26" i="82"/>
  <c r="B5" i="82" s="1"/>
  <c r="B6" i="82" s="1"/>
  <c r="B7" i="82" s="1"/>
  <c r="I52" i="82"/>
  <c r="I54" i="82" s="1"/>
  <c r="I55" i="82" s="1"/>
  <c r="I56" i="82" s="1"/>
  <c r="F52" i="82"/>
  <c r="F54" i="82" s="1"/>
  <c r="F55" i="82" s="1"/>
  <c r="F56" i="82" s="1"/>
  <c r="K52" i="82"/>
  <c r="K54" i="82" s="1"/>
  <c r="K55" i="82" s="1"/>
  <c r="K56" i="82" s="1"/>
  <c r="B52" i="82"/>
  <c r="B54" i="82" s="1"/>
  <c r="B55" i="82" s="1"/>
  <c r="B59" i="82" s="1"/>
  <c r="C72" i="82"/>
  <c r="C74" i="82" s="1"/>
  <c r="C75" i="82" s="1"/>
  <c r="C76" i="82" s="1"/>
  <c r="C52" i="82"/>
  <c r="C54" i="82" s="1"/>
  <c r="C55" i="82" s="1"/>
  <c r="C56" i="82" s="1"/>
  <c r="H64" i="74"/>
  <c r="H1079" i="94" s="1"/>
  <c r="H65" i="74"/>
  <c r="H1080" i="94" s="1"/>
  <c r="H69" i="74"/>
  <c r="H1084" i="94"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C77" i="74"/>
  <c r="B86" i="74"/>
  <c r="B1101" i="94" s="1"/>
  <c r="B78" i="74"/>
  <c r="B1093" i="94" s="1"/>
  <c r="B84" i="74"/>
  <c r="B1099" i="94" s="1"/>
  <c r="B79" i="74"/>
  <c r="B1094" i="94" s="1"/>
  <c r="C87" i="74" l="1"/>
  <c r="C85" i="74"/>
  <c r="C1100" i="94" s="1"/>
  <c r="B56" i="82"/>
  <c r="B9" i="82"/>
  <c r="B10" i="82" s="1"/>
  <c r="B11" i="82" s="1"/>
  <c r="G74" i="82"/>
  <c r="G75" i="82" s="1"/>
  <c r="G76"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74" i="82"/>
  <c r="H75" i="82" s="1"/>
  <c r="H76" i="82" s="1"/>
  <c r="I64" i="82"/>
  <c r="I66" i="82" s="1"/>
  <c r="I69" i="74"/>
  <c r="I1084" i="94" s="1"/>
  <c r="I65" i="74"/>
  <c r="I1080"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I71" i="82"/>
  <c r="I74" i="82" s="1"/>
  <c r="I75" i="82" s="1"/>
  <c r="I76" i="82" s="1"/>
  <c r="J64" i="82"/>
  <c r="J71" i="82" s="1"/>
  <c r="J74" i="82" s="1"/>
  <c r="J75" i="82" s="1"/>
  <c r="J76" i="82" s="1"/>
  <c r="J65" i="74"/>
  <c r="J1080" i="94" s="1"/>
  <c r="J69" i="74"/>
  <c r="J1084" i="94" s="1"/>
  <c r="J64" i="74"/>
  <c r="J1079"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J66" i="82" l="1"/>
  <c r="E87" i="74"/>
  <c r="E85" i="74"/>
  <c r="E1100" i="94" s="1"/>
  <c r="K64" i="74"/>
  <c r="K1079" i="94" s="1"/>
  <c r="K65" i="74"/>
  <c r="K1080" i="94" s="1"/>
  <c r="K69" i="74"/>
  <c r="K1084" i="94" s="1"/>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K66" i="82" l="1"/>
  <c r="F87" i="74"/>
  <c r="F85" i="74"/>
  <c r="F1100" i="94" s="1"/>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D95" i="74"/>
  <c r="D1110" i="94" s="1"/>
  <c r="D100" i="74"/>
  <c r="D1115" i="94" s="1"/>
  <c r="D96" i="74"/>
  <c r="D1111"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J95" i="74"/>
  <c r="J1110" i="94" s="1"/>
  <c r="J100" i="74"/>
  <c r="J1115" i="94" s="1"/>
  <c r="J96" i="74"/>
  <c r="J1111"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K95" i="74"/>
  <c r="K1110" i="94" s="1"/>
  <c r="K96" i="74"/>
  <c r="K1111" i="94" s="1"/>
  <c r="K100" i="74"/>
  <c r="K1115"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C125" i="74" l="1"/>
  <c r="C1140" i="94" s="1"/>
  <c r="C130" i="74"/>
  <c r="C1145" i="94" s="1"/>
  <c r="C126" i="74"/>
  <c r="C1141"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25" i="74"/>
  <c r="E1140" i="94" s="1"/>
  <c r="E130" i="74"/>
  <c r="E1145" i="94" s="1"/>
  <c r="E126" i="74"/>
  <c r="E1141" i="94" s="1"/>
  <c r="F1080" i="93"/>
  <c r="F1147" i="94"/>
  <c r="F1128" i="94"/>
  <c r="F1133" i="94" s="1"/>
  <c r="F118" i="74"/>
  <c r="E1082" i="93"/>
  <c r="F134" i="74"/>
  <c r="A58" i="26"/>
  <c r="G58" i="26"/>
  <c r="A1" i="25"/>
  <c r="A50" i="25"/>
  <c r="A1" i="26"/>
  <c r="F1082" i="93" l="1"/>
  <c r="F1149" i="94"/>
  <c r="F125" i="74"/>
  <c r="F1140" i="94" s="1"/>
  <c r="F130" i="74"/>
  <c r="F1145" i="94" s="1"/>
  <c r="F126" i="74"/>
  <c r="F1141" i="94" s="1"/>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D405" i="93" l="1"/>
  <c r="D420" i="94"/>
  <c r="B63" i="74"/>
  <c r="B1015" i="93" s="1"/>
  <c r="B1016" i="93" s="1"/>
  <c r="F1078" i="94"/>
  <c r="B1078" i="94"/>
  <c r="E1078" i="94"/>
  <c r="C1078" i="94"/>
  <c r="D1078" i="94"/>
  <c r="P420" i="94"/>
  <c r="J164" i="78"/>
  <c r="J165" i="78" s="1"/>
  <c r="J167" i="78" s="1"/>
  <c r="J609" i="94"/>
  <c r="J610" i="94" s="1"/>
  <c r="J612" i="94" s="1"/>
  <c r="J614" i="94" s="1"/>
  <c r="J616" i="94" s="1"/>
  <c r="C63" i="74"/>
  <c r="C64" i="74" s="1"/>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34" i="86" l="1"/>
  <c r="B64" i="74"/>
  <c r="B1079" i="94" s="1"/>
  <c r="J620" i="94"/>
  <c r="E544" i="94" s="1"/>
  <c r="J544" i="94" s="1"/>
  <c r="M618" i="94"/>
  <c r="B15" i="82"/>
  <c r="J169" i="78"/>
  <c r="J171" i="78" s="1"/>
  <c r="J611" i="93"/>
  <c r="E535" i="93" s="1"/>
  <c r="J535" i="93" s="1"/>
  <c r="M609" i="93"/>
  <c r="G32" i="74"/>
  <c r="G1047" i="94" s="1"/>
  <c r="G1046" i="94"/>
  <c r="C985" i="93"/>
  <c r="C986" i="93" s="1"/>
  <c r="C1046" i="94"/>
  <c r="B43" i="74"/>
  <c r="C43" i="74" s="1"/>
  <c r="B1046" i="94"/>
  <c r="F14" i="86"/>
  <c r="E1046" i="94"/>
  <c r="H9" i="86"/>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29" i="86" l="1"/>
  <c r="F37" i="86" s="1"/>
  <c r="F38" i="86" s="1"/>
  <c r="F40" i="86" s="1"/>
  <c r="F44" i="86" s="1"/>
  <c r="K16" i="86" s="1"/>
  <c r="G37" i="86"/>
  <c r="G38" i="86" s="1"/>
  <c r="G40" i="86" s="1"/>
  <c r="G44" i="86" s="1"/>
  <c r="K17" i="86" s="1"/>
  <c r="M173" i="78"/>
  <c r="J175" i="78"/>
  <c r="I37" i="86"/>
  <c r="I38" i="86" s="1"/>
  <c r="I40" i="86" s="1"/>
  <c r="I44" i="86" s="1"/>
  <c r="K19" i="86" s="1"/>
  <c r="C997" i="93"/>
  <c r="C1058" i="94"/>
  <c r="B997" i="93"/>
  <c r="B1058" i="94"/>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7" i="94" l="1"/>
  <c r="N427" i="94" s="1"/>
  <c r="C21" i="86"/>
  <c r="L49" i="68"/>
  <c r="E99" i="78"/>
  <c r="J99" i="78" s="1"/>
  <c r="I20" i="93"/>
  <c r="M61" i="85"/>
  <c r="P61" i="85" s="1"/>
  <c r="I9" i="66"/>
  <c r="I32" i="94" s="1"/>
  <c r="L412" i="93"/>
  <c r="N412" i="93" s="1"/>
  <c r="L50" i="68"/>
  <c r="N50" i="68" s="1"/>
  <c r="L426" i="94"/>
  <c r="N426" i="94" s="1"/>
  <c r="L413" i="93"/>
  <c r="N413" i="93"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B14" i="82" l="1"/>
  <c r="N49" i="68"/>
  <c r="C41" i="86"/>
  <c r="D41" i="86" s="1"/>
  <c r="E41" i="86" s="1"/>
  <c r="C22" i="86"/>
  <c r="C42" i="86" s="1"/>
  <c r="D42" i="86" s="1"/>
  <c r="E42" i="86" s="1"/>
  <c r="D21" i="86"/>
  <c r="E997" i="93"/>
  <c r="F43" i="74"/>
  <c r="F1058" i="94" s="1"/>
  <c r="I408" i="93"/>
  <c r="F85" i="92"/>
  <c r="F89" i="92" s="1"/>
  <c r="F105" i="92" s="1"/>
  <c r="D22" i="86" l="1"/>
  <c r="E21" i="86"/>
  <c r="B20" i="82"/>
  <c r="B21" i="82" s="1"/>
  <c r="G20" i="82"/>
  <c r="G21" i="82" s="1"/>
  <c r="F997" i="93"/>
  <c r="G43" i="74"/>
  <c r="G1058" i="94" s="1"/>
  <c r="E22" i="86" l="1"/>
  <c r="F21" i="86"/>
  <c r="G997" i="93"/>
  <c r="H43" i="74"/>
  <c r="H1058" i="94" s="1"/>
  <c r="F22" i="86" l="1"/>
  <c r="G21" i="86"/>
  <c r="H997" i="93"/>
  <c r="I43" i="74"/>
  <c r="I1058" i="94" s="1"/>
  <c r="H21" i="86" l="1"/>
  <c r="G22"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<sst xmlns="http://schemas.openxmlformats.org/spreadsheetml/2006/main" count="17172" uniqueCount="5372">
  <si>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</si>
  <si>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</si>
  <si>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</si>
  <si>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</si>
  <si>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</si>
  <si>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</si>
  <si>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</si>
  <si>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</si>
  <si>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</si>
  <si>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</si>
  <si>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</si>
  <si>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</si>
  <si>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</si>
  <si>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</si>
  <si>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</si>
  <si>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</si>
  <si>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</si>
  <si>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</si>
  <si>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</si>
  <si>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</si>
  <si>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</si>
  <si>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</si>
  <si>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</si>
  <si>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</si>
  <si>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</si>
  <si>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</si>
  <si>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</si>
  <si>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</si>
  <si>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</si>
  <si>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</si>
  <si>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</si>
  <si>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</si>
  <si>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</si>
  <si>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</si>
  <si>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</si>
  <si>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</si>
  <si>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</si>
  <si>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</si>
  <si>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</si>
  <si>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</si>
  <si>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</si>
  <si>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</si>
  <si>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</si>
  <si>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</si>
  <si>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</si>
  <si>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</si>
  <si>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</si>
  <si>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</si>
  <si>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</si>
  <si>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</si>
  <si>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</si>
  <si>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</si>
  <si>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</si>
  <si>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</si>
  <si>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</si>
  <si>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</si>
  <si>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</si>
  <si>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</si>
  <si>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</si>
  <si>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</si>
  <si>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</si>
  <si>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</si>
  <si>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</si>
  <si>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</si>
  <si>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</si>
  <si>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</si>
  <si>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</si>
  <si>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</si>
  <si>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</si>
  <si>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</si>
  <si>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</si>
  <si>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</si>
  <si>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</si>
  <si>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</si>
  <si>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</si>
  <si>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</si>
  <si>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</si>
  <si>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</si>
  <si>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</si>
  <si>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</si>
  <si>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</si>
  <si>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</si>
  <si>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</si>
  <si>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</si>
  <si>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</si>
  <si>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</si>
  <si>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</si>
  <si>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</si>
  <si>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</si>
  <si>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</si>
  <si>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</si>
  <si>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</si>
  <si>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</si>
  <si>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</si>
  <si>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</si>
  <si>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</si>
  <si>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</si>
  <si>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</si>
  <si>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</si>
  <si>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</si>
  <si>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</si>
  <si>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</si>
  <si>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</si>
  <si>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</si>
  <si>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</si>
  <si>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</si>
  <si>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</si>
  <si>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</si>
  <si>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</si>
  <si>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</si>
  <si>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</si>
  <si>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</si>
  <si>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</si>
  <si>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</si>
  <si>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</si>
  <si>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</si>
  <si>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</si>
  <si>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</si>
  <si>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</si>
  <si>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</si>
  <si>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</si>
  <si>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</si>
  <si>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</si>
  <si>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</si>
  <si>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</si>
  <si>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</si>
  <si>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</si>
  <si>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</si>
  <si>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</si>
  <si>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</si>
  <si>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</si>
  <si>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</si>
  <si>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</si>
  <si>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</si>
  <si>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</si>
  <si>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</si>
  <si>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</si>
  <si>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</si>
  <si>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</si>
  <si>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</si>
  <si>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</si>
  <si>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</si>
  <si>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</si>
  <si>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</si>
  <si>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</si>
  <si>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</si>
  <si>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</si>
  <si>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</si>
  <si>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</si>
  <si>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</si>
  <si>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</si>
  <si>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</si>
  <si>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</si>
  <si>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</si>
  <si>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</si>
  <si>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</si>
  <si>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</si>
  <si>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</si>
  <si>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</si>
  <si>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</si>
  <si>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</si>
  <si>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</si>
  <si>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</si>
  <si>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</si>
  <si>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</si>
  <si>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</si>
  <si>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</si>
  <si>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</si>
  <si>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</si>
  <si>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</si>
  <si>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</si>
  <si>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</si>
  <si>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</si>
  <si>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</si>
  <si>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</si>
  <si>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</si>
  <si>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</si>
  <si>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</si>
  <si>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</si>
  <si>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</si>
  <si>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</si>
  <si>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</si>
  <si>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</si>
  <si>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</si>
  <si>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</si>
  <si>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</si>
  <si>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</si>
  <si>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</si>
  <si>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</si>
  <si>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</si>
  <si>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</si>
  <si>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</si>
  <si>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</si>
  <si>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</si>
  <si>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</si>
  <si>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</si>
  <si>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</si>
  <si>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</si>
  <si>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</si>
  <si>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</si>
  <si>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</si>
  <si>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</si>
  <si>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</si>
  <si>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</si>
  <si>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</si>
  <si>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</si>
  <si>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</si>
  <si>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</si>
  <si>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</si>
  <si>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</si>
  <si>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</si>
  <si>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</si>
  <si>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</si>
  <si>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</si>
  <si>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</si>
  <si>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</si>
  <si>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</si>
  <si>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</si>
  <si>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</si>
  <si>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</si>
  <si>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</si>
  <si>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</si>
  <si>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</si>
  <si>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</si>
  <si>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</si>
  <si>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</si>
  <si>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</si>
  <si>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</si>
  <si>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</si>
  <si>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</si>
  <si>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</si>
  <si>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</si>
  <si>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</si>
  <si>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</si>
  <si>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</si>
  <si>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</si>
  <si>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</si>
  <si>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</si>
  <si>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</si>
  <si>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</si>
  <si>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</si>
  <si>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</si>
  <si>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</si>
  <si>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</si>
  <si>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</si>
  <si>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</si>
  <si>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</si>
  <si>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</si>
  <si>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</si>
  <si>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</si>
  <si>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</si>
  <si>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</si>
  <si>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</si>
  <si>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</si>
  <si>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</si>
  <si>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</si>
  <si>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</si>
  <si>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</si>
  <si>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</si>
  <si>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</si>
  <si>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</si>
  <si>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</si>
  <si>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</si>
  <si>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</si>
  <si>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</si>
  <si>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</si>
  <si>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</si>
  <si>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</si>
  <si>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</si>
  <si>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</si>
  <si>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</si>
  <si>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</si>
  <si>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</si>
  <si>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</si>
  <si>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</si>
  <si>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</si>
  <si>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</si>
  <si>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</si>
  <si>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</si>
  <si>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</si>
  <si>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</si>
  <si>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</si>
  <si>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</si>
  <si>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</si>
  <si>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</si>
  <si>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</si>
  <si>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</si>
  <si>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</si>
  <si>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</si>
  <si>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</si>
  <si>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</si>
  <si>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</si>
  <si>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</si>
  <si>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</si>
  <si>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</si>
  <si>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</si>
  <si>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</si>
  <si>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</si>
  <si>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</si>
  <si>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</si>
  <si>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</si>
  <si>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</si>
  <si>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</si>
  <si>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</si>
  <si>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</si>
  <si>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</si>
  <si>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</si>
  <si>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</si>
  <si>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</si>
  <si>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</si>
  <si>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</si>
  <si>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</si>
  <si>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</si>
  <si>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</si>
  <si>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</si>
  <si>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</si>
  <si>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</si>
  <si>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</si>
  <si>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</si>
  <si>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</si>
  <si>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</si>
  <si>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</si>
  <si>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</si>
  <si>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</si>
  <si>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</si>
  <si>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</si>
  <si>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</si>
  <si>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</si>
  <si>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</si>
  <si>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</si>
  <si>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</si>
  <si>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</si>
  <si>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</si>
  <si>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</si>
  <si>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</si>
  <si>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</si>
  <si>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</si>
  <si>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</si>
  <si>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</si>
  <si>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</si>
  <si>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</si>
  <si>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</si>
  <si>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</si>
  <si>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</si>
  <si>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</si>
  <si>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</si>
  <si>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</si>
  <si>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</si>
  <si>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</si>
  <si>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</si>
  <si>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</si>
  <si>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</si>
  <si>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</si>
  <si>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</si>
  <si>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</si>
  <si>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</si>
  <si>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</si>
  <si>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</si>
  <si>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</si>
  <si>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</si>
  <si>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</si>
  <si>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</si>
  <si>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</si>
  <si>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</si>
  <si>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</si>
  <si>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</si>
  <si>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</si>
  <si>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</si>
  <si>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</si>
  <si>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</si>
  <si>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</si>
  <si>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</si>
  <si>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</si>
  <si>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</si>
  <si>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</si>
  <si>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</si>
  <si>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</si>
  <si>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</si>
  <si>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</si>
  <si>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</si>
  <si>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</si>
  <si>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</si>
  <si>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</si>
  <si>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</si>
  <si>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</si>
  <si>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</si>
  <si>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</si>
  <si>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</si>
  <si>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</si>
  <si>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</si>
  <si>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</si>
  <si>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</si>
  <si>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</si>
  <si>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</si>
  <si>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</si>
  <si>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</si>
  <si>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</si>
  <si>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</si>
  <si>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</si>
  <si>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</si>
  <si>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</si>
  <si>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</si>
  <si>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</si>
  <si>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</si>
  <si>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</si>
  <si>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</si>
  <si>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</si>
  <si>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</si>
  <si>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</si>
  <si>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</si>
  <si>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</si>
  <si>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</si>
  <si>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</si>
  <si>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</si>
  <si>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</si>
  <si>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</si>
  <si>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</si>
  <si>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</si>
  <si>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</si>
  <si>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</si>
  <si>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</si>
  <si>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</si>
  <si>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</si>
  <si>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</si>
  <si>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</si>
  <si>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</si>
  <si>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</si>
  <si>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</si>
  <si>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</si>
  <si>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</si>
  <si>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</si>
  <si>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</si>
  <si>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</si>
  <si>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</si>
  <si>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</si>
  <si>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</si>
  <si>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</si>
  <si>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</si>
  <si>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</si>
  <si>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</si>
  <si>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</si>
  <si>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</si>
  <si>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</si>
  <si>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</si>
  <si>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</si>
  <si>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</si>
  <si>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</si>
  <si>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</si>
  <si>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</si>
  <si>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</si>
  <si>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</si>
  <si>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</si>
  <si>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</si>
  <si>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</si>
  <si>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</si>
  <si>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</si>
  <si>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</si>
  <si>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</si>
  <si>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</si>
  <si>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</si>
  <si>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</si>
  <si>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</si>
  <si>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</si>
  <si>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</si>
  <si>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</si>
  <si>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</si>
  <si>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</si>
  <si>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</si>
  <si>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</si>
  <si>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</si>
  <si>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</si>
  <si>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</si>
  <si>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</si>
  <si>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</si>
  <si>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</si>
  <si>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</si>
  <si>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</si>
  <si>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</si>
  <si>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</si>
  <si>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</si>
  <si>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</si>
  <si>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</si>
  <si>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</si>
  <si>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</si>
  <si>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</si>
  <si>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</si>
  <si>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</si>
  <si>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</si>
  <si>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</si>
  <si>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</si>
  <si>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</si>
  <si>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</si>
  <si>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</si>
  <si>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</si>
  <si>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</si>
  <si>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</si>
  <si>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</si>
  <si>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</si>
  <si>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</si>
  <si>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</si>
  <si>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</si>
  <si>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</si>
  <si>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</si>
  <si>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</si>
  <si>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</si>
  <si>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</si>
  <si>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</si>
  <si>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</si>
  <si>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</si>
  <si>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</si>
  <si>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</si>
  <si>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</si>
  <si>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</si>
  <si>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</si>
  <si>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</si>
  <si>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</si>
  <si>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</si>
  <si>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</si>
  <si>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</si>
  <si>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</si>
  <si>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</si>
  <si>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</si>
  <si>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</si>
  <si>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</si>
  <si>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</si>
  <si>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</si>
  <si>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</si>
  <si>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</si>
  <si>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</si>
  <si>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</si>
  <si>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</si>
  <si>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</si>
  <si>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</si>
  <si>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</si>
  <si>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</si>
  <si>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</si>
  <si>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</si>
  <si>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</si>
  <si>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</si>
  <si>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</si>
  <si>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</si>
  <si>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</si>
  <si>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</si>
  <si>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</si>
  <si>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</si>
  <si>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</si>
  <si>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</si>
  <si>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</si>
  <si>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</si>
  <si>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</si>
  <si>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</si>
  <si>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</si>
  <si>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</si>
  <si>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</si>
  <si>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</si>
  <si>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</si>
  <si>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</si>
  <si>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</si>
  <si>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</si>
  <si>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</si>
  <si>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</si>
  <si>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</si>
  <si>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</si>
  <si>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</si>
  <si>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</si>
  <si>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</si>
  <si>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</si>
  <si>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</si>
  <si>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</si>
  <si>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</si>
  <si>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</si>
  <si>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</si>
  <si>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</si>
  <si>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</si>
  <si>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</si>
  <si>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</si>
  <si>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</si>
  <si>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</si>
  <si>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</si>
  <si>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</si>
  <si>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</si>
  <si>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</si>
  <si>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</si>
  <si>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</si>
  <si>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</si>
  <si>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</si>
  <si>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</si>
  <si>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</si>
  <si>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</si>
  <si>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</si>
  <si>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</si>
  <si>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</si>
  <si>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</si>
  <si>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</si>
  <si>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</si>
  <si>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</si>
  <si>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</si>
  <si>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</si>
  <si>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</si>
  <si>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</si>
  <si>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</si>
  <si>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</si>
  <si>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</si>
  <si>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</si>
  <si>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</si>
  <si>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</si>
  <si>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</si>
  <si>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</si>
  <si>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</si>
  <si>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</si>
  <si>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</si>
  <si>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</si>
  <si>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</si>
  <si>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</si>
  <si>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</si>
  <si>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</si>
  <si>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</si>
  <si>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</si>
  <si>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</si>
  <si>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</si>
  <si>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</si>
  <si>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</si>
  <si>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</si>
  <si>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</si>
  <si>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</si>
  <si>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</si>
  <si>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</si>
  <si>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</si>
  <si>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</si>
  <si>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</si>
  <si>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</si>
  <si>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</si>
  <si>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</si>
  <si>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</si>
  <si>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</si>
  <si>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</si>
  <si>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</si>
  <si>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</si>
  <si>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</si>
  <si>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</si>
  <si>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</si>
  <si>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</si>
  <si>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</si>
  <si>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</si>
  <si>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</si>
  <si>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</si>
  <si>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</si>
  <si>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</si>
  <si>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</si>
  <si>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</si>
  <si>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</si>
  <si>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</si>
  <si>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</si>
  <si>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</si>
  <si>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</si>
  <si>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</si>
  <si>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</si>
  <si>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</si>
  <si>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</si>
  <si>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</si>
  <si>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</si>
  <si>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</si>
  <si>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</si>
  <si>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</si>
  <si>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</si>
  <si>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</si>
  <si>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</si>
  <si>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</si>
  <si>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</si>
  <si>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</si>
  <si>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</si>
  <si>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</si>
  <si>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</si>
  <si>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</si>
  <si>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</si>
  <si>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</si>
  <si>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</si>
  <si>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</si>
  <si>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</si>
  <si>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</si>
  <si>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</si>
  <si>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</si>
  <si>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</si>
  <si>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</si>
  <si>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</si>
  <si>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</si>
  <si>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</si>
  <si>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</si>
  <si>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</si>
  <si>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</si>
  <si>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</si>
  <si>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</si>
  <si>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</si>
  <si>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</si>
  <si>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</si>
  <si>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</si>
  <si>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</si>
  <si>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</si>
  <si>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</si>
  <si>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</si>
  <si>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</si>
  <si>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</si>
  <si>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</si>
  <si>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</si>
  <si>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</si>
  <si>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</si>
  <si>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</si>
  <si>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</si>
  <si>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</si>
  <si>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</si>
  <si>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</si>
  <si>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</si>
  <si>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</si>
  <si>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</si>
  <si>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</si>
  <si>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</si>
  <si>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</si>
  <si>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</si>
  <si>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</si>
  <si>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</si>
  <si>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</si>
  <si>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</si>
  <si>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</si>
  <si>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</si>
  <si>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</si>
  <si>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</si>
  <si>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</si>
  <si>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</si>
  <si>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</si>
  <si>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</si>
  <si>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</si>
  <si>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</si>
  <si>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</si>
  <si>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</si>
  <si>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</si>
  <si>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</si>
  <si>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</si>
  <si>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</si>
  <si>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</si>
  <si>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</si>
  <si>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</si>
  <si>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</si>
  <si>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</si>
  <si>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</si>
  <si>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</si>
  <si>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</si>
  <si>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</si>
  <si>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</si>
  <si>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</si>
  <si>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</si>
  <si>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</si>
  <si>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</si>
  <si>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</si>
  <si>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</si>
  <si>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</si>
  <si>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</si>
  <si>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</si>
  <si>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</si>
  <si>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</si>
  <si>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</si>
  <si>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</si>
  <si>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</si>
  <si>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</si>
  <si>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</si>
  <si>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</si>
  <si>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</si>
  <si>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</si>
  <si>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</si>
  <si>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</si>
  <si>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</si>
  <si>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</si>
  <si>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</si>
  <si>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</si>
  <si>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</si>
  <si>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</si>
  <si>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</si>
  <si>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</si>
  <si>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</si>
  <si>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</si>
  <si>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</si>
  <si>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</si>
  <si>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</si>
  <si>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</si>
  <si>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</si>
  <si>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</si>
  <si>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</si>
  <si>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</si>
  <si>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</si>
  <si>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</si>
  <si>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</si>
  <si>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</si>
  <si>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</si>
  <si>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</si>
  <si>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</si>
  <si>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</si>
  <si>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</si>
  <si>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</si>
  <si>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</si>
  <si>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</si>
  <si>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</si>
  <si>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</si>
  <si>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</si>
  <si>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</si>
  <si>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</si>
  <si>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</si>
  <si>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</si>
  <si>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</si>
  <si>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</si>
  <si>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</si>
  <si>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</si>
  <si>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</si>
  <si>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</si>
  <si>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</si>
  <si>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</si>
  <si>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</si>
  <si>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</si>
  <si>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</si>
  <si>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</si>
  <si>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</si>
  <si>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</si>
  <si>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</si>
  <si>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</si>
  <si>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</si>
  <si>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</si>
  <si>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</si>
  <si>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</si>
  <si>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</si>
  <si>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</si>
  <si>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</si>
  <si>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</si>
  <si>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</si>
  <si>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</si>
  <si>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</si>
  <si>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</si>
  <si>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</si>
  <si>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</si>
  <si>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</si>
  <si>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</si>
  <si>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</si>
  <si>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</si>
  <si>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</si>
  <si>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</si>
  <si>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</si>
  <si>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</si>
  <si>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</si>
  <si>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</si>
  <si>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</si>
  <si>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</si>
  <si>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</si>
  <si>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</si>
  <si>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</si>
  <si>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</si>
  <si>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</si>
  <si>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</si>
  <si>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</si>
  <si>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</si>
  <si>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</si>
  <si>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</si>
  <si>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</si>
  <si>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</si>
  <si>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</si>
  <si>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</si>
  <si>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</si>
  <si>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</si>
  <si>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</si>
  <si>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</si>
  <si>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</si>
  <si>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</si>
  <si>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</si>
  <si>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</si>
  <si>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</si>
  <si>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</si>
  <si>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</si>
  <si>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</si>
  <si>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</si>
  <si>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</si>
  <si>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</si>
  <si>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</si>
  <si>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</si>
  <si>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</si>
  <si>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</si>
  <si>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</si>
  <si>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</si>
  <si>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</si>
  <si>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</si>
  <si>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</si>
  <si>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</si>
  <si>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</si>
  <si>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</si>
  <si>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</si>
  <si>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</si>
  <si>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</si>
  <si>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</si>
  <si>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</si>
  <si>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</si>
  <si>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</si>
  <si>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</si>
  <si>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</si>
  <si>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</si>
  <si>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</si>
  <si>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</si>
  <si>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</si>
  <si>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</si>
  <si>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</si>
  <si>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</si>
  <si>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</si>
  <si>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</si>
  <si>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</si>
  <si>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</si>
  <si>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</si>
  <si>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</si>
  <si>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</si>
  <si>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</si>
  <si>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</si>
  <si>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</si>
  <si>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</si>
  <si>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</si>
  <si>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</si>
  <si>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</si>
  <si>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</si>
  <si>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</si>
  <si>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</si>
  <si>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</si>
  <si>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</si>
  <si>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</si>
  <si>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</si>
  <si>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</si>
  <si>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</si>
  <si>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</si>
  <si>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</si>
  <si>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</si>
  <si>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</si>
  <si>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</si>
  <si>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</si>
  <si>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</si>
  <si>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</si>
  <si>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</si>
  <si>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</si>
  <si>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</si>
  <si>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</si>
  <si>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</si>
  <si>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</si>
  <si>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</si>
  <si>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</si>
  <si>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</si>
  <si>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</si>
  <si>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</si>
  <si>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</si>
  <si>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</si>
  <si>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</si>
  <si>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</si>
  <si>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</si>
  <si>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</si>
  <si>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</si>
  <si>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</si>
  <si>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</si>
  <si>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</si>
  <si>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</si>
  <si>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</si>
  <si>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</si>
  <si>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</si>
  <si>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</si>
  <si>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</si>
  <si>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</si>
  <si>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</si>
  <si>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</si>
  <si>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</si>
  <si>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</si>
  <si>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</si>
  <si>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</si>
  <si>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</si>
  <si>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</si>
  <si>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</si>
  <si>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</si>
  <si>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</si>
  <si>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</si>
  <si>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</si>
  <si>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</si>
  <si>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</si>
  <si>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</si>
  <si>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</si>
  <si>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</si>
  <si>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</si>
  <si>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</si>
  <si>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</si>
  <si>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</si>
  <si>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</si>
  <si>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</si>
  <si>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</si>
  <si>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</si>
  <si>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</si>
  <si>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</si>
  <si>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</si>
  <si>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</si>
  <si>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</si>
  <si>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</si>
  <si>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</si>
  <si>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</si>
  <si>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</si>
  <si>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</si>
  <si>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</si>
  <si>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</si>
  <si>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</si>
  <si>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</si>
  <si>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</si>
  <si>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</si>
  <si>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</si>
  <si>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</si>
  <si>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</si>
  <si>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</si>
  <si>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</si>
  <si>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</si>
  <si>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</si>
  <si>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</si>
  <si>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</si>
  <si>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</si>
  <si>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</si>
  <si>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</si>
  <si>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</si>
  <si>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</si>
  <si>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</si>
  <si>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</si>
  <si>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</si>
  <si>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</si>
  <si>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</si>
  <si>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</si>
  <si>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</si>
  <si>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</si>
  <si>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</si>
  <si>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</si>
  <si>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</si>
  <si>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</si>
  <si>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</si>
  <si>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</si>
  <si>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</si>
  <si>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</si>
  <si>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</si>
  <si>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</si>
  <si>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</si>
  <si>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</si>
  <si>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</si>
  <si>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</si>
  <si>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</si>
  <si>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</si>
  <si>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</si>
  <si>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</si>
  <si>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</si>
  <si>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</si>
  <si>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</si>
  <si>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</si>
  <si>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</si>
  <si>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</si>
  <si>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</si>
  <si>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</si>
  <si>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</si>
  <si>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</si>
  <si>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</si>
  <si>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</si>
  <si>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</si>
  <si>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</si>
  <si>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</si>
  <si>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</si>
  <si>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</si>
  <si>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</si>
  <si>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</si>
  <si>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</si>
  <si>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</si>
  <si>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</si>
  <si>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</si>
  <si>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</si>
  <si>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</si>
  <si>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</si>
  <si>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</si>
  <si>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</si>
  <si>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</si>
  <si>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</si>
  <si>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</si>
  <si>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</si>
  <si>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</si>
  <si>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</si>
  <si>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</si>
  <si>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</si>
  <si>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</si>
  <si>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</si>
  <si>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</si>
  <si>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</si>
  <si>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</si>
  <si>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</si>
  <si>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</si>
  <si>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</si>
  <si>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</si>
  <si>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</si>
  <si>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</si>
  <si>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</si>
  <si>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</si>
  <si>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</si>
  <si>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</si>
  <si>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</si>
  <si>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</si>
  <si>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</si>
  <si>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</si>
  <si>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</si>
  <si>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</si>
  <si>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</si>
  <si>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</si>
  <si>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</si>
  <si>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</si>
  <si>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</si>
  <si>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</si>
  <si>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</si>
  <si>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</si>
  <si>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</si>
  <si>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</si>
  <si>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</si>
  <si>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</si>
  <si>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</si>
  <si>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</si>
  <si>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</si>
  <si>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</si>
  <si>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</si>
  <si>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</si>
  <si>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</si>
  <si>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</si>
  <si>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</si>
  <si>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</si>
  <si>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</si>
  <si>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</si>
  <si>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</si>
  <si>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</si>
  <si>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</si>
  <si>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</si>
  <si>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</si>
  <si>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</si>
  <si>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</si>
  <si>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</si>
  <si>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</si>
  <si>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</si>
  <si>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</si>
  <si>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</si>
  <si>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</si>
  <si>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</si>
  <si>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</si>
  <si>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</si>
  <si>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</si>
  <si>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</si>
  <si>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</si>
  <si>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</si>
  <si>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</si>
  <si>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</si>
  <si>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</si>
  <si>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</si>
  <si>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</si>
  <si>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</si>
  <si>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</si>
  <si>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</si>
  <si>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</si>
  <si>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</si>
  <si>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</si>
  <si>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</si>
  <si>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</si>
  <si>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</si>
  <si>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</si>
  <si>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</si>
  <si>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</si>
  <si>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</si>
  <si>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</si>
  <si>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</si>
  <si>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</si>
  <si>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</si>
  <si>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</si>
  <si>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</si>
  <si>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</si>
  <si>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</si>
  <si>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</si>
  <si>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</si>
  <si>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</si>
  <si>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</si>
  <si>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</si>
  <si>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</si>
  <si>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</si>
  <si>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</si>
  <si>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</si>
  <si>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</si>
  <si>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</si>
  <si>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</si>
  <si>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</si>
  <si>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</si>
  <si>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</si>
  <si>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</si>
  <si>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</si>
  <si>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</si>
  <si>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</si>
  <si>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</si>
  <si>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</si>
  <si>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</si>
  <si>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</si>
  <si>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</si>
  <si>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</si>
  <si>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</si>
  <si>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</si>
  <si>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</si>
  <si>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</si>
  <si>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</si>
  <si>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</si>
  <si>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</si>
  <si>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</si>
  <si>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</si>
  <si>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</si>
  <si>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</si>
  <si>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</si>
  <si>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</si>
  <si>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</si>
  <si>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</si>
  <si>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</si>
  <si>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</si>
  <si>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</si>
  <si>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</si>
  <si>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</si>
  <si>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</si>
  <si>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</si>
  <si>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</si>
  <si>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</si>
  <si>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</si>
  <si>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</si>
  <si>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</si>
  <si>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</si>
  <si>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</si>
  <si>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</si>
  <si>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</si>
  <si>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</si>
  <si>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</si>
  <si>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</si>
  <si>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</si>
  <si>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</si>
  <si>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</si>
  <si>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</si>
  <si>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</si>
  <si>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</si>
  <si>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</si>
  <si>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</si>
  <si>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</si>
  <si>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</si>
  <si>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</si>
  <si>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</si>
  <si>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</si>
  <si>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</si>
  <si>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</si>
  <si>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</si>
  <si>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</si>
  <si>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</si>
  <si>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</si>
  <si>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</si>
  <si>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</si>
  <si>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</si>
  <si>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</si>
  <si>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</si>
  <si>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</si>
  <si>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</si>
  <si>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</si>
  <si>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</si>
  <si>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</si>
  <si>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</si>
  <si>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</si>
  <si>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</si>
  <si>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</si>
  <si>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</si>
  <si>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</si>
  <si>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</si>
  <si>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</si>
  <si>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</si>
  <si>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</si>
  <si>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</si>
  <si>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</si>
  <si>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</si>
  <si>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</si>
  <si>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</si>
  <si>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</si>
  <si>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</si>
  <si>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</si>
  <si>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</si>
  <si>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</si>
  <si>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</si>
  <si>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</si>
  <si>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</si>
  <si>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</si>
  <si>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</si>
  <si>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</si>
  <si>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</si>
  <si>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</si>
  <si>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</si>
  <si>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</si>
  <si>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</si>
  <si>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</si>
  <si>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</si>
  <si>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</si>
  <si>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</si>
  <si>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</si>
  <si>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</si>
  <si>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</si>
  <si>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</si>
  <si>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</si>
  <si>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</si>
  <si>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</si>
  <si>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</si>
  <si>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</si>
  <si>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</si>
  <si>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</si>
  <si>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</si>
  <si>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</si>
  <si>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</si>
  <si>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</si>
  <si>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</si>
  <si>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</si>
  <si>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</si>
  <si>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</si>
  <si>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</si>
  <si>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</si>
  <si>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</si>
  <si>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</si>
  <si>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</si>
  <si>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</si>
  <si>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</si>
  <si>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</si>
  <si>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</si>
  <si>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</si>
  <si>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</si>
  <si>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</si>
  <si>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</si>
  <si>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</si>
  <si>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</si>
  <si>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</si>
  <si>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</si>
  <si>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</si>
  <si>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</si>
  <si>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</si>
  <si>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</si>
  <si>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</si>
  <si>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</si>
  <si>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</si>
  <si>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</si>
  <si>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</si>
  <si>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</si>
  <si>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</si>
  <si>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</si>
  <si>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</si>
  <si>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</si>
  <si>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</si>
  <si>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</si>
  <si>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</si>
  <si>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</si>
  <si>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</si>
  <si>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</si>
  <si>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</si>
  <si>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</si>
  <si>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</si>
  <si>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</si>
  <si>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</si>
  <si>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</si>
  <si>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</si>
  <si>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</si>
  <si>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</si>
  <si>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</si>
  <si>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</si>
  <si>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</si>
  <si>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</si>
  <si>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</si>
  <si>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</si>
  <si>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</si>
  <si>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</si>
  <si>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</si>
  <si>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</si>
  <si>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</si>
  <si>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</si>
  <si>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</si>
  <si>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</si>
  <si>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</si>
  <si>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</si>
  <si>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</si>
  <si>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</si>
  <si>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</si>
  <si>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</si>
  <si>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</si>
  <si>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</si>
  <si>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</si>
  <si>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</si>
  <si>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</si>
  <si>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</si>
  <si>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</si>
  <si>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</si>
  <si>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</si>
  <si>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</si>
  <si>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</si>
  <si>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</si>
  <si>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</si>
  <si>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</si>
  <si>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</si>
  <si>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</si>
  <si>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</si>
  <si>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</si>
  <si>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</si>
  <si>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</si>
  <si>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</si>
  <si>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</si>
  <si>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</si>
  <si>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</si>
  <si>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</si>
  <si>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</si>
  <si>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</si>
  <si>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</si>
  <si>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</si>
  <si>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</si>
  <si>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</si>
  <si>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</si>
  <si>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</si>
  <si>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</si>
  <si>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</si>
  <si>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</si>
  <si>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</si>
  <si>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</si>
  <si>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</si>
  <si>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</si>
  <si>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</si>
  <si>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</si>
  <si>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</si>
  <si>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</si>
  <si>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</si>
  <si>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</si>
  <si>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</si>
  <si>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</si>
  <si>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</si>
  <si>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</si>
  <si>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</si>
  <si>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</si>
  <si>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</si>
  <si>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</si>
  <si>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</si>
  <si>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</si>
  <si>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</si>
  <si>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</si>
  <si>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</si>
  <si>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</si>
  <si>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</si>
  <si>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</si>
  <si>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</si>
  <si>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</si>
  <si>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</si>
  <si>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</si>
  <si>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</si>
  <si>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</si>
  <si>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</si>
  <si>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</si>
  <si>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</si>
  <si>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</si>
  <si>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</si>
  <si>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</si>
  <si>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</si>
  <si>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</si>
  <si>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</si>
  <si>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</si>
  <si>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</si>
  <si>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</si>
  <si>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</si>
  <si>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</si>
  <si>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</si>
  <si>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</si>
  <si>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</si>
  <si>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</si>
  <si>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</si>
  <si>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</si>
  <si>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</si>
  <si>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</si>
  <si>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</si>
  <si>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</si>
  <si>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</si>
  <si>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</si>
  <si>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</si>
  <si>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</si>
  <si>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</si>
  <si>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</si>
  <si>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</si>
  <si>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</si>
  <si>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</si>
  <si>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</si>
  <si>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</si>
  <si>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</si>
  <si>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</si>
  <si>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</si>
  <si>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</si>
  <si>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</si>
  <si>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</si>
  <si>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</si>
  <si>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</si>
  <si>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</si>
  <si>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</si>
  <si>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</si>
  <si>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</si>
  <si>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</si>
  <si>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</si>
  <si>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</si>
  <si>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</si>
  <si>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</si>
  <si>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</si>
  <si>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</si>
  <si>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</si>
  <si>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</si>
  <si>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</si>
  <si>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</si>
  <si>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</si>
  <si>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</si>
  <si>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</si>
  <si>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</si>
  <si>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</si>
  <si>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</si>
  <si>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</si>
  <si>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</si>
  <si>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</si>
  <si>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</si>
  <si>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</si>
  <si>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</si>
  <si>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</si>
  <si>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</si>
  <si>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</si>
  <si>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</si>
  <si>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</si>
  <si>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</si>
  <si>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</si>
  <si>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</si>
  <si>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</si>
  <si>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</si>
  <si>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</si>
  <si>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</si>
  <si>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</si>
  <si>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</si>
  <si>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</si>
  <si>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</si>
  <si>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</si>
  <si>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</si>
  <si>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</si>
  <si>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</si>
  <si>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</si>
  <si>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</si>
  <si>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</si>
  <si>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</si>
  <si>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</si>
  <si>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</si>
  <si>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</si>
  <si>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</si>
  <si>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</si>
  <si>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</si>
  <si>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</si>
  <si>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</si>
  <si>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</si>
  <si>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</si>
  <si>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</si>
  <si>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</si>
  <si>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</si>
  <si>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</si>
  <si>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</si>
  <si>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</si>
  <si>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</si>
  <si>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</si>
  <si>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</si>
  <si>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</si>
  <si>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</si>
  <si>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</si>
  <si>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</si>
  <si>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</si>
  <si>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</si>
  <si>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</si>
  <si>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</si>
  <si>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</si>
  <si>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</si>
  <si>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</si>
  <si>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</si>
  <si>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</si>
  <si>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</si>
  <si>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</si>
  <si>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</si>
  <si>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</si>
  <si>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</si>
  <si>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</si>
  <si>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</si>
  <si>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</si>
  <si>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</si>
  <si>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</si>
  <si>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</si>
  <si>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</si>
  <si>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</si>
  <si>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</si>
  <si>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</si>
  <si>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</si>
  <si>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</si>
  <si>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</si>
  <si>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</si>
  <si>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</si>
  <si>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</si>
  <si>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</si>
  <si>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</si>
  <si>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</si>
  <si>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</si>
  <si>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</si>
  <si>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</si>
  <si>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</si>
  <si>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</si>
  <si>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</si>
  <si>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</si>
  <si>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</si>
  <si>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</si>
  <si>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</si>
  <si>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</si>
  <si>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</si>
  <si>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</si>
  <si>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</si>
  <si>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</si>
  <si>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</si>
  <si>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</si>
  <si>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</si>
  <si>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</si>
  <si>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</si>
  <si>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</si>
  <si>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</si>
  <si>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</si>
  <si>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</si>
  <si>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</si>
  <si>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</si>
  <si>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</si>
  <si>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</si>
  <si>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</si>
  <si>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</si>
  <si>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</si>
  <si>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</si>
  <si>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</si>
  <si>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</si>
  <si>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</si>
  <si>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</si>
  <si>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</si>
  <si>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</si>
  <si>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</si>
  <si>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</si>
  <si>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</si>
  <si>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</si>
  <si>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</si>
  <si>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</si>
  <si>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</si>
  <si>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</si>
  <si>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</si>
  <si>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</si>
  <si>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</si>
  <si>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</si>
  <si>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</si>
  <si>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</si>
  <si>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</si>
  <si>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</si>
  <si>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</si>
  <si>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</si>
  <si>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</si>
  <si>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</si>
  <si>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</si>
  <si>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</si>
  <si>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</si>
  <si>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</si>
  <si>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</si>
  <si>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</si>
  <si>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</si>
  <si>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</si>
  <si>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</si>
  <si>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</si>
  <si>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</si>
  <si>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</si>
  <si>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</si>
  <si>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</si>
  <si>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</si>
  <si>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</si>
  <si>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</si>
  <si>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</si>
  <si>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</si>
  <si>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</si>
  <si>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</si>
  <si>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</si>
  <si>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</si>
  <si>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</si>
  <si>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</si>
  <si>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</si>
  <si>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</si>
  <si>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</si>
  <si>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</si>
  <si>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</si>
  <si>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</si>
  <si>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</si>
  <si>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</si>
  <si>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</si>
  <si>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</si>
  <si>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</si>
  <si>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</si>
  <si>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</si>
  <si>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</si>
  <si>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</si>
  <si>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</si>
  <si>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</si>
  <si>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</si>
  <si>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</si>
  <si>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</si>
  <si>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</si>
  <si>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</si>
  <si>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</si>
  <si>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</si>
  <si>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</si>
  <si>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</si>
  <si>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</si>
  <si>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</si>
  <si>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</si>
  <si>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</si>
  <si>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</si>
  <si>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</si>
  <si>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</si>
  <si>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</si>
  <si>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</si>
  <si>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</si>
  <si>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</si>
  <si>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</si>
  <si>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</si>
  <si>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</si>
  <si>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</si>
  <si>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</si>
  <si>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</si>
  <si>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</si>
  <si>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</si>
  <si>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</si>
  <si>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</si>
  <si>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</si>
  <si>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</si>
  <si>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</si>
  <si>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</si>
  <si>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</si>
  <si>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</si>
  <si>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</si>
  <si>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</si>
  <si>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</si>
  <si>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</si>
  <si>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</si>
  <si>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</si>
  <si>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</si>
  <si>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</si>
  <si>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</si>
  <si>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</si>
  <si>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</si>
  <si>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</si>
  <si>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</si>
  <si>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</si>
  <si>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</si>
  <si>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</si>
  <si>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</si>
  <si>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</si>
  <si>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</si>
  <si>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</si>
  <si>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</si>
  <si>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</si>
  <si>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</si>
  <si>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</si>
  <si>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</si>
  <si>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</si>
  <si>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</si>
  <si>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</si>
  <si>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</si>
  <si>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</si>
  <si>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</si>
  <si>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</si>
  <si>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</si>
  <si>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</si>
  <si>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</si>
  <si>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</si>
  <si>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</si>
  <si>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</si>
  <si>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</si>
  <si>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</si>
  <si>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</si>
  <si>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</si>
  <si>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</si>
  <si>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</si>
  <si>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</si>
  <si>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</si>
  <si>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</si>
  <si>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</si>
  <si>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</si>
  <si>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</si>
  <si>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</si>
  <si>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</si>
  <si>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</si>
  <si>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</si>
  <si>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</si>
  <si>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</si>
  <si>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</si>
  <si>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</si>
  <si>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</si>
  <si>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</si>
  <si>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</si>
  <si>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</si>
  <si>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</si>
  <si>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</si>
  <si>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</si>
  <si>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</si>
  <si>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</si>
  <si>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</si>
  <si>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</si>
  <si>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</si>
  <si>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</si>
  <si>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</si>
  <si>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</si>
  <si>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</si>
  <si>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</si>
  <si>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</si>
  <si>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</si>
  <si>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</si>
  <si>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</si>
  <si>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</si>
  <si>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</si>
  <si>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</si>
  <si>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</si>
  <si>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</si>
  <si>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</si>
  <si>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</si>
  <si>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</si>
  <si>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</si>
  <si>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</si>
  <si>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</si>
  <si>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</si>
  <si>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</si>
  <si>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</si>
  <si>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</si>
  <si>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</si>
  <si>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</si>
  <si>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</si>
  <si>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</si>
  <si>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</si>
  <si>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</si>
  <si>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</si>
  <si>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</si>
  <si>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</si>
  <si>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</si>
  <si>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</si>
  <si>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</si>
  <si>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</si>
  <si>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</si>
  <si>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</si>
  <si>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</si>
  <si>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</si>
  <si>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</si>
  <si>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</si>
  <si>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</si>
  <si>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</si>
  <si>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</si>
  <si>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</si>
  <si>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</si>
  <si>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</si>
  <si>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</si>
  <si>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</si>
  <si>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</si>
  <si>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</si>
  <si>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</si>
  <si>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</si>
  <si>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</si>
  <si>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</si>
  <si>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</si>
  <si>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</si>
  <si>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</si>
  <si>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</si>
  <si>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</si>
  <si>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</si>
  <si>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</si>
  <si>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</si>
  <si>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</si>
  <si>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</si>
  <si>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</si>
  <si>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</si>
  <si>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</si>
  <si>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</si>
  <si>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</si>
  <si>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</si>
  <si>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</si>
  <si>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</si>
  <si>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</si>
  <si>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</si>
  <si>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</si>
  <si>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</si>
  <si>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</si>
  <si>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</si>
  <si>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</si>
  <si>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</si>
  <si>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</si>
  <si>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</si>
  <si>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</si>
  <si>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</si>
  <si>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</si>
  <si>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</si>
  <si>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</si>
  <si>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</si>
  <si>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</si>
  <si>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</si>
  <si>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</si>
  <si>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</si>
  <si>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</si>
  <si>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</si>
  <si>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</si>
  <si>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</si>
  <si>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</si>
  <si>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</si>
  <si>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</si>
  <si>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</si>
  <si>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</si>
  <si>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</si>
  <si>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</si>
  <si>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</si>
  <si>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</si>
  <si>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</si>
  <si>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</si>
  <si>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</si>
  <si>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</si>
  <si>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</si>
  <si>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</si>
  <si>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</si>
  <si>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</si>
  <si>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</si>
  <si>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</si>
  <si>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</si>
  <si>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</si>
  <si>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</si>
  <si>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</si>
  <si>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</si>
  <si>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</si>
  <si>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</si>
  <si>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</si>
  <si>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</si>
  <si>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</si>
  <si>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</si>
  <si>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</si>
  <si>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</si>
  <si>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</si>
  <si>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</si>
  <si>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</si>
  <si>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</si>
  <si>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</si>
  <si>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</si>
  <si>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</si>
  <si>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</si>
  <si>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</si>
  <si>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</si>
  <si>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</si>
  <si>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</si>
  <si>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</si>
  <si>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</si>
  <si>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</si>
  <si>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</si>
  <si>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</si>
  <si>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</si>
  <si>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</si>
  <si>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</si>
  <si>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</si>
  <si>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</si>
  <si>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</si>
  <si>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</si>
  <si>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</si>
  <si>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</si>
  <si>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</si>
  <si>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</si>
  <si>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</si>
  <si>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</si>
  <si>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</si>
  <si>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</si>
  <si>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</si>
  <si>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</si>
  <si>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</si>
  <si>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</si>
  <si>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</si>
  <si>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</si>
  <si>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</si>
  <si>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</si>
  <si>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</si>
  <si>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</si>
  <si>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</si>
  <si>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</si>
  <si>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</si>
  <si>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</si>
  <si>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</si>
  <si>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</si>
  <si>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</si>
  <si>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</si>
  <si>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</si>
  <si>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</si>
  <si>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</si>
  <si>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</si>
  <si>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</si>
  <si>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</si>
  <si>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</si>
  <si>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</si>
  <si>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</si>
  <si>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</si>
  <si>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</si>
  <si>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</si>
  <si>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</si>
  <si>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</si>
  <si>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</si>
  <si>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</si>
  <si>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</si>
  <si>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</si>
  <si>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</si>
  <si>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</si>
  <si>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</si>
  <si>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</si>
  <si>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</si>
  <si>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</si>
  <si>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</si>
  <si>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</si>
  <si>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</si>
  <si>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</si>
  <si>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</si>
  <si>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</si>
  <si>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</si>
  <si>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</si>
  <si>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</si>
  <si>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</si>
  <si>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</si>
  <si>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</si>
  <si>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</si>
  <si>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</si>
  <si>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</si>
  <si>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</si>
  <si>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</si>
  <si>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</si>
  <si>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</si>
  <si>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</si>
  <si>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</si>
  <si>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</si>
  <si>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</si>
  <si>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</si>
  <si>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</si>
  <si>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</si>
  <si>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</si>
  <si>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</si>
  <si>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</si>
  <si>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</si>
  <si>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</si>
  <si>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</si>
  <si>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</si>
  <si>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</si>
  <si>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</si>
  <si>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</si>
  <si>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</si>
  <si>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</si>
  <si>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</si>
  <si>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</si>
  <si>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</si>
  <si>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</si>
  <si>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</si>
  <si>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</si>
  <si>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</si>
  <si>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</si>
  <si>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</si>
  <si>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</si>
  <si>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</si>
  <si>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</si>
  <si>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</si>
  <si>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</si>
  <si>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</si>
  <si>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</si>
  <si>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</si>
  <si>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</si>
  <si>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</si>
  <si>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</si>
  <si>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</si>
  <si>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</si>
  <si>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</si>
  <si>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</si>
  <si>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</si>
  <si>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</si>
  <si>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</si>
  <si>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</si>
  <si>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</si>
  <si>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</si>
  <si>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</si>
  <si>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</si>
  <si>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</si>
  <si>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</si>
  <si>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</si>
  <si>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</si>
  <si>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</si>
  <si>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</si>
  <si>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</si>
  <si>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</si>
  <si>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</si>
  <si>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</si>
  <si>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</si>
  <si>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</si>
  <si>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</si>
  <si>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</si>
  <si>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</si>
  <si>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</si>
  <si>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</si>
  <si>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</si>
  <si>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</si>
  <si>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</si>
  <si>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</si>
  <si>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</si>
  <si>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</si>
  <si>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</si>
  <si>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</si>
  <si>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</si>
  <si>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</si>
  <si>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</si>
  <si>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</si>
  <si>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</si>
  <si>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</si>
  <si>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</si>
  <si>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</si>
  <si>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</si>
  <si>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</si>
  <si>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</si>
  <si>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</si>
  <si>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</si>
  <si>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</si>
  <si>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</si>
  <si>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</si>
  <si>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</si>
  <si>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</si>
  <si>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</si>
  <si>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</si>
  <si>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</si>
  <si>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</si>
  <si>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</si>
  <si>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</si>
  <si>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</si>
  <si>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</si>
  <si>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</si>
  <si>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</si>
  <si>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</si>
  <si>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</si>
  <si>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</si>
  <si>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</si>
  <si>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</si>
  <si>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</si>
  <si>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</si>
  <si>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</si>
  <si>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</si>
  <si>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</si>
  <si>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</si>
  <si>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</si>
  <si>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</si>
  <si>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</si>
  <si>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</si>
  <si>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</si>
  <si>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</si>
  <si>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</si>
  <si>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</si>
  <si>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</si>
  <si>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</si>
  <si>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</si>
  <si>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</si>
  <si>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</si>
  <si>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</si>
  <si>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</si>
  <si>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</si>
  <si>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</si>
  <si>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</si>
  <si>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</si>
  <si>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</si>
  <si>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</si>
  <si>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</si>
  <si>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</si>
  <si>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</si>
  <si>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</si>
  <si>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</si>
  <si>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</si>
  <si>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</si>
  <si>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</si>
  <si>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</si>
  <si>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</si>
  <si>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</si>
  <si>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</si>
  <si>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</si>
  <si>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</si>
  <si>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</si>
  <si>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</si>
  <si>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</si>
  <si>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</si>
  <si>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</si>
  <si>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</si>
  <si>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</si>
  <si>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</si>
  <si>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</si>
  <si>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</si>
  <si>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</si>
  <si>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</si>
  <si>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</si>
  <si>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</si>
  <si>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</si>
  <si>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</si>
  <si>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</si>
  <si>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</si>
  <si>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</si>
  <si>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</si>
  <si>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</si>
  <si>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</si>
  <si>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</si>
  <si>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</si>
  <si>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</si>
  <si>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</si>
  <si>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</si>
  <si>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</si>
  <si>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</si>
  <si>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</si>
  <si>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</si>
  <si>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</si>
  <si>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</si>
  <si>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</si>
  <si>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</si>
  <si>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</si>
  <si>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</si>
  <si>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</si>
  <si>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</si>
  <si>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</si>
  <si>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</si>
  <si>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</si>
  <si>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</si>
  <si>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</si>
  <si>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</si>
  <si>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</si>
  <si>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</si>
  <si>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</si>
  <si>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</si>
  <si>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</si>
  <si>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</si>
  <si>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</si>
  <si>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</si>
  <si>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</si>
  <si>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</si>
  <si>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</si>
  <si>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</si>
  <si>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</si>
  <si>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</si>
  <si>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</si>
  <si>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</si>
  <si>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</si>
  <si>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</si>
  <si>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</si>
  <si>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</si>
  <si>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</si>
  <si>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</si>
  <si>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</si>
  <si>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</si>
  <si>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</si>
  <si>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</si>
  <si>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</si>
  <si>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</si>
  <si>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</si>
  <si>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</si>
  <si>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</si>
  <si>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</si>
  <si>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</si>
  <si>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</si>
  <si>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</si>
  <si>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</si>
  <si>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</si>
  <si>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</si>
  <si>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</si>
  <si>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</si>
  <si>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</si>
  <si>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</si>
  <si>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</si>
  <si>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</si>
  <si>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</si>
  <si>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</si>
  <si>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</si>
  <si>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</si>
  <si>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</si>
  <si>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</si>
  <si>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</si>
  <si>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</si>
  <si>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</si>
  <si>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</si>
  <si>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</si>
  <si>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</si>
  <si>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</si>
  <si>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</si>
  <si>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</si>
  <si>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</si>
  <si>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</si>
  <si>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</si>
  <si>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</si>
  <si>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</si>
  <si>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</si>
  <si>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</si>
  <si>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</si>
  <si>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</si>
  <si>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</si>
  <si>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</si>
  <si>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</si>
  <si>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</si>
  <si>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</si>
  <si>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</si>
  <si>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</si>
  <si>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</si>
  <si>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</si>
  <si>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</si>
  <si>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</si>
  <si>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</si>
  <si>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</si>
  <si>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</si>
  <si>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</si>
  <si>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</si>
  <si>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</si>
  <si>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</si>
  <si>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</si>
  <si>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</si>
  <si>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</si>
  <si>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</si>
  <si>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</si>
  <si>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</si>
  <si>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</si>
  <si>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</si>
  <si>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</si>
  <si>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</si>
  <si>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</si>
  <si>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</si>
  <si>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</si>
  <si>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</si>
  <si>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</si>
  <si>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</si>
  <si>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</si>
  <si>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</si>
  <si>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</si>
  <si>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</si>
  <si>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</si>
  <si>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</si>
  <si>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</si>
  <si>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</si>
  <si>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</si>
  <si>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</si>
  <si>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</si>
  <si>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</si>
  <si>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</si>
  <si>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</si>
  <si>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</si>
  <si>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</si>
  <si>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</si>
  <si>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</si>
  <si>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</si>
  <si>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</si>
  <si>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</si>
  <si>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</si>
  <si>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</si>
  <si>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</si>
  <si>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</si>
  <si>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</si>
  <si>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</si>
  <si>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</si>
  <si>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</si>
  <si>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</si>
  <si>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</si>
  <si>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</si>
  <si>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</si>
  <si>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</si>
  <si>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</si>
  <si>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</si>
  <si>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</si>
  <si>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</si>
  <si>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</si>
  <si>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</si>
  <si>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</si>
  <si>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</si>
  <si>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</si>
  <si>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</si>
  <si>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</si>
  <si>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</si>
  <si>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</si>
  <si>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</si>
  <si>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</si>
  <si>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</si>
  <si>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</si>
  <si>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</si>
  <si>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</si>
  <si>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</si>
  <si>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</si>
  <si>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</si>
  <si>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</si>
  <si>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</si>
  <si>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</si>
  <si>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</si>
  <si>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</si>
  <si>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</si>
  <si>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</si>
  <si>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</si>
  <si>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</si>
  <si>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</si>
  <si>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</si>
  <si>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</si>
  <si>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</si>
  <si>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</si>
  <si>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</si>
  <si>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</si>
  <si>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</si>
  <si>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</si>
  <si>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</si>
  <si>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</si>
  <si>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</si>
  <si>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</si>
  <si>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</si>
  <si>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</si>
  <si>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</si>
  <si>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</si>
  <si>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</si>
  <si>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</si>
  <si>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</si>
  <si>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</si>
  <si>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</si>
  <si>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</si>
  <si>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</si>
  <si>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</si>
  <si>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</si>
  <si>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</si>
  <si>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</si>
  <si>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</si>
  <si>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</si>
  <si>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</si>
  <si>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</si>
  <si>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</si>
  <si>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</si>
  <si>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</si>
  <si>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</si>
  <si>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</si>
  <si>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</si>
  <si>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</si>
  <si>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</si>
  <si>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</si>
  <si>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</si>
  <si>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</si>
  <si>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</si>
  <si>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</si>
  <si>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</si>
  <si>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</si>
  <si>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</si>
  <si>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</si>
  <si>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</si>
  <si>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</si>
  <si>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</si>
  <si>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</si>
  <si>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</si>
  <si>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</si>
  <si>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</si>
  <si>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</si>
  <si>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</si>
  <si>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</si>
  <si>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</si>
  <si>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</si>
  <si>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</si>
  <si>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</si>
  <si>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</si>
  <si>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</si>
  <si>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</si>
  <si>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</si>
  <si>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</si>
  <si>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</si>
  <si>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</si>
  <si>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</si>
  <si>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</si>
  <si>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</si>
  <si>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</si>
  <si>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</si>
  <si>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</si>
  <si>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</si>
  <si>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</si>
  <si>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</si>
  <si>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</si>
  <si>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</si>
  <si>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</si>
  <si>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</si>
  <si>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</si>
  <si>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</si>
  <si>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</si>
  <si>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</si>
  <si>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</si>
  <si>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</si>
  <si>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</si>
  <si>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</si>
  <si>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</si>
  <si>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</si>
  <si>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</si>
  <si>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</si>
  <si>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</si>
  <si>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</si>
  <si>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</si>
  <si>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</si>
  <si>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</si>
  <si>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</si>
  <si>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</si>
  <si>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</si>
  <si>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</si>
  <si>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</si>
  <si>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</si>
  <si>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</si>
  <si>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</si>
  <si>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</si>
  <si>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</si>
  <si>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</si>
  <si>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</si>
  <si>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</si>
  <si>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</si>
  <si>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</si>
  <si>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</si>
  <si>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</si>
  <si>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</si>
  <si>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</si>
  <si>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</si>
  <si>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</si>
  <si>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</si>
  <si>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</si>
  <si>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</si>
  <si>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</si>
  <si>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</si>
  <si>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</si>
  <si>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</si>
  <si>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</si>
  <si>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</si>
  <si>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</si>
  <si>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</si>
  <si>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</si>
  <si>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</si>
  <si>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</si>
  <si>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</si>
  <si>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</si>
  <si>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</si>
  <si>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</si>
  <si>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</si>
  <si>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</si>
  <si>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</si>
  <si>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</si>
  <si>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</si>
  <si>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</si>
  <si>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</si>
  <si>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</si>
  <si>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</si>
  <si>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</si>
  <si>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</si>
  <si>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</si>
  <si>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</si>
  <si>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</si>
  <si>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</si>
  <si>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</si>
  <si>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</si>
  <si>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</si>
  <si>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</si>
  <si>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</si>
  <si>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</si>
  <si>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</si>
  <si>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</si>
  <si>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</si>
  <si>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</si>
  <si>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</si>
  <si>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</si>
  <si>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</si>
  <si>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</si>
  <si>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</si>
  <si>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</si>
  <si>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</si>
  <si>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</si>
  <si>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</si>
  <si>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</si>
  <si>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</si>
  <si>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</si>
  <si>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</si>
  <si>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</si>
  <si>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</si>
  <si>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</si>
  <si>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</si>
  <si>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</si>
  <si>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</si>
  <si>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</si>
  <si>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</si>
  <si>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</si>
  <si>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</si>
  <si>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</si>
  <si>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</si>
  <si>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</si>
  <si>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</si>
  <si>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</si>
  <si>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</si>
  <si>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</si>
  <si>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</si>
  <si>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</si>
  <si>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</si>
  <si>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</si>
  <si>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</si>
  <si>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</si>
  <si>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</si>
  <si>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</si>
  <si>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</si>
  <si>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</si>
  <si>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</si>
  <si>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</si>
  <si>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</si>
  <si>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</si>
  <si>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</si>
  <si>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</si>
  <si>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</si>
  <si>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</si>
  <si>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</si>
  <si>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</si>
  <si>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</si>
  <si>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</si>
  <si>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</si>
  <si>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</si>
  <si>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</si>
  <si>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</si>
  <si>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</si>
  <si>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</si>
  <si>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</si>
  <si>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</si>
  <si>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</si>
  <si>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</si>
  <si>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</si>
  <si>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</si>
  <si>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</si>
  <si>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</si>
  <si>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</si>
  <si>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</si>
  <si>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</si>
  <si>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</si>
  <si>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</si>
  <si>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</si>
  <si>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</si>
  <si>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</si>
  <si>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</si>
  <si>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</si>
  <si>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</si>
  <si>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</si>
  <si>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</si>
  <si>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</si>
  <si>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</si>
  <si>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</si>
  <si>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</si>
  <si>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</si>
  <si>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</si>
  <si>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</si>
  <si>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</si>
  <si>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</si>
  <si>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</si>
  <si>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</si>
  <si>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</si>
  <si>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</si>
  <si>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</si>
  <si>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</si>
  <si>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</si>
  <si>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</si>
  <si>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</si>
  <si>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</si>
  <si>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</si>
  <si>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</si>
  <si>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</si>
  <si>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</si>
  <si>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</si>
  <si>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</si>
  <si>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</si>
  <si>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</si>
  <si>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</si>
  <si>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</si>
  <si>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</si>
  <si>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</si>
  <si>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</si>
  <si>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</si>
  <si>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</si>
  <si>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</si>
  <si>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</si>
  <si>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</si>
  <si>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</si>
  <si>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</si>
  <si>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</si>
  <si>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</si>
  <si>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</si>
  <si>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</si>
  <si>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</si>
  <si>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</si>
  <si>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</si>
  <si>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</si>
  <si>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</si>
  <si>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</si>
  <si>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</si>
  <si>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</si>
  <si>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</si>
  <si>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</si>
  <si>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</si>
  <si>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</si>
  <si>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</si>
  <si>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</si>
  <si>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</si>
  <si>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</si>
  <si>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</si>
  <si>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</si>
  <si>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</si>
  <si>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</si>
  <si>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</si>
  <si>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</si>
  <si>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</si>
  <si>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</si>
  <si>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</si>
  <si>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</si>
  <si>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</si>
  <si>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</si>
  <si>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</si>
  <si>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</si>
  <si>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</si>
  <si>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</si>
  <si>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</si>
  <si>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</si>
  <si>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</si>
  <si>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</si>
  <si>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</si>
  <si>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</si>
  <si>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</si>
  <si>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</si>
  <si>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</si>
  <si>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</si>
  <si>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</si>
  <si>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</si>
  <si>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</si>
  <si>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</si>
  <si>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</si>
  <si>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</si>
  <si>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</si>
  <si>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</si>
  <si>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</si>
  <si>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</si>
  <si>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</si>
  <si>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</si>
  <si>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</si>
  <si>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</si>
  <si>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</si>
  <si>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</si>
  <si>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</si>
  <si>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</si>
  <si>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</si>
  <si>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</si>
  <si>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</si>
  <si>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</si>
  <si>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</si>
  <si>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</si>
  <si>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</si>
  <si>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</si>
  <si>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</si>
  <si>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</si>
  <si>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</si>
  <si>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</si>
  <si>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</si>
  <si>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</si>
  <si>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</si>
  <si>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</si>
  <si>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</si>
  <si>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</si>
  <si>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</si>
  <si>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</si>
  <si>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</si>
  <si>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</si>
  <si>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</si>
  <si>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</si>
  <si>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</si>
  <si>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</si>
  <si>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</si>
  <si>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</si>
  <si>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</si>
  <si>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</si>
  <si>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</si>
  <si>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</si>
  <si>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</si>
  <si>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</si>
  <si>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</si>
  <si>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</si>
  <si>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</si>
  <si>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</si>
  <si>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</si>
  <si>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</si>
  <si>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</si>
  <si>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</si>
  <si>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</si>
  <si>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</si>
  <si>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</si>
  <si>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</si>
  <si>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</si>
  <si>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</si>
  <si>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</si>
  <si>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</si>
  <si>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</si>
  <si>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</si>
  <si>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</si>
  <si>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</si>
  <si>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</si>
  <si>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</si>
  <si>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</si>
  <si>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</si>
  <si>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</si>
  <si>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</si>
  <si>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</si>
  <si>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</si>
  <si>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</si>
  <si>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</si>
  <si>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</si>
  <si>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</si>
  <si>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</si>
  <si>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</si>
  <si>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</si>
  <si>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</si>
  <si>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</si>
  <si>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</si>
  <si>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</si>
  <si>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</si>
  <si>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</si>
  <si>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</si>
  <si>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</si>
  <si>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</si>
  <si>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</si>
  <si>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</si>
  <si>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</si>
  <si>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</si>
  <si>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</si>
  <si>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</si>
  <si>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</si>
  <si>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</si>
  <si>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</si>
  <si>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</si>
  <si>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</si>
  <si>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</si>
  <si>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</si>
  <si>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</si>
  <si>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</si>
  <si>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</si>
  <si>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</si>
  <si>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</si>
  <si>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</si>
  <si>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</si>
  <si>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</si>
  <si>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</si>
  <si>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</si>
  <si>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</si>
  <si>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</si>
  <si>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</si>
  <si>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</si>
  <si>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</si>
  <si>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</si>
  <si>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</si>
  <si>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</si>
  <si>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</si>
  <si>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</si>
  <si>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</si>
  <si>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</si>
  <si>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</si>
  <si>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</si>
  <si>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</si>
  <si>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</si>
  <si>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</si>
  <si>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</si>
  <si>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</si>
  <si>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</si>
  <si>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</si>
  <si>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</si>
  <si>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</si>
  <si>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</si>
  <si>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</si>
  <si>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</si>
  <si>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</si>
  <si>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</si>
  <si>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</si>
  <si>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</si>
  <si>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</si>
  <si>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</si>
  <si>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</si>
  <si>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</si>
  <si>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</si>
  <si>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</si>
  <si>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</si>
  <si>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</si>
  <si>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</si>
  <si>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</si>
  <si>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</si>
  <si>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</si>
  <si>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</si>
  <si>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</si>
  <si>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</si>
  <si>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</si>
  <si>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</si>
  <si>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</si>
  <si>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</si>
  <si>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</si>
  <si>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</si>
  <si>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</si>
  <si>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</si>
  <si>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</si>
  <si>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</si>
  <si>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</si>
  <si>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</si>
  <si>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</si>
  <si>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</si>
  <si>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</si>
  <si>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</si>
  <si>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</si>
  <si>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</si>
  <si>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</si>
  <si>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</si>
  <si>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</si>
  <si>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</si>
  <si>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</si>
  <si>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</si>
  <si>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</si>
  <si>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</si>
  <si>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</si>
  <si>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</si>
  <si>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</si>
  <si>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</si>
  <si>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</si>
  <si>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</si>
  <si>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</si>
  <si>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</si>
  <si>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</si>
  <si>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</si>
  <si>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</si>
  <si>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</si>
  <si>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</si>
  <si>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</si>
  <si>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</si>
  <si>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</si>
  <si>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</si>
  <si>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</si>
  <si>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</si>
  <si>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</si>
  <si>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</si>
  <si>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</si>
  <si>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</si>
  <si>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</si>
  <si>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</si>
  <si>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</si>
  <si>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</si>
  <si>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</si>
  <si>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</si>
  <si>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</si>
  <si>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</si>
  <si>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</si>
  <si>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</si>
  <si>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</si>
  <si>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</si>
  <si>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</si>
  <si>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</si>
  <si>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</si>
  <si>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</si>
  <si>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</si>
  <si>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</si>
  <si>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</si>
  <si>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</si>
  <si>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</si>
  <si>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</si>
  <si>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</si>
  <si>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</si>
  <si>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</si>
  <si>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</si>
  <si>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</si>
  <si>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</si>
  <si>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</si>
  <si>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</si>
  <si>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</si>
  <si>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</si>
  <si>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</si>
  <si>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</si>
  <si>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</si>
  <si>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</si>
  <si>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</si>
  <si>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</si>
  <si>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</si>
  <si>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</si>
  <si>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</si>
  <si>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</si>
  <si>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</si>
  <si>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</si>
  <si>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</si>
  <si>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</si>
  <si>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</si>
  <si>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</si>
  <si>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</si>
  <si>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</si>
  <si>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</si>
  <si>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</si>
  <si>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</si>
  <si>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</si>
  <si>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</si>
  <si>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</si>
  <si>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</si>
  <si>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</si>
  <si>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</si>
  <si>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</si>
  <si>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</si>
  <si>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</si>
  <si>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</si>
  <si>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</si>
  <si>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</si>
  <si>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</si>
  <si>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</si>
  <si>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</si>
  <si>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</si>
  <si>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</si>
  <si>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</si>
  <si>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</si>
  <si>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</si>
  <si>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</si>
  <si>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</si>
  <si>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</si>
  <si>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</si>
  <si>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</si>
  <si>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</si>
  <si>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</si>
  <si>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</si>
  <si>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</si>
  <si>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</si>
  <si>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</si>
  <si>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</si>
  <si>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</si>
  <si>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</si>
  <si>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</si>
  <si>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</si>
  <si>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</si>
  <si>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</si>
  <si>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</si>
  <si>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</si>
  <si>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</si>
  <si>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</si>
  <si>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</si>
  <si>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</si>
  <si>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</si>
  <si>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</si>
  <si>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</si>
  <si>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</si>
  <si>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</si>
  <si>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</si>
  <si>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</si>
  <si>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</si>
  <si>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</si>
  <si>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</si>
  <si>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</si>
  <si>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</si>
  <si>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</si>
  <si>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</si>
  <si>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</si>
  <si>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</si>
  <si>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</si>
  <si>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</si>
  <si>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</si>
  <si>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</si>
  <si>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</si>
  <si>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</si>
  <si>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</si>
  <si>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</si>
  <si>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</si>
  <si>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</si>
  <si>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</si>
  <si>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</si>
  <si>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</si>
  <si>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</si>
  <si>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</si>
  <si>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</si>
  <si>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</si>
  <si>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</si>
  <si>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</si>
  <si>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</si>
  <si>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</si>
  <si>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</si>
  <si>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</si>
  <si>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</si>
  <si>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</si>
  <si>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</si>
  <si>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</si>
  <si>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</si>
  <si>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</si>
  <si>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</si>
  <si>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</si>
  <si>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</si>
  <si>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</si>
  <si>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</si>
  <si>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</si>
  <si>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</si>
  <si>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</si>
  <si>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</si>
  <si>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</si>
  <si>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</si>
  <si>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</si>
  <si>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</si>
  <si>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</si>
  <si>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</si>
  <si>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</si>
  <si>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</si>
  <si>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</si>
  <si>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</si>
  <si>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</si>
  <si>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</si>
  <si>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</si>
  <si>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</si>
  <si>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</si>
  <si>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</si>
  <si>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</si>
  <si>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</si>
  <si>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</si>
  <si>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</si>
  <si>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</si>
  <si>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</si>
  <si>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</si>
  <si>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</si>
  <si>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</si>
  <si>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</si>
  <si>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</si>
  <si>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</si>
  <si>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</si>
  <si>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</si>
  <si>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</si>
  <si>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</si>
  <si>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</si>
  <si>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</si>
  <si>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</si>
  <si>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</si>
  <si>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</si>
  <si>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</si>
  <si>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</si>
  <si>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</si>
  <si>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</si>
  <si>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</si>
  <si>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</si>
  <si>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</si>
  <si>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</si>
  <si>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</si>
  <si>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</si>
  <si>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</si>
  <si>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</si>
  <si>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</si>
  <si>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</si>
  <si>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</si>
  <si>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</si>
  <si>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</si>
  <si>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</si>
  <si>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</si>
  <si>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</si>
  <si>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</si>
  <si>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</si>
  <si>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</si>
  <si>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</si>
  <si>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</si>
  <si>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</si>
  <si>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</si>
  <si>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</si>
  <si>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</si>
  <si>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</si>
  <si>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</si>
  <si>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</si>
  <si>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</si>
  <si>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</si>
  <si>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</si>
  <si>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</si>
  <si>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</si>
  <si>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</si>
  <si>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</si>
  <si>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</si>
  <si>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</si>
  <si>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</si>
  <si>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</si>
  <si>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</si>
  <si>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</si>
  <si>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</si>
  <si>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</si>
  <si>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</si>
  <si>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</si>
  <si>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</si>
  <si>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</si>
  <si>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</si>
  <si>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</si>
  <si>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</si>
  <si>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</si>
  <si>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</si>
  <si>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</si>
  <si>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</si>
  <si>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</si>
  <si>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</si>
  <si>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</si>
  <si>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</si>
  <si>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</si>
  <si>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</si>
  <si>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</si>
  <si>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</si>
  <si>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</si>
  <si>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</si>
  <si>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</si>
  <si>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</si>
  <si>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</si>
  <si>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</si>
  <si>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</si>
  <si>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</si>
  <si>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</si>
  <si>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</si>
  <si>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</si>
  <si>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</si>
  <si>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</si>
  <si>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</si>
  <si>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</si>
  <si>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</si>
  <si>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</si>
  <si>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</si>
  <si>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</si>
  <si>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</si>
  <si>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</si>
  <si>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</si>
  <si>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</si>
  <si>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</si>
  <si>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</si>
  <si>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</si>
  <si>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</si>
  <si>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</si>
  <si>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</si>
  <si>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</si>
  <si>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</si>
  <si>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</si>
  <si>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</si>
  <si>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</si>
  <si>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</si>
  <si>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</si>
  <si>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</si>
  <si>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</si>
  <si>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</si>
  <si>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</si>
  <si>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</si>
  <si>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</si>
  <si>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</si>
  <si>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</si>
  <si>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</si>
  <si>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</si>
  <si>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</si>
  <si>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</si>
  <si>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</si>
  <si>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</si>
  <si>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</si>
  <si>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</si>
  <si>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</si>
  <si>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</si>
  <si>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</si>
  <si>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</si>
  <si>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</si>
  <si>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</si>
  <si>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</si>
  <si>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</si>
  <si>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</si>
  <si>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</si>
  <si>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</si>
  <si>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</si>
  <si>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</si>
  <si>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</si>
  <si>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</si>
  <si>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</si>
  <si>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</si>
  <si>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</si>
  <si>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</si>
  <si>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</si>
  <si>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</si>
  <si>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</si>
  <si>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</si>
  <si>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</si>
  <si>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</si>
  <si>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</si>
  <si>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</si>
  <si>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</si>
  <si>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</si>
  <si>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</si>
  <si>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</si>
  <si>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</si>
  <si>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</si>
  <si>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</si>
  <si>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</si>
  <si>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</si>
  <si>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</si>
  <si>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</si>
  <si>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</si>
  <si>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</si>
  <si>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</si>
  <si>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</si>
  <si>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</si>
  <si>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</si>
  <si>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</si>
  <si>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</si>
  <si>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</si>
  <si>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</si>
  <si>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</si>
  <si>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</si>
  <si>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</si>
  <si>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</si>
  <si>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</si>
  <si>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</si>
  <si>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</si>
  <si>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</si>
  <si>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</si>
  <si>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</si>
  <si>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</si>
  <si>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</si>
  <si>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</si>
  <si>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</si>
  <si>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</si>
  <si>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</si>
  <si>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</si>
  <si>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</si>
  <si>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</si>
  <si>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</si>
  <si>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</si>
  <si>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</si>
  <si>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</si>
  <si>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</si>
  <si>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</si>
  <si>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</si>
  <si>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</si>
  <si>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</si>
  <si>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</si>
  <si>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</si>
  <si>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</si>
  <si>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</si>
  <si>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</si>
  <si>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</si>
  <si>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</si>
  <si>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</si>
  <si>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</si>
  <si>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</si>
  <si>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</si>
  <si>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</si>
  <si>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</si>
  <si>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</si>
  <si>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</si>
  <si>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</si>
  <si>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</si>
  <si>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</si>
  <si>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</si>
  <si>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</si>
  <si>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</si>
  <si>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</si>
  <si>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</si>
  <si>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</si>
  <si>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</si>
  <si>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</si>
  <si>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</si>
  <si>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</si>
  <si>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</si>
  <si>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</si>
  <si>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</si>
  <si>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</si>
  <si>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</si>
  <si>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</si>
  <si>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</si>
  <si>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</si>
  <si>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</si>
  <si>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</si>
  <si>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</si>
  <si>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</si>
  <si>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</si>
  <si>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</si>
  <si>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</si>
  <si>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</si>
  <si>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</si>
  <si>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</si>
  <si>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</si>
  <si>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</si>
  <si>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</si>
  <si>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</si>
  <si>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</si>
  <si>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</si>
  <si>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</si>
  <si>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</si>
  <si>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</si>
  <si>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</si>
  <si>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</si>
  <si>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</si>
  <si>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</si>
  <si>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</si>
  <si>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</si>
  <si>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</si>
  <si>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</si>
  <si>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</si>
  <si>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</si>
  <si>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</si>
  <si>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</si>
  <si>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</si>
  <si>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</si>
  <si>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</si>
  <si>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</si>
  <si>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</si>
  <si>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</si>
  <si>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</si>
  <si>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</si>
  <si>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</si>
  <si>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</si>
  <si>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</si>
  <si>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</si>
  <si>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</si>
  <si>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</si>
  <si>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</si>
  <si>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</si>
  <si>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</si>
  <si>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</si>
  <si>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</si>
  <si>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</si>
  <si>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</si>
  <si>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</si>
  <si>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</si>
  <si>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</si>
  <si>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</si>
  <si>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</si>
  <si>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</si>
  <si>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</si>
  <si>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</si>
  <si>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</si>
  <si>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</si>
  <si>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</si>
  <si>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</si>
  <si>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</si>
  <si>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</si>
  <si>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</si>
  <si>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</si>
  <si>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</si>
  <si>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</si>
  <si>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</si>
  <si>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</si>
  <si>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</si>
  <si>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</si>
  <si>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</si>
  <si>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</si>
  <si>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</si>
  <si>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</si>
  <si>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</si>
  <si>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</si>
  <si>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</si>
  <si>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</si>
  <si>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</si>
  <si>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</si>
  <si>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</si>
  <si>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</si>
  <si>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</si>
  <si>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</si>
  <si>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</si>
  <si>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</si>
  <si>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</si>
  <si>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</si>
  <si>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</si>
  <si>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</si>
  <si>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</si>
  <si>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</si>
  <si>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</si>
  <si>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</si>
  <si>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</si>
  <si>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</si>
  <si>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</si>
  <si>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</si>
  <si>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</si>
  <si>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</si>
  <si>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</si>
  <si>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</si>
  <si>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</si>
  <si>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</si>
  <si>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</si>
  <si>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</si>
  <si>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</si>
  <si>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</si>
  <si>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</si>
  <si>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</si>
  <si>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</si>
  <si>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</si>
  <si>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</si>
  <si>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</si>
  <si>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</si>
  <si>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</si>
  <si>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</si>
  <si>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</si>
  <si>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</si>
  <si>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</si>
  <si>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</si>
  <si>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</si>
  <si>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</si>
  <si>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</si>
  <si>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</si>
  <si>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</si>
  <si>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</si>
  <si>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</si>
  <si>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</si>
  <si>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</si>
  <si>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</si>
  <si>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</si>
  <si>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</si>
  <si>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</si>
  <si>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</si>
  <si>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</si>
  <si>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</si>
  <si>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</si>
  <si>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</si>
  <si>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</si>
  <si>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</si>
  <si>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</si>
  <si>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</si>
  <si>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</si>
  <si>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</si>
  <si>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</si>
  <si>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</si>
  <si>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</si>
  <si>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</si>
  <si>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</si>
  <si>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</si>
  <si>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</si>
  <si>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</si>
  <si>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</si>
  <si>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</si>
  <si>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</si>
  <si>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</si>
  <si>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</si>
  <si>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</si>
  <si>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</si>
  <si>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</si>
  <si>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</si>
  <si>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</si>
  <si>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</si>
  <si>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</si>
  <si>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</si>
  <si>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</si>
  <si>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</si>
  <si>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</si>
  <si>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</si>
  <si>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</si>
  <si>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</si>
  <si>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</si>
  <si>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</si>
  <si>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</si>
  <si>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</si>
  <si>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</si>
  <si>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</si>
  <si>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</si>
  <si>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</si>
  <si>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</si>
  <si>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</si>
  <si>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</si>
  <si>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</si>
  <si>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</si>
  <si>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</si>
  <si>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</si>
  <si>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</si>
  <si>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</si>
  <si>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</si>
  <si>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</si>
  <si>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</si>
  <si>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</si>
  <si>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</si>
  <si>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</si>
  <si>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</si>
  <si>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</si>
  <si>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</si>
  <si>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</si>
  <si>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</si>
  <si>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</si>
  <si>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</si>
  <si>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</si>
  <si>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</si>
  <si>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</si>
  <si>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</si>
  <si>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</si>
  <si>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</si>
  <si>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</si>
  <si>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</si>
  <si>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</si>
  <si>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</si>
  <si>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</si>
  <si>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</si>
  <si>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</si>
  <si>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</si>
  <si>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</si>
  <si>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</si>
  <si>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</si>
  <si>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</si>
  <si>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</si>
  <si>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</si>
  <si>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</si>
  <si>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</si>
  <si>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</si>
  <si>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</si>
  <si>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</si>
  <si>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</si>
  <si>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</si>
  <si>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</si>
  <si>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</si>
  <si>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</si>
  <si>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</si>
  <si>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</si>
  <si>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</si>
  <si>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</si>
  <si>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</si>
  <si>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</si>
  <si>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</si>
  <si>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</si>
  <si>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</si>
  <si>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</si>
  <si>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</si>
  <si>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</si>
  <si>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</si>
  <si>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</si>
  <si>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</si>
  <si>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</si>
  <si>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</si>
  <si>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</si>
  <si>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</si>
  <si>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</si>
  <si>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</si>
  <si>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</si>
  <si>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</si>
  <si>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</si>
  <si>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</si>
  <si>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</si>
  <si>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</si>
  <si>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</si>
  <si>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</si>
  <si>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</si>
  <si>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</si>
  <si>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</si>
  <si>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</si>
  <si>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</si>
  <si>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</si>
  <si>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</si>
  <si>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</si>
  <si>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</si>
  <si>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</si>
  <si>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</si>
  <si>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</si>
  <si>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</si>
  <si>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</si>
  <si>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</si>
  <si>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</si>
  <si>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</si>
  <si>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</si>
  <si>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</si>
  <si>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</si>
  <si>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</si>
  <si>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</si>
  <si>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</si>
  <si>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</si>
  <si>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</si>
  <si>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</si>
  <si>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</si>
  <si>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</si>
  <si>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</si>
  <si>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</si>
  <si>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</si>
  <si>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</si>
  <si>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</si>
  <si>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</si>
  <si>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</si>
  <si>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</si>
  <si>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</si>
  <si>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</si>
  <si>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</si>
  <si>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</si>
  <si>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</si>
  <si>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</si>
  <si>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</si>
  <si>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</si>
  <si>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</si>
  <si>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</si>
  <si>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</si>
  <si>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</si>
  <si>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</si>
  <si>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</si>
  <si>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</si>
  <si>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</si>
  <si>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</si>
  <si>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</si>
  <si>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</si>
  <si>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</si>
  <si>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</si>
  <si>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</si>
  <si>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</si>
  <si>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</si>
  <si>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</si>
  <si>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</si>
  <si>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</si>
  <si>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</si>
  <si>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</si>
  <si>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</si>
  <si>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</si>
  <si>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</si>
  <si>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</si>
  <si>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</si>
  <si>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</si>
  <si>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</si>
  <si>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</si>
  <si>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</si>
  <si>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</si>
  <si>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</si>
  <si>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</si>
  <si>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</si>
  <si>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</si>
  <si>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</si>
  <si>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</si>
  <si>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</si>
  <si>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</si>
  <si>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</si>
  <si>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</si>
  <si>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</si>
  <si>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</si>
  <si>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</si>
  <si>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</si>
  <si>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</si>
  <si>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</si>
  <si>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</si>
  <si>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</si>
  <si>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</si>
  <si>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</si>
  <si>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</si>
  <si>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</si>
  <si>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</si>
  <si>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</si>
  <si>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</si>
  <si>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</si>
  <si>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</si>
  <si>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</si>
  <si>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</si>
  <si>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</si>
  <si>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</si>
  <si>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</si>
  <si>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</si>
  <si>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</si>
  <si>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</si>
  <si>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</si>
  <si>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</si>
  <si>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</si>
  <si>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</si>
  <si>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</si>
  <si>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</si>
  <si>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</si>
  <si>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</si>
  <si>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</si>
  <si>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</si>
  <si>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</si>
  <si>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</si>
  <si>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</si>
  <si>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</si>
  <si>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</si>
  <si>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</si>
  <si>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</si>
  <si>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</si>
  <si>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</si>
  <si>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</si>
  <si>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</si>
  <si>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</si>
  <si>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</si>
  <si>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</si>
  <si>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</si>
  <si>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</si>
  <si>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</si>
  <si>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</si>
  <si>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</si>
  <si>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</si>
  <si>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</si>
  <si>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</si>
  <si>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</si>
  <si>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</si>
  <si>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</si>
  <si>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</si>
  <si>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</si>
  <si>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</si>
  <si>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</si>
  <si>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</si>
  <si>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</si>
  <si>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</si>
  <si>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</si>
  <si>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</si>
  <si>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</si>
  <si>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</si>
  <si>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</si>
  <si>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</si>
  <si>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</si>
  <si>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</si>
  <si>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</si>
  <si>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</si>
  <si>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</si>
  <si>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</si>
  <si>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</si>
  <si>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</si>
  <si>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</si>
  <si>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</si>
  <si>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</si>
  <si>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</si>
  <si>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</si>
  <si>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</si>
  <si>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</si>
  <si>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</si>
  <si>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</si>
  <si>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</si>
  <si>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</si>
  <si>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</si>
  <si>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</si>
  <si>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</si>
  <si>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</si>
  <si>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</si>
  <si>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</si>
  <si>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</si>
  <si>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</si>
  <si>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</si>
  <si>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</si>
  <si>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</si>
  <si>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</si>
  <si>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</si>
  <si>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</si>
  <si>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</si>
  <si>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</si>
  <si>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</si>
  <si>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</si>
  <si>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</si>
  <si>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</si>
  <si>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</si>
  <si>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</si>
  <si>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</si>
  <si>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</si>
  <si>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</si>
  <si>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</si>
  <si>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</si>
  <si>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</si>
  <si>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</si>
  <si>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</si>
  <si>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</si>
  <si>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</si>
  <si>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</si>
  <si>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</si>
  <si>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</si>
  <si>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</si>
  <si>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</si>
  <si>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</si>
  <si>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</si>
  <si>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</si>
  <si>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</si>
  <si>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</si>
  <si>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</si>
  <si>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</si>
  <si>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</si>
  <si>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</si>
  <si>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</si>
  <si>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</si>
  <si>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</si>
  <si>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</si>
  <si>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</si>
  <si>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</si>
  <si>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</si>
  <si>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</si>
  <si>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</si>
  <si>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</si>
  <si>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</si>
  <si>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</si>
  <si>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</si>
  <si>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</si>
  <si>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</si>
  <si>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</si>
  <si>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</si>
  <si>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</si>
  <si>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</si>
  <si>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</si>
  <si>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</si>
  <si>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</si>
  <si>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</si>
  <si>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</si>
  <si>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</si>
  <si>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</si>
  <si>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</si>
  <si>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</si>
  <si>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</si>
  <si>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</si>
  <si>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</si>
  <si>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</si>
  <si>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</si>
  <si>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</si>
  <si>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</si>
  <si>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</si>
  <si>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</si>
  <si>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</si>
  <si>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</si>
  <si>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</si>
  <si>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</si>
  <si>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</si>
  <si>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</si>
  <si>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</si>
  <si>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</si>
  <si>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</si>
  <si>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</si>
  <si>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</si>
  <si>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</si>
  <si>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</si>
  <si>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</si>
  <si>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</si>
  <si>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</si>
  <si>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</si>
  <si>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</si>
  <si>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</si>
  <si>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</si>
  <si>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</si>
  <si>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</si>
  <si>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</si>
  <si>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</si>
  <si>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</si>
  <si>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</si>
  <si>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</si>
  <si>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</si>
  <si>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</si>
  <si>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</si>
  <si>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</si>
  <si>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</si>
  <si>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</si>
  <si>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</si>
  <si>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</si>
  <si>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</si>
  <si>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</si>
  <si>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</si>
  <si>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</si>
  <si>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</si>
  <si>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</si>
  <si>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</si>
  <si>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</si>
  <si>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</si>
  <si>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</si>
  <si>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</si>
  <si>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</si>
  <si>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</si>
  <si>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</si>
  <si>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</si>
  <si>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</si>
  <si>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</si>
  <si>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</si>
  <si>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</si>
  <si>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</si>
  <si>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</si>
  <si>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</si>
  <si>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</si>
  <si>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</si>
  <si>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</si>
  <si>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</si>
  <si>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</si>
  <si>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</si>
  <si>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</si>
  <si>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</si>
  <si>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</si>
  <si>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</si>
  <si>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</si>
  <si>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</si>
  <si>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</si>
  <si>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</si>
  <si>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</si>
  <si>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</si>
  <si>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</si>
  <si>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</si>
  <si>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</si>
  <si>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</si>
  <si>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</si>
  <si>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</si>
  <si>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</si>
  <si>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</si>
  <si>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</si>
  <si>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</si>
  <si>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</si>
  <si>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</si>
  <si>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</si>
  <si>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</si>
  <si>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</si>
  <si>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</si>
  <si>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</si>
  <si>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</si>
  <si>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</si>
  <si>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</si>
  <si>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</si>
  <si>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</si>
  <si>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</si>
  <si>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</si>
  <si>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</si>
  <si>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</si>
  <si>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</si>
  <si>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</si>
  <si>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</si>
  <si>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</si>
  <si>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</si>
  <si>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</si>
  <si>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</si>
  <si>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</si>
  <si>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</si>
  <si>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</si>
  <si>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</si>
  <si>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</si>
  <si>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</si>
  <si>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</si>
  <si>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</si>
  <si>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</si>
  <si>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</si>
  <si>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</si>
  <si>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</si>
  <si>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</si>
  <si>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</si>
  <si>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</si>
  <si>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</si>
  <si>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</si>
  <si>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</si>
  <si>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</si>
  <si>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</si>
  <si>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</si>
  <si>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</si>
  <si>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</si>
  <si>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</si>
  <si>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</si>
  <si>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</si>
  <si>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</si>
  <si>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</si>
  <si>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</si>
  <si>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</si>
  <si>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</si>
  <si>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</si>
  <si>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</si>
  <si>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</si>
  <si>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</si>
  <si>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</si>
  <si>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</si>
  <si>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</si>
  <si>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</si>
  <si>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</si>
  <si>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</si>
  <si>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</si>
  <si>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</si>
  <si>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</si>
  <si>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</si>
  <si>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</si>
  <si>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</si>
  <si>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</si>
  <si>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</si>
  <si>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</si>
  <si>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</si>
  <si>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</si>
  <si>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</si>
  <si>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</si>
  <si>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</si>
  <si>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</si>
  <si>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</si>
  <si>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</si>
  <si>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</si>
  <si>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</si>
  <si>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</si>
  <si>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</si>
  <si>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</si>
  <si>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</si>
  <si>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</si>
  <si>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</si>
  <si>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</si>
  <si>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</si>
  <si>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</si>
  <si>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</si>
  <si>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</si>
  <si>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</si>
  <si>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</si>
  <si>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</si>
  <si>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</si>
  <si>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</si>
  <si>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</si>
  <si>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</si>
  <si>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</si>
  <si>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</si>
  <si>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</si>
  <si>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</si>
  <si>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</si>
  <si>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</si>
  <si>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</si>
  <si>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</si>
  <si>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</si>
  <si>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</si>
  <si>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</si>
  <si>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</si>
  <si>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</si>
  <si>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</si>
  <si>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</si>
  <si>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</si>
  <si>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</si>
  <si>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</si>
  <si>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</si>
  <si>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</si>
  <si>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</si>
  <si>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</si>
  <si>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</si>
  <si>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</si>
  <si>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</si>
  <si>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</si>
  <si>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</si>
  <si>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</si>
  <si>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</si>
  <si>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</si>
  <si>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</si>
  <si>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</si>
  <si>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</si>
  <si>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</si>
  <si>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</si>
  <si>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</si>
  <si>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</si>
  <si>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</si>
  <si>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</si>
  <si>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</si>
  <si>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</si>
  <si>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</si>
  <si>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</si>
  <si>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</si>
  <si>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</si>
  <si>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</si>
  <si>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</si>
  <si>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</si>
  <si>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</si>
  <si>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</si>
  <si>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</si>
  <si>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</si>
  <si>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</si>
  <si>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</si>
  <si>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</si>
  <si>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</si>
  <si>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</si>
  <si>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</si>
  <si>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</si>
  <si>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</si>
  <si>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</si>
  <si>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</si>
  <si>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</si>
  <si>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</si>
  <si>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</si>
  <si>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</si>
  <si>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</si>
  <si>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</si>
  <si>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</si>
  <si>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</si>
  <si>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</si>
  <si>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</si>
  <si>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</si>
  <si>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</si>
  <si>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</si>
  <si>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</si>
  <si>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</si>
  <si>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</si>
  <si>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</si>
  <si>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</si>
  <si>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</si>
  <si>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</si>
  <si>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</si>
  <si>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</si>
  <si>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</si>
  <si>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</si>
  <si>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</si>
  <si>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</si>
  <si>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</si>
  <si>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</si>
  <si>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</si>
  <si>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</si>
  <si>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</si>
  <si>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</si>
  <si>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</si>
  <si>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</si>
  <si>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</si>
  <si>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</si>
  <si>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</si>
  <si>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</si>
  <si>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</si>
  <si>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</si>
  <si>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</si>
  <si>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</si>
  <si>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</si>
  <si>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</si>
  <si>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</si>
  <si>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</si>
  <si>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</si>
  <si>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</si>
  <si>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</si>
  <si>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</si>
  <si>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</si>
  <si>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</si>
  <si>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</si>
  <si>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</si>
  <si>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</si>
  <si>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</si>
  <si>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</si>
  <si>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</si>
  <si>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</si>
  <si>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</si>
  <si>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</si>
  <si>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</si>
  <si>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</si>
  <si>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</si>
  <si>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</si>
  <si>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</si>
  <si>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</si>
  <si>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</si>
  <si>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</si>
  <si>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</si>
  <si>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</si>
  <si>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</si>
  <si>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</si>
  <si>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</si>
  <si>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</si>
  <si>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</si>
  <si>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</si>
  <si>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</si>
  <si>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</si>
  <si>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</si>
  <si>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</si>
  <si>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</si>
  <si>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</si>
  <si>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</si>
  <si>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</si>
  <si>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</si>
  <si>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</si>
  <si>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</si>
  <si>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</si>
  <si>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</si>
  <si>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</si>
  <si>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</si>
  <si>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</si>
  <si>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</si>
  <si>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</si>
  <si>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</si>
  <si>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</si>
  <si>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</si>
  <si>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</si>
  <si>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</si>
  <si>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</si>
  <si>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</si>
  <si>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</si>
  <si>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</si>
  <si>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</si>
  <si>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</si>
  <si>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</si>
  <si>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</si>
  <si>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</si>
  <si>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</si>
  <si>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</si>
  <si>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</si>
  <si>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</si>
  <si>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</si>
  <si>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</si>
  <si>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</si>
  <si>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</si>
  <si>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</si>
  <si>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</si>
  <si>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</si>
  <si>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</si>
  <si>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</si>
  <si>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</si>
  <si>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</si>
  <si>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</si>
  <si>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</si>
  <si>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</si>
  <si>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</si>
  <si>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</si>
  <si>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</si>
  <si>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</si>
  <si>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</si>
  <si>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</si>
  <si>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</si>
  <si>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</si>
  <si>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</si>
  <si>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</si>
  <si>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</si>
  <si>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</si>
  <si>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</si>
  <si>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</si>
  <si>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</si>
  <si>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</si>
  <si>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</si>
  <si>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</si>
  <si>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</si>
  <si>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</si>
  <si>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</si>
  <si>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</si>
  <si>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</si>
  <si>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</si>
  <si>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</si>
  <si>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</si>
  <si>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</si>
  <si>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</si>
  <si>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</si>
  <si>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</si>
  <si>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</si>
  <si>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</si>
  <si>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</si>
  <si>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</si>
  <si>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</si>
  <si>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</si>
  <si>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</si>
  <si>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</si>
  <si>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</si>
  <si>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</si>
  <si>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</si>
  <si>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</si>
  <si>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</si>
  <si>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</si>
  <si>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</si>
  <si>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</si>
  <si>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</si>
  <si>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</si>
  <si>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</si>
  <si>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</si>
  <si>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</si>
  <si>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</si>
  <si>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</si>
  <si>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</si>
  <si>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</si>
  <si>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</si>
  <si>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</si>
  <si>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</si>
  <si>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</si>
  <si>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</si>
  <si>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</si>
  <si>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</si>
  <si>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</si>
  <si>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</si>
  <si>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</si>
  <si>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</si>
  <si>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</si>
  <si>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</si>
  <si>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</si>
  <si>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</si>
  <si>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</si>
  <si>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</si>
  <si>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</si>
  <si>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</si>
  <si>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</si>
  <si>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</si>
  <si>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</si>
  <si>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</si>
  <si>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</si>
  <si>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</si>
  <si>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</si>
  <si>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</si>
  <si>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</si>
  <si>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</si>
  <si>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</si>
  <si>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</si>
  <si>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</si>
  <si>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</si>
  <si>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</si>
  <si>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</si>
  <si>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</si>
  <si>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</si>
  <si>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</si>
  <si>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</si>
  <si>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</si>
  <si>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</si>
  <si>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</si>
  <si>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</si>
  <si>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</si>
  <si>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</si>
  <si>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</si>
  <si>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</si>
  <si>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</si>
  <si>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</si>
  <si>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</si>
  <si>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</si>
  <si>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</si>
  <si>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</si>
  <si>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</si>
  <si>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</si>
  <si>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</si>
  <si>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</si>
  <si>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</si>
  <si>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</si>
  <si>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</si>
  <si>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</si>
  <si>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</si>
  <si>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</si>
  <si>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</si>
  <si>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</si>
  <si>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</si>
  <si>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</si>
  <si>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</si>
  <si>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</si>
  <si>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</si>
  <si>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</si>
  <si>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</si>
  <si>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</si>
  <si>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</si>
  <si>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</si>
  <si>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</si>
  <si>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</si>
  <si>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</si>
  <si>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</si>
  <si>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</si>
  <si>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</si>
  <si>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</si>
  <si>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</si>
  <si>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</si>
  <si>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</si>
  <si>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</si>
  <si>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</si>
  <si>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</si>
  <si>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</si>
  <si>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</si>
  <si>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</si>
  <si>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</si>
  <si>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</si>
  <si>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</si>
  <si>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</si>
  <si>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</si>
  <si>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</si>
  <si>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</si>
  <si>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</si>
  <si>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</si>
  <si>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</si>
  <si>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</si>
  <si>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</si>
  <si>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</si>
  <si>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</si>
  <si>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</si>
  <si>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</si>
  <si>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</si>
  <si>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</si>
  <si>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</si>
  <si>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</si>
  <si>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</si>
  <si>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</si>
  <si>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</si>
  <si>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</si>
  <si>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</si>
  <si>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</si>
  <si>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</si>
  <si>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</si>
  <si>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</si>
  <si>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</si>
  <si>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</si>
  <si>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</si>
  <si>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</si>
  <si>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</si>
  <si>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</si>
  <si>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</si>
  <si>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</si>
  <si>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</si>
  <si>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</si>
  <si>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</si>
  <si>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</si>
  <si>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</si>
  <si>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</si>
  <si>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</si>
  <si>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</si>
  <si>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</si>
  <si>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</si>
  <si>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</si>
  <si>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</si>
  <si>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</si>
  <si>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</si>
  <si>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</si>
  <si>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</si>
  <si>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</si>
  <si>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</si>
  <si>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</si>
  <si>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</si>
  <si>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</si>
  <si>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</si>
  <si>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</si>
  <si>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</si>
  <si>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</si>
  <si>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</si>
  <si>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</si>
  <si>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</si>
  <si>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</si>
  <si>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</si>
  <si>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</si>
  <si>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</si>
  <si>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</si>
  <si>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</si>
  <si>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</si>
  <si>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</si>
  <si>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</si>
  <si>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</si>
  <si>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</si>
  <si>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</si>
  <si>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</si>
  <si>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</si>
  <si>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</si>
  <si>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</si>
  <si>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</si>
  <si>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</si>
  <si>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</si>
  <si>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</si>
  <si>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</si>
  <si>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</si>
  <si>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</si>
  <si>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</si>
  <si>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</si>
  <si>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</si>
  <si>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</si>
  <si>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</si>
  <si>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</si>
  <si>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</si>
  <si>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</si>
  <si>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</si>
  <si>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</si>
  <si>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</si>
  <si>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</si>
  <si>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</si>
  <si>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</si>
  <si>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</si>
  <si>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</si>
  <si>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</si>
  <si>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</si>
  <si>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</si>
  <si>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</si>
  <si>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</si>
  <si>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</si>
  <si>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</si>
  <si>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</si>
  <si>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</si>
  <si>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</si>
  <si>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</si>
  <si>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</si>
  <si>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</si>
  <si>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</si>
  <si>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</si>
  <si>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</si>
  <si>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</si>
  <si>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</si>
  <si>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</si>
  <si>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</si>
  <si>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</si>
  <si>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</si>
  <si>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</si>
  <si>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</si>
  <si>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</si>
  <si>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</si>
  <si>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</si>
  <si>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</si>
  <si>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</si>
  <si>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</si>
  <si>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</si>
  <si>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</si>
  <si>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</si>
  <si>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</si>
  <si>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</si>
  <si>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</si>
  <si>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</si>
  <si>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</si>
  <si>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</si>
  <si>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</si>
  <si>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</si>
  <si>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</si>
  <si>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</si>
  <si>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</si>
  <si>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</si>
  <si>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</si>
  <si>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</si>
  <si>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</si>
  <si>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</si>
  <si>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</si>
  <si>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</si>
  <si>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</si>
  <si>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</si>
  <si>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</si>
  <si>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</si>
  <si>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</si>
  <si>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</si>
  <si>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</si>
  <si>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</si>
  <si>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</si>
  <si>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</si>
  <si>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</si>
  <si>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</si>
  <si>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</si>
  <si>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</si>
  <si>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</si>
  <si>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</si>
  <si>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</si>
  <si>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</si>
  <si>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</si>
  <si>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</si>
  <si>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</si>
  <si>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</si>
  <si>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</si>
  <si>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</si>
  <si>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</si>
  <si>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</si>
  <si>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</si>
  <si>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</si>
  <si>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</si>
  <si>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</si>
  <si>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</si>
  <si>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</si>
  <si>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</si>
  <si>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</si>
  <si>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</si>
  <si>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</si>
  <si>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</si>
  <si>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</si>
  <si>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</si>
  <si>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</si>
  <si>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</si>
  <si>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</si>
  <si>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</si>
  <si>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</si>
  <si>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</si>
  <si>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</si>
  <si>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</si>
  <si>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</si>
  <si>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</si>
  <si>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</si>
  <si>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</si>
  <si>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</si>
  <si>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</si>
  <si>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</si>
  <si>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</si>
  <si>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</si>
  <si>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</si>
  <si>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</si>
  <si>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</si>
  <si>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</si>
  <si>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</si>
  <si>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</si>
  <si>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</si>
  <si>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</si>
  <si>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</si>
  <si>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</si>
  <si>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</si>
  <si>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</si>
  <si>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</si>
  <si>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</si>
  <si>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</si>
  <si>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</si>
  <si>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</si>
  <si>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</si>
  <si>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</si>
  <si>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</si>
  <si>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</si>
  <si>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</si>
  <si>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</si>
  <si>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</si>
  <si>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</si>
  <si>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</si>
  <si>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</si>
  <si>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</si>
  <si>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</si>
  <si>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</si>
  <si>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</si>
  <si>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</si>
  <si>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</si>
  <si>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</si>
  <si>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</si>
  <si>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</si>
  <si>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</si>
  <si>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</si>
  <si>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</si>
  <si>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</si>
  <si>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</si>
  <si>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</si>
  <si>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</si>
  <si>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</si>
  <si>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</si>
  <si>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</si>
  <si>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</si>
  <si>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</si>
  <si>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</si>
  <si>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</si>
  <si>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</si>
  <si>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</si>
  <si>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</si>
  <si>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</si>
  <si>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</si>
  <si>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</si>
  <si>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</si>
  <si>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</si>
  <si>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</si>
  <si>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</si>
  <si>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</si>
  <si>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</si>
  <si>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</si>
  <si>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</si>
  <si>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</si>
  <si>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</si>
  <si>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</si>
  <si>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</si>
  <si>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</si>
  <si>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</si>
  <si>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</si>
  <si>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</si>
  <si>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</si>
  <si>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</si>
  <si>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</si>
  <si>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</si>
  <si>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</si>
  <si>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</si>
  <si>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</si>
  <si>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</si>
  <si>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</si>
  <si>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</si>
  <si>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</si>
  <si>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</si>
  <si>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</si>
  <si>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</si>
  <si>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</si>
  <si>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</si>
  <si>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</si>
  <si>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</si>
  <si>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</si>
  <si>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</si>
  <si>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</si>
  <si>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</si>
  <si>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</si>
  <si>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</si>
  <si>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</si>
  <si>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</si>
  <si>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</si>
  <si>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</si>
  <si>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</si>
  <si>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</si>
  <si>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</si>
  <si>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</si>
  <si>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</si>
  <si>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</si>
  <si>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</si>
  <si>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</si>
  <si>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</si>
  <si>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</si>
  <si>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</si>
  <si>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</si>
  <si>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</si>
  <si>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</si>
  <si>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</si>
  <si>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</si>
  <si>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</si>
  <si>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</si>
  <si>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</si>
  <si>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</si>
  <si>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</si>
  <si>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</si>
  <si>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</si>
  <si>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</si>
  <si>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</si>
  <si>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</si>
  <si>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</si>
  <si>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</si>
  <si>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</si>
  <si>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</si>
  <si>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</si>
  <si>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</si>
  <si>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</si>
  <si>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</si>
  <si>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</si>
  <si>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</si>
  <si>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</si>
  <si>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</si>
  <si>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</si>
  <si>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</si>
  <si>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</si>
  <si>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</si>
  <si>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</si>
  <si>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</si>
  <si>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</si>
  <si>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</si>
  <si>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</si>
  <si>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</si>
  <si>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</si>
  <si>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</si>
  <si>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</si>
  <si>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</si>
  <si>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</si>
  <si>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</si>
  <si>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</si>
  <si>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</si>
  <si>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</si>
  <si>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</si>
  <si>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</si>
  <si>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</si>
  <si>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</si>
  <si>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</si>
  <si>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</si>
  <si>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</si>
  <si>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</si>
  <si>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</si>
  <si>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</si>
  <si>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</si>
  <si>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</si>
  <si>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</si>
  <si>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</si>
  <si>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</si>
  <si>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</si>
  <si>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</si>
  <si>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</si>
  <si>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</si>
  <si>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</si>
  <si>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</si>
  <si>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</si>
  <si>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</si>
  <si>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</si>
  <si>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</si>
  <si>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</si>
  <si>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</si>
  <si>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</si>
  <si>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</si>
  <si>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</si>
  <si>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</si>
  <si>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</si>
  <si>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</si>
  <si>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</si>
  <si>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</si>
  <si>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</si>
  <si>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</si>
  <si>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</si>
  <si>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</si>
  <si>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</si>
  <si>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</si>
  <si>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</si>
  <si>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</si>
  <si>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</si>
  <si>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</si>
  <si>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</si>
  <si>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</si>
  <si>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</si>
  <si>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</si>
  <si>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</si>
  <si>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</si>
  <si>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</si>
  <si>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</si>
  <si>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</si>
  <si>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</si>
  <si>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</si>
  <si>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</si>
  <si>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</si>
  <si>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</si>
  <si>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</si>
  <si>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</si>
  <si>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</si>
  <si>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</si>
  <si>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</si>
  <si>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</si>
  <si>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</si>
  <si>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</si>
  <si>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</si>
  <si>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</si>
  <si>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</si>
  <si>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</si>
  <si>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</si>
  <si>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</si>
  <si>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</si>
  <si>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</si>
  <si>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</si>
  <si>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</si>
  <si>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</si>
  <si>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</si>
  <si>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</si>
  <si>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</si>
  <si>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</si>
  <si>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</si>
  <si>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</si>
  <si>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</si>
  <si>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</si>
  <si>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</si>
  <si>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</si>
  <si>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</si>
  <si>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</si>
  <si>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</si>
  <si>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</si>
  <si>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</si>
  <si>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</si>
  <si>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</si>
  <si>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</si>
  <si>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</si>
  <si>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</si>
  <si>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</si>
  <si>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</si>
  <si>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</si>
  <si>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</si>
  <si>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</si>
  <si>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</si>
  <si>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</si>
  <si>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</si>
  <si>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</si>
  <si>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</si>
  <si>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</si>
  <si>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</si>
  <si>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</si>
  <si>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</si>
  <si>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</si>
  <si>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</si>
  <si>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</si>
  <si>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</si>
  <si>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</si>
  <si>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</si>
  <si>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</si>
  <si>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</si>
  <si>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</si>
  <si>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</si>
  <si>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</si>
  <si>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</si>
  <si>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</si>
  <si>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</si>
  <si>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</si>
  <si>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</si>
  <si>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</si>
  <si>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</si>
  <si>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</si>
  <si>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</si>
  <si>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</si>
  <si>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</si>
  <si>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</si>
  <si>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</si>
  <si>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</si>
  <si>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</si>
  <si>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</si>
  <si>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</si>
  <si>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</si>
  <si>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</si>
  <si>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</si>
  <si>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</si>
  <si>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</si>
  <si>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</si>
  <si>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</si>
  <si>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</si>
  <si>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</si>
  <si>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</si>
  <si>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</si>
  <si>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</si>
  <si>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</si>
  <si>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</si>
  <si>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</si>
  <si>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</si>
  <si>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</si>
  <si>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</si>
  <si>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</si>
  <si>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</si>
  <si>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</si>
  <si>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</si>
  <si>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</si>
  <si>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</si>
  <si>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</si>
  <si>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</si>
  <si>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</si>
  <si>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</si>
  <si>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</si>
  <si>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</si>
  <si>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</si>
  <si>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</si>
  <si>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</si>
  <si>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</si>
  <si>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</si>
  <si>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</si>
  <si>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</si>
  <si>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</si>
  <si>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</si>
  <si>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</si>
  <si>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</si>
  <si>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</si>
  <si>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</si>
  <si>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</si>
  <si>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</si>
  <si>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</si>
  <si>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</si>
  <si>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</si>
  <si>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</si>
  <si>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</si>
  <si>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</si>
  <si>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</si>
  <si>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</si>
  <si>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</si>
  <si>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</si>
  <si>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</si>
  <si>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</si>
  <si>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</si>
  <si>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</si>
  <si>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</si>
  <si>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</si>
  <si>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</si>
  <si>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</si>
  <si>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</si>
  <si>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</si>
  <si>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</si>
  <si>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</si>
  <si>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</si>
  <si>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</si>
  <si>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</si>
  <si>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</si>
  <si>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</si>
  <si>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</si>
  <si>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</si>
  <si>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</si>
  <si>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</si>
  <si>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</si>
  <si>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</si>
  <si>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</si>
  <si>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</si>
  <si>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</si>
  <si>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</si>
  <si>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</si>
  <si>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</si>
  <si>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</si>
  <si>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</si>
  <si>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</si>
  <si>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</si>
  <si>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</si>
  <si>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</si>
  <si>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</si>
  <si>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</si>
  <si>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</si>
  <si>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</si>
  <si>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</si>
  <si>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</si>
  <si>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</si>
  <si>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</si>
  <si>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</si>
  <si>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</si>
  <si>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</si>
  <si>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</si>
  <si>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</si>
  <si>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</si>
  <si>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</si>
  <si>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</si>
  <si>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</si>
  <si>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</si>
  <si>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</si>
  <si>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</si>
  <si>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</si>
  <si>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</si>
  <si>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</si>
  <si>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</si>
  <si>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</si>
  <si>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</si>
  <si>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</si>
  <si>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</si>
  <si>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</si>
  <si>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</si>
  <si>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</si>
  <si>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</si>
  <si>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</si>
  <si>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</si>
  <si>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</si>
  <si>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</si>
  <si>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</si>
  <si>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</si>
  <si>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</si>
  <si>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</si>
  <si>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</si>
  <si>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</si>
  <si>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</si>
  <si>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</si>
  <si>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</si>
  <si>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</si>
  <si>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</si>
  <si>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</si>
  <si>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</si>
  <si>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</si>
  <si>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</si>
  <si>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</si>
  <si>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</si>
  <si>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</si>
  <si>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</si>
  <si>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</si>
  <si>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</si>
  <si>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</si>
  <si>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</si>
  <si>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</si>
  <si>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</si>
  <si>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</si>
  <si>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</si>
  <si>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</si>
  <si>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</si>
  <si>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</si>
  <si>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</si>
  <si>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</si>
  <si>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</si>
  <si>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</si>
  <si>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</si>
  <si>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</si>
  <si>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</si>
  <si>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</si>
  <si>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</si>
  <si>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</si>
  <si>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</si>
  <si>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</si>
  <si>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</si>
  <si>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</si>
  <si>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</si>
  <si>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</si>
  <si>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</si>
  <si>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</si>
  <si>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</si>
  <si>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</si>
  <si>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</si>
  <si>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</si>
  <si>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</si>
  <si>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</si>
  <si>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</si>
  <si>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</si>
  <si>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</si>
  <si>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</si>
  <si>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</si>
  <si>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</si>
  <si>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</si>
  <si>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</si>
  <si>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</si>
  <si>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</si>
  <si>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</si>
  <si>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</si>
  <si>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</si>
  <si>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</si>
  <si>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</si>
  <si>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</si>
  <si>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</si>
  <si>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</si>
  <si>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</si>
  <si>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</si>
  <si>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</si>
  <si>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</si>
  <si>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</si>
  <si>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</si>
  <si>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</si>
  <si>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</si>
  <si>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</si>
  <si>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</si>
  <si>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</si>
  <si>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</si>
  <si>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</si>
  <si>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</si>
  <si>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</si>
  <si>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</si>
  <si>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</si>
  <si>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</si>
  <si>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</si>
  <si>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</si>
  <si>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</si>
  <si>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</si>
  <si>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</si>
  <si>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</si>
  <si>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</si>
  <si>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</si>
  <si>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</si>
  <si>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</si>
  <si>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</si>
  <si>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</si>
  <si>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Affordable Equity Partners, Inc</t>
  </si>
  <si>
    <t>206 Peach Way</t>
  </si>
  <si>
    <t>bkimes@aepartners.com</t>
  </si>
  <si>
    <t>Brian Kimes</t>
  </si>
  <si>
    <t>Vice President</t>
  </si>
  <si>
    <t>www.aepartners.com</t>
  </si>
  <si>
    <t>Fairway Management Co., Inc</t>
  </si>
  <si>
    <t>Ryan Stevens</t>
  </si>
  <si>
    <t>Director of Operations</t>
  </si>
  <si>
    <t>rstevens@fairwaymanagement.com</t>
  </si>
  <si>
    <t>Syndicator and Management Company?</t>
  </si>
  <si>
    <t>Martin Riley Associates Architects, P.C.</t>
  </si>
  <si>
    <t>215 Church Street</t>
  </si>
  <si>
    <t>www.martinriley.com</t>
  </si>
  <si>
    <t>Mike Rley</t>
  </si>
  <si>
    <t>Vice Presient</t>
  </si>
  <si>
    <t>mriley@martinriley.com</t>
  </si>
  <si>
    <t>Will Markel</t>
  </si>
  <si>
    <t>Executive Vice President</t>
  </si>
  <si>
    <t>tstanley@fairwayconstruction.net</t>
  </si>
  <si>
    <t>Fairway Construction Company, Inc</t>
  </si>
  <si>
    <t>www.fairwayconstruction.net</t>
  </si>
  <si>
    <t>3290 Northside Parkway, Suite 300</t>
  </si>
  <si>
    <t>www.fairwaymanagement.com</t>
  </si>
  <si>
    <t>Partner</t>
  </si>
  <si>
    <t>Howe &amp; Associates</t>
  </si>
  <si>
    <t>104 E Broadway</t>
  </si>
  <si>
    <t>Bill Howe</t>
  </si>
  <si>
    <t>For Profit</t>
  </si>
  <si>
    <t>40% of Units at 60% of AMI</t>
  </si>
  <si>
    <t>GP &amp; LP Equity</t>
  </si>
  <si>
    <t>Sterling Bank</t>
  </si>
  <si>
    <t>Affordable Equity Partners, Inc.</t>
  </si>
  <si>
    <t>The Applicant is targeting a family tenancy for the proposed project.</t>
  </si>
  <si>
    <t>Agree</t>
  </si>
  <si>
    <t>Novogradac &amp; Company, LLP</t>
  </si>
  <si>
    <t>Applicant certifies that they will include the number and kinds of services required in the QAP for the proposed tenancy.</t>
  </si>
  <si>
    <t>There is not an identity of interest between the buyer and seller. An appraisal is not included in the application.</t>
  </si>
  <si>
    <t>Geotechnical &amp; Environmental Consultants, Inc</t>
  </si>
  <si>
    <t>The Federal and State Syndicator and the General Contractor are related parties.</t>
  </si>
  <si>
    <t>The Federal and State Syndicator and the Management Company are related parties.</t>
  </si>
  <si>
    <t>N/Ap</t>
  </si>
  <si>
    <t>Georgia Power Company</t>
  </si>
  <si>
    <t>Covered Porch</t>
  </si>
  <si>
    <t>Yes - W&amp;D hookups installed in each unit</t>
  </si>
  <si>
    <t>W&amp;D installed in each unit</t>
  </si>
  <si>
    <t>Zeffert &amp; Associates</t>
  </si>
  <si>
    <t>The Applicant believes the project as proposed is an optimal utilization of DCA resources.</t>
  </si>
  <si>
    <t>Electric Heat Pump</t>
  </si>
  <si>
    <t>UAPro - Utility Allowances</t>
  </si>
  <si>
    <t>2-Story Walkup</t>
  </si>
  <si>
    <t>Applicant has used UAPro utility allowances for Large Apartment (5+ units). The project will be a combination of two/three story walk-up designed buildings.</t>
  </si>
  <si>
    <t>Electric Fee</t>
  </si>
  <si>
    <t>Miscellaneous Administrative Expenses</t>
  </si>
  <si>
    <t>Cable TV &amp; Internet</t>
  </si>
  <si>
    <t>Eneriched Property Services</t>
  </si>
  <si>
    <t>Personal Property Taxes</t>
  </si>
  <si>
    <t>Columbus GP, LLC</t>
  </si>
  <si>
    <t>C. Jeffrey Rice</t>
  </si>
  <si>
    <t>6825 Halcyon Park Drive</t>
  </si>
  <si>
    <t>Brennan Place</t>
  </si>
  <si>
    <t>Direct</t>
  </si>
  <si>
    <t>N/a</t>
  </si>
  <si>
    <t>Within City Limits</t>
  </si>
  <si>
    <t>Terry M. Grimes</t>
  </si>
  <si>
    <t>Assistant to Jeff Rice</t>
  </si>
  <si>
    <t>tgrimes@guilfordcompanies.com</t>
  </si>
  <si>
    <t>jrice@guilfordcompanies.com</t>
  </si>
  <si>
    <t>9% Credit Competitive Round only</t>
  </si>
  <si>
    <t>Yes - see Comment</t>
  </si>
  <si>
    <t>PA19-087</t>
  </si>
  <si>
    <t>Brennan Road</t>
  </si>
  <si>
    <t>500 Brennan Road</t>
  </si>
  <si>
    <t>13215002902</t>
  </si>
  <si>
    <t>www.columbusga.gov</t>
  </si>
  <si>
    <t>City of Columbus</t>
  </si>
  <si>
    <t>Mayor</t>
  </si>
  <si>
    <t>B. H. "Skip" Henderson III</t>
  </si>
  <si>
    <t>100 10th Street, 6th Floor</t>
  </si>
  <si>
    <t>skiphenderson@columbusga.org</t>
  </si>
  <si>
    <t>Manager</t>
  </si>
  <si>
    <t>Coleman Talley</t>
  </si>
  <si>
    <t>109 S Ashley Street</t>
  </si>
  <si>
    <t>www.colemantalley.com</t>
  </si>
  <si>
    <t>greg.clark@colemantalley.com</t>
  </si>
  <si>
    <t>Greg Clark</t>
  </si>
  <si>
    <t>Al Brenn, Inc &amp; RPB Partnership, LLLP</t>
  </si>
  <si>
    <t>2846 Lynda Lane</t>
  </si>
  <si>
    <t>mann5683@charter.net</t>
  </si>
  <si>
    <t>Jean B. Mann</t>
  </si>
  <si>
    <t>Amortizing</t>
  </si>
  <si>
    <t>DDA/QCT</t>
  </si>
  <si>
    <t>N/A. Site is vacant land.</t>
  </si>
  <si>
    <t>N/A. Applicant is not a CHDO.</t>
  </si>
  <si>
    <t>Applicant is not a non-profit.</t>
  </si>
  <si>
    <t>Columbus Water Works</t>
  </si>
  <si>
    <t>12.31.2019</t>
  </si>
  <si>
    <t>Purchase Contract</t>
  </si>
  <si>
    <t>Brennan Place, LP</t>
  </si>
  <si>
    <t>The project's total development cost is below the cost limits for the Columbus Cost Limit Area.</t>
  </si>
  <si>
    <t>Applicant is not claiming points in this category.</t>
  </si>
  <si>
    <t>metrainfo@columbusga.org</t>
  </si>
  <si>
    <t>Columbus METRA Transit System</t>
  </si>
  <si>
    <t>https://www.columbusga.gov/Metra/routes/Route02.pdf
https://www.columbusga.gov/Metra/routes/Route04.pdf
https://www.columbusga.gov/Metra/routes/Route07.pdf</t>
  </si>
  <si>
    <t>15 units per month (4-5 months)</t>
  </si>
  <si>
    <t>Main Street Homes, LLC</t>
  </si>
  <si>
    <t>Please see Tab 01 for the Construction and Permanent Debt Commitments from Sterling Bank.</t>
  </si>
  <si>
    <t>3+ Story</t>
  </si>
  <si>
    <t>2018-050</t>
  </si>
  <si>
    <t>Highlands at Kayne Blvd</t>
  </si>
  <si>
    <t>2017-049</t>
  </si>
  <si>
    <t>Highland Terrace</t>
  </si>
  <si>
    <t>Claflin School</t>
  </si>
  <si>
    <t>2017-004</t>
  </si>
  <si>
    <t>2013-039</t>
  </si>
  <si>
    <t>Waverly Terrace Senior</t>
  </si>
  <si>
    <t>2004-046</t>
  </si>
  <si>
    <t>Peabody Redvelopment Partnership</t>
  </si>
  <si>
    <t>2006-042</t>
  </si>
  <si>
    <t>Ashley Station Phase II</t>
  </si>
  <si>
    <t>Please see Tab 11 for the operating utility letter stating electric service is available at the site.</t>
  </si>
  <si>
    <t>There have been no 9% credit awards within the last Six (6) DCA funding cycles that are within one mile from the proposed site. Applicant is eligible for three points in this category.</t>
  </si>
  <si>
    <t>The applicant is eligible for the maximum ten (10) total Desirable Activities points. The proposed site is within 1.5 miles of a Walmart Supercenter, Family Doller, Piggly Wiggly, Golden Chopstick resataurant, Vlley Healthcare System (medical care provider), CVS, Dominion Children's Academy, Baker Middle School, Recreation Center, Synovous Bank, Macedonia Christian Ministry and US Post Ofice. There are no undesirables. Please see Tab 28 of the Applcation for the Desirable/Undesirable form and additional information regarding the desirable activities.</t>
  </si>
  <si>
    <t>Please see Tab 19 for the Qualification Determination letter. The Certifying Entity, C. Jeffrey Rice, met the qualifications in 2018.</t>
  </si>
  <si>
    <t>The project will meet the Architectural Standards contained in the Application Manual. There is no waiver for this criterion included in the application.</t>
  </si>
  <si>
    <t>Please see Tab 7 for the Phase 1 Assessment. The Applicant is not requesting HOME Funds.</t>
  </si>
  <si>
    <t>Please see Tab 8 for evidence of site control through November 30, 2019.</t>
  </si>
  <si>
    <t>Please see Tab 10 for zoning documentation.</t>
  </si>
  <si>
    <t>Applicant agrees to provide the required site amenities.</t>
  </si>
  <si>
    <t>Pleasee see Tab 12 for public water/sanitary sewer/storm sewer letter from Columbus Water Works.</t>
  </si>
  <si>
    <t>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t>
  </si>
  <si>
    <t>3,4 and 13-15</t>
  </si>
  <si>
    <t>16-29</t>
  </si>
  <si>
    <t>14 and 29-30</t>
  </si>
  <si>
    <t>30, 45-47</t>
  </si>
  <si>
    <t>Page 2 of the Resolution</t>
  </si>
  <si>
    <t xml:space="preserve">MercyMed of Columbus </t>
  </si>
  <si>
    <t xml:space="preserve">Wellness and preventive health care education and information </t>
  </si>
  <si>
    <t xml:space="preserve">Basic screening for diseases such as high blood pressure or diabetes </t>
  </si>
  <si>
    <t>Assess future disease risk factors such as high cholesterol and obesity</t>
  </si>
  <si>
    <t xml:space="preserve">Biometric Screening </t>
  </si>
  <si>
    <t>monthly</t>
  </si>
  <si>
    <t xml:space="preserve">Healthy Eating Program </t>
  </si>
  <si>
    <t>Healthy Lifestyle Program</t>
  </si>
  <si>
    <t>Ongoing online content</t>
  </si>
  <si>
    <t>Fairway Management presents content via the lifestyle section of its website: www.fairwaymanagement.com/lifestyle</t>
  </si>
  <si>
    <t xml:space="preserve">Weight Management </t>
  </si>
  <si>
    <t>Food preparation and cooking demonstrations in the on-site community room and kitchen</t>
  </si>
  <si>
    <t xml:space="preserve">Healthy activity implementation encouraging residents to make use of the on-site fitness center </t>
  </si>
  <si>
    <t xml:space="preserve">Healthy eating encouraging use of community gardens </t>
  </si>
  <si>
    <t xml:space="preserve">Brennan Place is a proposed all new construction Family community located on Brennan Street in Columbus, Muscogee County. The development plan is for two- and three-story walk-up residential buildings and a community building to house gathering space, business center, exercise room and, management office.
The development will increase access to affordable housing for families in Columbus, a noted goal for the surrounding community.  
Unit amenities will include Energy Star appliances in the kitchen, including range, refrigerator, dishwasher, and microwave. Additional amenities will include carpet in bedrooms and living areas, vinyl flooring in the kitchen, bathroom, and laundry areas; washer/dryer sets, ceiling fans, mini-blinds, and central heating and air. Community amenities will include the above mentioned as well as a picnic area and other outdoor gathering spaces.  
Brennan Place is within 1.5 miles of a number of positive, desirable activities and sites including the medical offices, pharmacies, churches, post office, restaurants, retail stores, and food stores. 
With more than 25 years of experience, Main Street Homes is an industry leader in the development and rehabilitation of multi-family properties, with a primary focus on the development of affordable housing. To-date, 22 properties have been developed by Main Street Homes throughout the southeast through the affordable housing tax credit program.  </t>
  </si>
  <si>
    <t xml:space="preserve">Ft. Benning Road Roundabout </t>
  </si>
  <si>
    <t>Other (describe in Justification Box)</t>
  </si>
  <si>
    <t xml:space="preserve">Funding for the Ft. Benning Road Roundabout is funded through a stormwater/sewer fund, bond proceeds, 2009 SPLOST Funds and 1999 SPLOST Funds.  </t>
  </si>
  <si>
    <t xml:space="preserve">The investment will benefit the tenant base by providing ease of access to the site and superior connectivity to the surrounding neighborhood amenities.  </t>
  </si>
  <si>
    <t>Please see Tab 01 for documentation of Local Government Fees (water tap, sewer tap, permits, impact fees).</t>
  </si>
  <si>
    <t xml:space="preserve">The redevelopment paln outlines the desired end result of the tax allocation districts, which includes street construction, expansion, streetscape, landscaping, curb and sidewalk expansion and traffic control.  </t>
  </si>
  <si>
    <t>The project will be a combination of two/three story walk-up designed buildings.
Please see Tab 1 in the application for documentation of real estate taxes and insurance calculations.
Please see Tab 30 for the Enriched Property Services documentation. The Enriched Property Services line item above represents the costs associated for the Preventive Health services provided by MercyMed. The combination of the full-time management staff and MercyMed will fulfill the required functions of the Health Services Coordinator.</t>
  </si>
  <si>
    <t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32.  The site is located within a 2019 QCT, as shown on a map in Tab 32.  Finally, the development is within ½ mile of a Third Party Capital Investment for the Ft. Benning Road Roundabout Project.  The Roundabout project was budgeted to cost $4,186,038, which represents 29.5% of the TDC.  Information about the cost of the project and the timeline is included in Tab 32 for reference.   Per an email from Ryan Pruett, Project Engineer with the Columbus Consolidated Government, the Ft. Benning Project was actually expanded to include additional streetscapes and was awarded to Alexander Contracting Co in April, 2018.  The work has begun and is ongoing, but will be complete by 12/31/2020, prior to placed-in-service of the proposed development.  The investment in the road and streetscape is a significant improvement to the infrastructure in the immediate area.  The enhancements will increase walkability, connectivity, pedestrian safety and access to thoroughfares for the tenant base.  </t>
  </si>
  <si>
    <t>&lt;65</t>
  </si>
  <si>
    <t>The site is legally accessible by paved roads and documentation reflecting this is included in the application. Documentation reflecting such paved roads is included in Tab 9 of the application.</t>
  </si>
  <si>
    <t>The Concept Site Development Plan has been prepared in accordance with all instructions set forth in the DCA Submission Requirement Manual and Qualified Allocation Plan. Please see Tab 15 for the Conceptual Site Development Plan, location and vicinity maps, ground level color photos of the site and surrounding structures with key and aerial showing site boundary and adjacent land uses.</t>
  </si>
  <si>
    <t>Applicant agrees that the project will comply with Georgia State Minimum Standard Energy Code in effect at the time of permit issuance. The Applicant will obtain a sustainable building certificate from Earth Craft House Multifamily. Please see tab 16 for the sustainability worksheet.</t>
  </si>
  <si>
    <t>The Applicant agrees to prepare and submit an AFFH Marketing Plan if selected.</t>
  </si>
  <si>
    <t>Applicant has units without rental assistance and commits to accept Section811 PBRA or other DCA-sponsored RA for 10% of the total restricted units for the purpose of providing integrated supportive housing opportunities to persons with disabilities and is prepared to accept te full utilzation by DCA of 10% of the units. 63 of the 72 units will be restricted units. 16.67% of the units will be one-bedroom units.</t>
  </si>
  <si>
    <t>The Applicant submited a pre-application and the project team was "Qualified - Conditional". At the time of pre-application, Applicant did not have a specific site. The only change from the pre-application is that there is a known project location. Project team has not changed.
XIII. ADDITIONAL PROJECT INFORMATION: Section B, new properties: Owner is willing to forgo the Qualified Contract "cancellation option" after the close of the compliance period.</t>
  </si>
  <si>
    <t>Applicant believes that the proposed project is feasible, viable and in conformance with the plan. The overall development and construction costs are considered reasonable and were evaluated by an experienced General Contractor and Engineer.
Residential Square Footage: 1BR / 1BA - 715, 2BR / 2BA - 1,013 and 3BR / 2BA - 1,105</t>
  </si>
  <si>
    <t>Additional DCA funded properties in the primary market area include 2014-015 BTW-Chapman 2, 2007-025 Arbor Pointe, 2008-074 Arbor Pointe II, 2010-025 Arbor Pointe III, 2013-019 BTW-Chapman 2, 2001-084 Windsor Lake Senior and 2000-055 Springfield Crossing. The overall market occupancy is 96% and the capture rate for the subject property is low at 2% for tax credit units and 0.2% for the market rate units. All capture rates fall below threshold limits. The market study is included in Tab 05 of the application.</t>
  </si>
  <si>
    <t>Project is new construction only and not a historic preservation project.</t>
  </si>
  <si>
    <t>Brennan Place is the only application the Applicant is submitting where there is direct or indirect interest. Applicant is selecting the priority point for Brennan Place.</t>
  </si>
  <si>
    <t>I. APPLICATION COMPLETENESS: The applicant believes the proposed application is complete fully and does not anticipate any deductions in this scoring category.
II. DEEPER TARGETING / RENT / INCOME RESTRICTIONS: The proposed application has an overall property area median income less than 58% and is eligible for two (2) Deeper Targeting points.
IV. COMMUNITY TRANSPORTATION OPTIONS; The proposed project is within one mile (actual distance is 0.6 miles from pedestrian site entrance) of a Transit Hub and is proposing a family tenancy. Routes 2,4 &amp; 7 of the City of Columbus METRA transit system, all stop at 1122 Fort Benning Road, Columbus, GA 31903. Applicant is elligible for five points in this section.
V. ENRICHED PROPERTY SERVICES; The Applicant has indicated it will provide Preventive Health Care Services to its residents.  The Applicant has entered into an MOU with MercyMed, a local medical clinic to perform monthly biometric screenings and health and wellness education to the residents.  The screenings will be offered at no cost to the residents.  The Preventive Health Care MOU is found in Tab 30.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Please find the Healthy Eating Program to support the points claimed by the Applicant in Tab 30.  
IX. STABLE COMMUNITIES; The Applicant is not eligible for points in this category.
XII. EXTENDED AFFORDABILITY COMMITMENT: The Owner is willing to forgo the Qualified Contract “cancellation option” after the close of the Compliance period. The Owner commits to provide a right of first of refusal to a nonprofit organization or a local housing authority in accordance with DCA requirements.
XVIII: COMPLIANCE / PERFORMANCE: The applicant has acquired exceptional compliance history and does not anticipate any deductions in this scoring category. Please see Tab 19 in this application for the Qualification Determination.</t>
  </si>
  <si>
    <t>2019-042</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</si>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</sst>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175" fontId="2" fillId="5" borderId="36" xfId="0" applyNumberFormat="1" applyFont="1" applyFill="1" applyBorder="1" applyAlignment="1" applyProtection="1">
      <alignment horizontal="left" vertical="center"/>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Brennan Place</v>
      </c>
    </row>
    <row r="3" spans="1:6" ht="15" customHeight="1">
      <c r="A3" s="863" t="str">
        <f>CONCATENATE('Part I-Project Information'!F38,", ", 'Part I-Project Information'!J39," County")</f>
        <v>Columbus, Muscogee County</v>
      </c>
    </row>
    <row r="4" spans="1:6" ht="12" customHeight="1">
      <c r="A4" s="1982"/>
    </row>
    <row r="5" spans="1:6" ht="72" customHeight="1">
      <c r="A5" s="2764" t="s">
        <v>5280</v>
      </c>
      <c r="B5" s="2765" t="s">
        <v>5042</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algorithmName="SHA-512" hashValue="2ptYB+Q75HxQLyg79KLKWE3hgk3pm/Vfyf6IxVIHf+LbBNjKt1T5dCRunQqlNqtWMYLha++U2dn1abJOmVoQQQ==" saltValue="vc8YE/7PDypOdvuPitYuH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1" zoomScaleNormal="100" workbookViewId="0">
      <selection activeCell="A41"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72" t="str">
        <f>CONCATENATE("PART SIX - PROJECTED REVENUES &amp; EXPENSES","  -  ",'Part I-Project Information'!$O$6," ",'Part I-Project Information'!$F$34,", ",'Part I-Project Information'!F38,", ",'Part I-Project Information'!J39," County")</f>
        <v>PART SIX - PROJECTED REVENUES &amp; EXPENSES  -  2019-042 Brennan Place, Columbus, Muscogee County</v>
      </c>
      <c r="B1" s="3173"/>
      <c r="C1" s="3173"/>
      <c r="D1" s="3173"/>
      <c r="E1" s="3173"/>
      <c r="F1" s="3173"/>
      <c r="G1" s="3173"/>
      <c r="H1" s="3173"/>
      <c r="I1" s="3173"/>
      <c r="J1" s="3173"/>
      <c r="K1" s="3173"/>
      <c r="L1" s="3173"/>
      <c r="M1" s="3173"/>
      <c r="N1" s="3173"/>
      <c r="O1" s="3173"/>
      <c r="P1" s="3174"/>
      <c r="U1" s="3455" t="str">
        <f>A1</f>
        <v>PART SIX - PROJECTED REVENUES &amp; EXPENSES  -  2019-042 Brennan Place, Columbus, Muscogee County</v>
      </c>
      <c r="V1" s="3455"/>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39" t="s">
        <v>3422</v>
      </c>
      <c r="MF3" s="3439" t="s">
        <v>3423</v>
      </c>
      <c r="MG3" s="3439" t="s">
        <v>3424</v>
      </c>
      <c r="MH3" s="3439" t="s">
        <v>3425</v>
      </c>
      <c r="MI3" s="3439"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51" t="s">
        <v>3697</v>
      </c>
      <c r="Q4" s="2291"/>
      <c r="R4" s="416"/>
      <c r="S4" s="416"/>
      <c r="T4" s="416"/>
      <c r="U4" s="416"/>
      <c r="V4" s="417"/>
      <c r="W4" s="3400" t="s">
        <v>4618</v>
      </c>
      <c r="X4" s="3400" t="s">
        <v>4619</v>
      </c>
      <c r="Y4" s="3400" t="s">
        <v>4620</v>
      </c>
      <c r="Z4" s="3400" t="s">
        <v>4621</v>
      </c>
      <c r="AA4" s="3400" t="s">
        <v>4622</v>
      </c>
      <c r="AB4" s="3400" t="s">
        <v>4623</v>
      </c>
      <c r="AC4" s="3400" t="s">
        <v>4624</v>
      </c>
      <c r="AD4" s="3400" t="s">
        <v>4625</v>
      </c>
      <c r="AE4" s="3400" t="s">
        <v>4626</v>
      </c>
      <c r="AF4" s="3400" t="s">
        <v>4627</v>
      </c>
      <c r="AG4" s="3400" t="s">
        <v>919</v>
      </c>
      <c r="AH4" s="3400" t="s">
        <v>756</v>
      </c>
      <c r="AI4" s="3400" t="s">
        <v>757</v>
      </c>
      <c r="AJ4" s="3400" t="s">
        <v>758</v>
      </c>
      <c r="AK4" s="3400" t="s">
        <v>759</v>
      </c>
      <c r="AL4" s="3400" t="s">
        <v>920</v>
      </c>
      <c r="AM4" s="3400" t="s">
        <v>2310</v>
      </c>
      <c r="AN4" s="3400" t="s">
        <v>2311</v>
      </c>
      <c r="AO4" s="3400" t="s">
        <v>2312</v>
      </c>
      <c r="AP4" s="3400" t="s">
        <v>2313</v>
      </c>
      <c r="AQ4" s="3400" t="s">
        <v>4629</v>
      </c>
      <c r="AR4" s="3400" t="s">
        <v>4630</v>
      </c>
      <c r="AS4" s="3400" t="s">
        <v>4631</v>
      </c>
      <c r="AT4" s="3400" t="s">
        <v>4632</v>
      </c>
      <c r="AU4" s="3400" t="s">
        <v>4628</v>
      </c>
      <c r="AV4" s="3400" t="s">
        <v>921</v>
      </c>
      <c r="AW4" s="3400" t="s">
        <v>2314</v>
      </c>
      <c r="AX4" s="3400" t="s">
        <v>2315</v>
      </c>
      <c r="AY4" s="3400" t="s">
        <v>2316</v>
      </c>
      <c r="AZ4" s="3400" t="s">
        <v>2317</v>
      </c>
      <c r="BA4" s="3400" t="s">
        <v>4633</v>
      </c>
      <c r="BB4" s="3400" t="s">
        <v>4634</v>
      </c>
      <c r="BC4" s="3400" t="s">
        <v>4635</v>
      </c>
      <c r="BD4" s="3400" t="s">
        <v>4636</v>
      </c>
      <c r="BE4" s="3400" t="s">
        <v>4637</v>
      </c>
      <c r="BF4" s="3400" t="s">
        <v>129</v>
      </c>
      <c r="BG4" s="3400" t="s">
        <v>2318</v>
      </c>
      <c r="BH4" s="3400" t="s">
        <v>2319</v>
      </c>
      <c r="BI4" s="3400" t="s">
        <v>2320</v>
      </c>
      <c r="BJ4" s="3400" t="s">
        <v>1148</v>
      </c>
      <c r="BK4" s="3400" t="s">
        <v>4638</v>
      </c>
      <c r="BL4" s="3400" t="s">
        <v>4639</v>
      </c>
      <c r="BM4" s="3400" t="s">
        <v>4640</v>
      </c>
      <c r="BN4" s="3400" t="s">
        <v>4641</v>
      </c>
      <c r="BO4" s="3400" t="s">
        <v>4642</v>
      </c>
      <c r="BP4" s="3400" t="s">
        <v>556</v>
      </c>
      <c r="BQ4" s="3400" t="s">
        <v>557</v>
      </c>
      <c r="BR4" s="3400" t="s">
        <v>577</v>
      </c>
      <c r="BS4" s="3400" t="s">
        <v>578</v>
      </c>
      <c r="BT4" s="3400" t="s">
        <v>579</v>
      </c>
      <c r="BU4" s="3400" t="s">
        <v>4643</v>
      </c>
      <c r="BV4" s="3400" t="s">
        <v>4644</v>
      </c>
      <c r="BW4" s="3400" t="s">
        <v>4645</v>
      </c>
      <c r="BX4" s="3400" t="s">
        <v>4646</v>
      </c>
      <c r="BY4" s="3400" t="s">
        <v>4647</v>
      </c>
      <c r="BZ4" s="3400" t="s">
        <v>580</v>
      </c>
      <c r="CA4" s="3400" t="s">
        <v>581</v>
      </c>
      <c r="CB4" s="3400" t="s">
        <v>582</v>
      </c>
      <c r="CC4" s="3400" t="s">
        <v>583</v>
      </c>
      <c r="CD4" s="3400" t="s">
        <v>584</v>
      </c>
      <c r="CE4" s="3400" t="s">
        <v>585</v>
      </c>
      <c r="CF4" s="3400" t="s">
        <v>586</v>
      </c>
      <c r="CG4" s="3400" t="s">
        <v>931</v>
      </c>
      <c r="CH4" s="3400" t="s">
        <v>932</v>
      </c>
      <c r="CI4" s="3400" t="s">
        <v>933</v>
      </c>
      <c r="CJ4" s="3400" t="s">
        <v>4653</v>
      </c>
      <c r="CK4" s="3400" t="s">
        <v>4654</v>
      </c>
      <c r="CL4" s="3400" t="s">
        <v>4655</v>
      </c>
      <c r="CM4" s="3400" t="s">
        <v>4656</v>
      </c>
      <c r="CN4" s="3400" t="s">
        <v>4657</v>
      </c>
      <c r="CO4" s="3400" t="s">
        <v>4648</v>
      </c>
      <c r="CP4" s="3400" t="s">
        <v>4649</v>
      </c>
      <c r="CQ4" s="3400" t="s">
        <v>4650</v>
      </c>
      <c r="CR4" s="3400" t="s">
        <v>4651</v>
      </c>
      <c r="CS4" s="3400" t="s">
        <v>4652</v>
      </c>
      <c r="CT4" s="3400" t="s">
        <v>4658</v>
      </c>
      <c r="CU4" s="3400" t="s">
        <v>4659</v>
      </c>
      <c r="CV4" s="3400" t="s">
        <v>4660</v>
      </c>
      <c r="CW4" s="3400" t="s">
        <v>4661</v>
      </c>
      <c r="CX4" s="3400" t="s">
        <v>4662</v>
      </c>
      <c r="CY4" s="3400" t="s">
        <v>496</v>
      </c>
      <c r="CZ4" s="3400" t="s">
        <v>497</v>
      </c>
      <c r="DA4" s="3400" t="s">
        <v>498</v>
      </c>
      <c r="DB4" s="3400" t="s">
        <v>499</v>
      </c>
      <c r="DC4" s="3400" t="s">
        <v>500</v>
      </c>
      <c r="DD4" s="3400" t="s">
        <v>4663</v>
      </c>
      <c r="DE4" s="3400" t="s">
        <v>4664</v>
      </c>
      <c r="DF4" s="3400" t="s">
        <v>4665</v>
      </c>
      <c r="DG4" s="3400" t="s">
        <v>4666</v>
      </c>
      <c r="DH4" s="3400" t="s">
        <v>4667</v>
      </c>
      <c r="DI4" s="3400" t="s">
        <v>880</v>
      </c>
      <c r="DJ4" s="3400" t="s">
        <v>881</v>
      </c>
      <c r="DK4" s="3400" t="s">
        <v>882</v>
      </c>
      <c r="DL4" s="3400" t="s">
        <v>883</v>
      </c>
      <c r="DM4" s="3400" t="s">
        <v>884</v>
      </c>
      <c r="DN4" s="3400" t="s">
        <v>885</v>
      </c>
      <c r="DO4" s="3400" t="s">
        <v>886</v>
      </c>
      <c r="DP4" s="3400" t="s">
        <v>887</v>
      </c>
      <c r="DQ4" s="3400" t="s">
        <v>888</v>
      </c>
      <c r="DR4" s="3400" t="s">
        <v>889</v>
      </c>
      <c r="DS4" s="3400" t="s">
        <v>4668</v>
      </c>
      <c r="DT4" s="3400" t="s">
        <v>4669</v>
      </c>
      <c r="DU4" s="3400" t="s">
        <v>4670</v>
      </c>
      <c r="DV4" s="3400" t="s">
        <v>4671</v>
      </c>
      <c r="DW4" s="3400" t="s">
        <v>4672</v>
      </c>
      <c r="DX4" s="3400" t="s">
        <v>4673</v>
      </c>
      <c r="DY4" s="3400" t="s">
        <v>4674</v>
      </c>
      <c r="DZ4" s="3400" t="s">
        <v>4675</v>
      </c>
      <c r="EA4" s="3400" t="s">
        <v>4676</v>
      </c>
      <c r="EB4" s="3400" t="s">
        <v>4677</v>
      </c>
      <c r="EC4" s="3400" t="s">
        <v>2430</v>
      </c>
      <c r="ED4" s="3400" t="s">
        <v>2431</v>
      </c>
      <c r="EE4" s="3400" t="s">
        <v>2432</v>
      </c>
      <c r="EF4" s="3400" t="s">
        <v>2433</v>
      </c>
      <c r="EG4" s="3400" t="s">
        <v>2434</v>
      </c>
      <c r="EH4" s="3400" t="s">
        <v>4678</v>
      </c>
      <c r="EI4" s="3400" t="s">
        <v>4679</v>
      </c>
      <c r="EJ4" s="3400" t="s">
        <v>4680</v>
      </c>
      <c r="EK4" s="3400" t="s">
        <v>4681</v>
      </c>
      <c r="EL4" s="3400" t="s">
        <v>4682</v>
      </c>
      <c r="EM4" s="3400" t="s">
        <v>4683</v>
      </c>
      <c r="EN4" s="3400" t="s">
        <v>4684</v>
      </c>
      <c r="EO4" s="3400" t="s">
        <v>4685</v>
      </c>
      <c r="EP4" s="3400" t="s">
        <v>4686</v>
      </c>
      <c r="EQ4" s="3400" t="s">
        <v>4687</v>
      </c>
      <c r="ER4" s="3439" t="s">
        <v>117</v>
      </c>
      <c r="ES4" s="3439" t="s">
        <v>1151</v>
      </c>
      <c r="ET4" s="3439" t="s">
        <v>1152</v>
      </c>
      <c r="EU4" s="3439" t="s">
        <v>1213</v>
      </c>
      <c r="EV4" s="3439" t="s">
        <v>1214</v>
      </c>
      <c r="EW4" s="3439" t="s">
        <v>132</v>
      </c>
      <c r="EX4" s="3439" t="s">
        <v>1215</v>
      </c>
      <c r="EY4" s="3439" t="s">
        <v>1216</v>
      </c>
      <c r="EZ4" s="3439" t="s">
        <v>1217</v>
      </c>
      <c r="FA4" s="3439" t="s">
        <v>1218</v>
      </c>
      <c r="FB4" s="3400" t="s">
        <v>4688</v>
      </c>
      <c r="FC4" s="3400" t="s">
        <v>4689</v>
      </c>
      <c r="FD4" s="3400" t="s">
        <v>4690</v>
      </c>
      <c r="FE4" s="3400" t="s">
        <v>4691</v>
      </c>
      <c r="FF4" s="3400" t="s">
        <v>4692</v>
      </c>
      <c r="FG4" s="3439" t="s">
        <v>131</v>
      </c>
      <c r="FH4" s="3439" t="s">
        <v>911</v>
      </c>
      <c r="FI4" s="3439" t="s">
        <v>912</v>
      </c>
      <c r="FJ4" s="3439" t="s">
        <v>913</v>
      </c>
      <c r="FK4" s="3439" t="s">
        <v>914</v>
      </c>
      <c r="FL4" s="3400" t="s">
        <v>4693</v>
      </c>
      <c r="FM4" s="3400" t="s">
        <v>4694</v>
      </c>
      <c r="FN4" s="3400" t="s">
        <v>4695</v>
      </c>
      <c r="FO4" s="3400" t="s">
        <v>4696</v>
      </c>
      <c r="FP4" s="3400" t="s">
        <v>4697</v>
      </c>
      <c r="FQ4" s="3439" t="s">
        <v>130</v>
      </c>
      <c r="FR4" s="3439" t="s">
        <v>915</v>
      </c>
      <c r="FS4" s="3439" t="s">
        <v>916</v>
      </c>
      <c r="FT4" s="3439" t="s">
        <v>917</v>
      </c>
      <c r="FU4" s="3439" t="s">
        <v>918</v>
      </c>
      <c r="FV4" s="3439" t="s">
        <v>809</v>
      </c>
      <c r="FW4" s="3439" t="s">
        <v>810</v>
      </c>
      <c r="FX4" s="3439" t="s">
        <v>811</v>
      </c>
      <c r="FY4" s="3439" t="s">
        <v>812</v>
      </c>
      <c r="FZ4" s="3439" t="s">
        <v>813</v>
      </c>
      <c r="GA4" s="3439" t="s">
        <v>957</v>
      </c>
      <c r="GB4" s="3439" t="s">
        <v>958</v>
      </c>
      <c r="GC4" s="3439" t="s">
        <v>959</v>
      </c>
      <c r="GD4" s="3439" t="s">
        <v>960</v>
      </c>
      <c r="GE4" s="3439" t="s">
        <v>2429</v>
      </c>
      <c r="GF4" s="3439" t="s">
        <v>1433</v>
      </c>
      <c r="GG4" s="3439" t="s">
        <v>1434</v>
      </c>
      <c r="GH4" s="3439" t="s">
        <v>1435</v>
      </c>
      <c r="GI4" s="3439" t="s">
        <v>1436</v>
      </c>
      <c r="GJ4" s="3439" t="s">
        <v>1437</v>
      </c>
      <c r="GK4" s="3439" t="s">
        <v>436</v>
      </c>
      <c r="GL4" s="3439" t="s">
        <v>437</v>
      </c>
      <c r="GM4" s="3439" t="s">
        <v>438</v>
      </c>
      <c r="GN4" s="3439" t="s">
        <v>439</v>
      </c>
      <c r="GO4" s="3439" t="s">
        <v>440</v>
      </c>
      <c r="GP4" s="3439" t="s">
        <v>17</v>
      </c>
      <c r="GQ4" s="3439" t="s">
        <v>18</v>
      </c>
      <c r="GR4" s="3439" t="s">
        <v>19</v>
      </c>
      <c r="GS4" s="3439" t="s">
        <v>20</v>
      </c>
      <c r="GT4" s="3439" t="s">
        <v>21</v>
      </c>
      <c r="GU4" s="3439" t="s">
        <v>222</v>
      </c>
      <c r="GV4" s="3439" t="s">
        <v>223</v>
      </c>
      <c r="GW4" s="3439" t="s">
        <v>224</v>
      </c>
      <c r="GX4" s="3439" t="s">
        <v>1811</v>
      </c>
      <c r="GY4" s="3439" t="s">
        <v>1812</v>
      </c>
      <c r="GZ4" s="3439" t="s">
        <v>1813</v>
      </c>
      <c r="HA4" s="3439" t="s">
        <v>592</v>
      </c>
      <c r="HB4" s="3439" t="s">
        <v>593</v>
      </c>
      <c r="HC4" s="3439" t="s">
        <v>594</v>
      </c>
      <c r="HD4" s="3439" t="s">
        <v>595</v>
      </c>
      <c r="HE4" s="3439" t="s">
        <v>22</v>
      </c>
      <c r="HF4" s="3439" t="s">
        <v>23</v>
      </c>
      <c r="HG4" s="3439" t="s">
        <v>24</v>
      </c>
      <c r="HH4" s="3439" t="s">
        <v>25</v>
      </c>
      <c r="HI4" s="3439" t="s">
        <v>26</v>
      </c>
      <c r="HJ4" s="3439" t="s">
        <v>495</v>
      </c>
      <c r="HK4" s="3439" t="s">
        <v>432</v>
      </c>
      <c r="HL4" s="3439" t="s">
        <v>433</v>
      </c>
      <c r="HM4" s="3439" t="s">
        <v>434</v>
      </c>
      <c r="HN4" s="3439" t="s">
        <v>435</v>
      </c>
      <c r="HO4" s="3439" t="s">
        <v>2208</v>
      </c>
      <c r="HP4" s="3439" t="s">
        <v>2209</v>
      </c>
      <c r="HQ4" s="3439" t="s">
        <v>2210</v>
      </c>
      <c r="HR4" s="3439" t="s">
        <v>1479</v>
      </c>
      <c r="HS4" s="3439" t="s">
        <v>1480</v>
      </c>
      <c r="HT4" s="3439" t="s">
        <v>27</v>
      </c>
      <c r="HU4" s="3439" t="s">
        <v>28</v>
      </c>
      <c r="HV4" s="3439" t="s">
        <v>29</v>
      </c>
      <c r="HW4" s="3439" t="s">
        <v>30</v>
      </c>
      <c r="HX4" s="3439"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39" t="s">
        <v>1625</v>
      </c>
      <c r="LG4" s="3439" t="s">
        <v>2523</v>
      </c>
      <c r="LH4" s="3439" t="s">
        <v>2524</v>
      </c>
      <c r="LI4" s="3439" t="s">
        <v>386</v>
      </c>
      <c r="LJ4" s="3439" t="s">
        <v>387</v>
      </c>
      <c r="LK4" s="3439" t="s">
        <v>388</v>
      </c>
      <c r="LL4" s="3439" t="s">
        <v>389</v>
      </c>
      <c r="LM4" s="3439" t="s">
        <v>390</v>
      </c>
      <c r="LN4" s="3439" t="s">
        <v>391</v>
      </c>
      <c r="LO4" s="3439" t="s">
        <v>392</v>
      </c>
      <c r="LP4" s="3439" t="s">
        <v>202</v>
      </c>
      <c r="LQ4" s="3439" t="s">
        <v>203</v>
      </c>
      <c r="LR4" s="3439" t="s">
        <v>204</v>
      </c>
      <c r="LS4" s="3439" t="s">
        <v>205</v>
      </c>
      <c r="LT4" s="3439" t="s">
        <v>206</v>
      </c>
      <c r="LU4" s="3439" t="s">
        <v>207</v>
      </c>
      <c r="LV4" s="3439" t="s">
        <v>208</v>
      </c>
      <c r="LW4" s="3439" t="s">
        <v>209</v>
      </c>
      <c r="LX4" s="3439" t="s">
        <v>210</v>
      </c>
      <c r="LY4" s="3439" t="s">
        <v>211</v>
      </c>
      <c r="LZ4" s="3439" t="s">
        <v>212</v>
      </c>
      <c r="MA4" s="3439" t="s">
        <v>213</v>
      </c>
      <c r="MB4" s="3439" t="s">
        <v>214</v>
      </c>
      <c r="MC4" s="3439" t="s">
        <v>215</v>
      </c>
      <c r="MD4" s="3439" t="s">
        <v>216</v>
      </c>
      <c r="ME4" s="3439"/>
      <c r="MF4" s="3439"/>
      <c r="MG4" s="3439"/>
      <c r="MH4" s="3439"/>
      <c r="MI4" s="3439"/>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58" t="str">
        <f>IF(A48&gt;0,"Finish Row!","")</f>
        <v>Finish Row!</v>
      </c>
      <c r="B5" s="3" t="s">
        <v>1846</v>
      </c>
      <c r="D5" s="1"/>
      <c r="E5" s="3"/>
      <c r="F5" s="1"/>
      <c r="G5" s="2585" t="s">
        <v>201</v>
      </c>
      <c r="J5" s="2293" t="s">
        <v>3564</v>
      </c>
      <c r="K5" s="3459" t="str">
        <f>'Part I-Project Information'!$B$6</f>
        <v>April 2019 Final</v>
      </c>
      <c r="L5" s="3460"/>
      <c r="M5" s="2290" t="s">
        <v>576</v>
      </c>
      <c r="O5" s="2292" t="s">
        <v>4713</v>
      </c>
      <c r="P5" s="3451"/>
      <c r="Q5" s="2291"/>
      <c r="R5" s="94"/>
      <c r="S5" s="94"/>
      <c r="T5" s="94"/>
      <c r="W5" s="3400"/>
      <c r="X5" s="3400"/>
      <c r="Y5" s="3400"/>
      <c r="Z5" s="3400"/>
      <c r="AA5" s="3400"/>
      <c r="AB5" s="3400"/>
      <c r="AC5" s="3400"/>
      <c r="AD5" s="3400"/>
      <c r="AE5" s="3400"/>
      <c r="AF5" s="3400"/>
      <c r="AG5" s="3400"/>
      <c r="AH5" s="3400"/>
      <c r="AI5" s="3400"/>
      <c r="AJ5" s="3400"/>
      <c r="AK5" s="3400"/>
      <c r="AL5" s="3400"/>
      <c r="AM5" s="3400"/>
      <c r="AN5" s="3400"/>
      <c r="AO5" s="3400"/>
      <c r="AP5" s="3400"/>
      <c r="AQ5" s="3400"/>
      <c r="AR5" s="3400"/>
      <c r="AS5" s="3400"/>
      <c r="AT5" s="3400"/>
      <c r="AU5" s="3400"/>
      <c r="AV5" s="3400"/>
      <c r="AW5" s="3400"/>
      <c r="AX5" s="3400"/>
      <c r="AY5" s="3400"/>
      <c r="AZ5" s="3400"/>
      <c r="BA5" s="3400"/>
      <c r="BB5" s="3400"/>
      <c r="BC5" s="3400"/>
      <c r="BD5" s="3400"/>
      <c r="BE5" s="3400"/>
      <c r="BF5" s="3400"/>
      <c r="BG5" s="3400"/>
      <c r="BH5" s="3400"/>
      <c r="BI5" s="3400"/>
      <c r="BJ5" s="3400"/>
      <c r="BK5" s="3400"/>
      <c r="BL5" s="3400"/>
      <c r="BM5" s="3400"/>
      <c r="BN5" s="3400"/>
      <c r="BO5" s="3400"/>
      <c r="BP5" s="3400"/>
      <c r="BQ5" s="3400"/>
      <c r="BR5" s="3400"/>
      <c r="BS5" s="3400"/>
      <c r="BT5" s="3400"/>
      <c r="BU5" s="3400"/>
      <c r="BV5" s="3400"/>
      <c r="BW5" s="3400"/>
      <c r="BX5" s="3400"/>
      <c r="BY5" s="3400"/>
      <c r="BZ5" s="3400"/>
      <c r="CA5" s="3400"/>
      <c r="CB5" s="3400"/>
      <c r="CC5" s="3400"/>
      <c r="CD5" s="3400"/>
      <c r="CE5" s="3400"/>
      <c r="CF5" s="3400"/>
      <c r="CG5" s="3400"/>
      <c r="CH5" s="3400"/>
      <c r="CI5" s="3400"/>
      <c r="CJ5" s="3400"/>
      <c r="CK5" s="3400"/>
      <c r="CL5" s="3400"/>
      <c r="CM5" s="3400"/>
      <c r="CN5" s="3400"/>
      <c r="CO5" s="3400"/>
      <c r="CP5" s="3400"/>
      <c r="CQ5" s="3400"/>
      <c r="CR5" s="3400"/>
      <c r="CS5" s="3400"/>
      <c r="CT5" s="3400"/>
      <c r="CU5" s="3400"/>
      <c r="CV5" s="3400"/>
      <c r="CW5" s="3400"/>
      <c r="CX5" s="3400"/>
      <c r="CY5" s="3400"/>
      <c r="CZ5" s="3400"/>
      <c r="DA5" s="3400"/>
      <c r="DB5" s="3400"/>
      <c r="DC5" s="3400"/>
      <c r="DD5" s="3400"/>
      <c r="DE5" s="3400"/>
      <c r="DF5" s="3400"/>
      <c r="DG5" s="3400"/>
      <c r="DH5" s="3400"/>
      <c r="DI5" s="3400"/>
      <c r="DJ5" s="3400"/>
      <c r="DK5" s="3400"/>
      <c r="DL5" s="3400"/>
      <c r="DM5" s="3400"/>
      <c r="DN5" s="3400"/>
      <c r="DO5" s="3400"/>
      <c r="DP5" s="3400"/>
      <c r="DQ5" s="3400"/>
      <c r="DR5" s="3400"/>
      <c r="DS5" s="3400"/>
      <c r="DT5" s="3400"/>
      <c r="DU5" s="3400"/>
      <c r="DV5" s="3400"/>
      <c r="DW5" s="3400"/>
      <c r="DX5" s="3400"/>
      <c r="DY5" s="3400"/>
      <c r="DZ5" s="3400"/>
      <c r="EA5" s="3400"/>
      <c r="EB5" s="3400"/>
      <c r="EC5" s="3400"/>
      <c r="ED5" s="3400"/>
      <c r="EE5" s="3400"/>
      <c r="EF5" s="3400"/>
      <c r="EG5" s="3400"/>
      <c r="EH5" s="3400"/>
      <c r="EI5" s="3400"/>
      <c r="EJ5" s="3400"/>
      <c r="EK5" s="3400"/>
      <c r="EL5" s="3400"/>
      <c r="EM5" s="3400"/>
      <c r="EN5" s="3400"/>
      <c r="EO5" s="3400"/>
      <c r="EP5" s="3400"/>
      <c r="EQ5" s="3400"/>
      <c r="ER5" s="3439"/>
      <c r="ES5" s="3439"/>
      <c r="ET5" s="3439"/>
      <c r="EU5" s="3439"/>
      <c r="EV5" s="3439"/>
      <c r="EW5" s="3439"/>
      <c r="EX5" s="3439"/>
      <c r="EY5" s="3439"/>
      <c r="EZ5" s="3439"/>
      <c r="FA5" s="3439"/>
      <c r="FB5" s="3400"/>
      <c r="FC5" s="3400"/>
      <c r="FD5" s="3400"/>
      <c r="FE5" s="3400"/>
      <c r="FF5" s="3400"/>
      <c r="FG5" s="3439"/>
      <c r="FH5" s="3439"/>
      <c r="FI5" s="3439"/>
      <c r="FJ5" s="3439"/>
      <c r="FK5" s="3439"/>
      <c r="FL5" s="3400"/>
      <c r="FM5" s="3400"/>
      <c r="FN5" s="3400"/>
      <c r="FO5" s="3400"/>
      <c r="FP5" s="3400"/>
      <c r="FQ5" s="3439"/>
      <c r="FR5" s="3439"/>
      <c r="FS5" s="3439"/>
      <c r="FT5" s="3439"/>
      <c r="FU5" s="3439"/>
      <c r="FV5" s="3439"/>
      <c r="FW5" s="3439"/>
      <c r="FX5" s="3439"/>
      <c r="FY5" s="3439"/>
      <c r="FZ5" s="3439"/>
      <c r="GA5" s="3439"/>
      <c r="GB5" s="3439"/>
      <c r="GC5" s="3439"/>
      <c r="GD5" s="3439"/>
      <c r="GE5" s="3439"/>
      <c r="GF5" s="3439"/>
      <c r="GG5" s="3439"/>
      <c r="GH5" s="3439"/>
      <c r="GI5" s="3439"/>
      <c r="GJ5" s="3439"/>
      <c r="GK5" s="3439"/>
      <c r="GL5" s="3439"/>
      <c r="GM5" s="3439"/>
      <c r="GN5" s="3439"/>
      <c r="GO5" s="3439"/>
      <c r="GP5" s="3439"/>
      <c r="GQ5" s="3439"/>
      <c r="GR5" s="3439"/>
      <c r="GS5" s="3439"/>
      <c r="GT5" s="3439"/>
      <c r="GU5" s="3439"/>
      <c r="GV5" s="3439"/>
      <c r="GW5" s="3439"/>
      <c r="GX5" s="3439"/>
      <c r="GY5" s="3439"/>
      <c r="GZ5" s="3439"/>
      <c r="HA5" s="3439"/>
      <c r="HB5" s="3439"/>
      <c r="HC5" s="3439"/>
      <c r="HD5" s="3439"/>
      <c r="HE5" s="3439"/>
      <c r="HF5" s="3439"/>
      <c r="HG5" s="3439"/>
      <c r="HH5" s="3439"/>
      <c r="HI5" s="3439"/>
      <c r="HJ5" s="3439"/>
      <c r="HK5" s="3439"/>
      <c r="HL5" s="3439"/>
      <c r="HM5" s="3439"/>
      <c r="HN5" s="3439"/>
      <c r="HO5" s="3439"/>
      <c r="HP5" s="3439"/>
      <c r="HQ5" s="3439"/>
      <c r="HR5" s="3439"/>
      <c r="HS5" s="3439"/>
      <c r="HT5" s="3439"/>
      <c r="HU5" s="3439"/>
      <c r="HV5" s="3439"/>
      <c r="HW5" s="3439"/>
      <c r="HX5" s="3439"/>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39"/>
      <c r="LG5" s="3439"/>
      <c r="LH5" s="3439"/>
      <c r="LI5" s="3439"/>
      <c r="LJ5" s="3439"/>
      <c r="LK5" s="3439"/>
      <c r="LL5" s="3439"/>
      <c r="LM5" s="3439"/>
      <c r="LN5" s="3439"/>
      <c r="LO5" s="3439"/>
      <c r="LP5" s="3439"/>
      <c r="LQ5" s="3439"/>
      <c r="LR5" s="3439"/>
      <c r="LS5" s="3439"/>
      <c r="LT5" s="3439"/>
      <c r="LU5" s="3439"/>
      <c r="LV5" s="3439"/>
      <c r="LW5" s="3439"/>
      <c r="LX5" s="3439"/>
      <c r="LY5" s="3439"/>
      <c r="LZ5" s="3439"/>
      <c r="MA5" s="3439"/>
      <c r="MB5" s="3439"/>
      <c r="MC5" s="3439"/>
      <c r="MD5" s="3439"/>
      <c r="ME5" s="3439"/>
      <c r="MF5" s="3439"/>
      <c r="MG5" s="3439"/>
      <c r="MH5" s="3439"/>
      <c r="MI5" s="3439"/>
      <c r="MJ5" s="3454" t="s">
        <v>3417</v>
      </c>
      <c r="MK5" s="3454" t="s">
        <v>3418</v>
      </c>
      <c r="ML5" s="3454" t="s">
        <v>3419</v>
      </c>
      <c r="MM5" s="3454" t="s">
        <v>3420</v>
      </c>
      <c r="MN5" s="3454" t="s">
        <v>3421</v>
      </c>
      <c r="MO5" s="3439" t="s">
        <v>3431</v>
      </c>
      <c r="MP5" s="3439" t="s">
        <v>3433</v>
      </c>
      <c r="MQ5" s="3439" t="s">
        <v>3434</v>
      </c>
      <c r="MR5" s="3439" t="s">
        <v>3435</v>
      </c>
      <c r="MS5" s="3439"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58"/>
      <c r="B6" s="28" t="s">
        <v>1805</v>
      </c>
      <c r="D6" s="1"/>
      <c r="E6" s="3"/>
      <c r="F6" s="2586" t="s">
        <v>2992</v>
      </c>
      <c r="G6" s="2293" t="s">
        <v>3662</v>
      </c>
      <c r="H6" s="3451" t="s">
        <v>3883</v>
      </c>
      <c r="I6" s="2293" t="s">
        <v>798</v>
      </c>
      <c r="J6" s="2293" t="s">
        <v>3665</v>
      </c>
      <c r="K6" s="3460"/>
      <c r="L6" s="3460"/>
      <c r="M6" s="3456" t="str">
        <f>'Part I-Project Information'!$O$40</f>
        <v>Columbus</v>
      </c>
      <c r="N6" s="3456"/>
      <c r="O6" s="875">
        <f>VLOOKUP('Part I-Project Information'!$O$40,'DCA Underwriting Assumptions'!$C$158:$D$268,2)</f>
        <v>56000</v>
      </c>
      <c r="P6" s="3451"/>
      <c r="Q6" s="2291"/>
      <c r="R6" s="94"/>
      <c r="S6" s="3452" t="s">
        <v>2698</v>
      </c>
      <c r="T6" s="3452"/>
      <c r="W6" s="3400"/>
      <c r="X6" s="3400"/>
      <c r="Y6" s="3400"/>
      <c r="Z6" s="3400"/>
      <c r="AA6" s="3400"/>
      <c r="AB6" s="3400"/>
      <c r="AC6" s="3400"/>
      <c r="AD6" s="3400"/>
      <c r="AE6" s="3400"/>
      <c r="AF6" s="3400"/>
      <c r="AG6" s="3400"/>
      <c r="AH6" s="3400"/>
      <c r="AI6" s="3400"/>
      <c r="AJ6" s="3400"/>
      <c r="AK6" s="3400"/>
      <c r="AL6" s="3400"/>
      <c r="AM6" s="3400"/>
      <c r="AN6" s="3400"/>
      <c r="AO6" s="3400"/>
      <c r="AP6" s="3400"/>
      <c r="AQ6" s="3400"/>
      <c r="AR6" s="3400"/>
      <c r="AS6" s="3400"/>
      <c r="AT6" s="3400"/>
      <c r="AU6" s="3400"/>
      <c r="AV6" s="3400"/>
      <c r="AW6" s="3400"/>
      <c r="AX6" s="3400"/>
      <c r="AY6" s="3400"/>
      <c r="AZ6" s="3400"/>
      <c r="BA6" s="3400"/>
      <c r="BB6" s="3400"/>
      <c r="BC6" s="3400"/>
      <c r="BD6" s="3400"/>
      <c r="BE6" s="3400"/>
      <c r="BF6" s="3400"/>
      <c r="BG6" s="3400"/>
      <c r="BH6" s="3400"/>
      <c r="BI6" s="3400"/>
      <c r="BJ6" s="3400"/>
      <c r="BK6" s="3400"/>
      <c r="BL6" s="3400"/>
      <c r="BM6" s="3400"/>
      <c r="BN6" s="3400"/>
      <c r="BO6" s="3400"/>
      <c r="BP6" s="3400"/>
      <c r="BQ6" s="3400"/>
      <c r="BR6" s="3400"/>
      <c r="BS6" s="3400"/>
      <c r="BT6" s="3400"/>
      <c r="BU6" s="3400"/>
      <c r="BV6" s="3400"/>
      <c r="BW6" s="3400"/>
      <c r="BX6" s="3400"/>
      <c r="BY6" s="3400"/>
      <c r="BZ6" s="3400"/>
      <c r="CA6" s="3400"/>
      <c r="CB6" s="3400"/>
      <c r="CC6" s="3400"/>
      <c r="CD6" s="3400"/>
      <c r="CE6" s="3400"/>
      <c r="CF6" s="3400"/>
      <c r="CG6" s="3400"/>
      <c r="CH6" s="3400"/>
      <c r="CI6" s="3400"/>
      <c r="CJ6" s="3400"/>
      <c r="CK6" s="3400"/>
      <c r="CL6" s="3400"/>
      <c r="CM6" s="3400"/>
      <c r="CN6" s="3400"/>
      <c r="CO6" s="3400"/>
      <c r="CP6" s="3400"/>
      <c r="CQ6" s="3400"/>
      <c r="CR6" s="3400"/>
      <c r="CS6" s="3400"/>
      <c r="CT6" s="3400"/>
      <c r="CU6" s="3400"/>
      <c r="CV6" s="3400"/>
      <c r="CW6" s="3400"/>
      <c r="CX6" s="3400"/>
      <c r="CY6" s="3400"/>
      <c r="CZ6" s="3400"/>
      <c r="DA6" s="3400"/>
      <c r="DB6" s="3400"/>
      <c r="DC6" s="3400"/>
      <c r="DD6" s="3400"/>
      <c r="DE6" s="3400"/>
      <c r="DF6" s="3400"/>
      <c r="DG6" s="3400"/>
      <c r="DH6" s="3400"/>
      <c r="DI6" s="3400"/>
      <c r="DJ6" s="3400"/>
      <c r="DK6" s="3400"/>
      <c r="DL6" s="3400"/>
      <c r="DM6" s="3400"/>
      <c r="DN6" s="3400"/>
      <c r="DO6" s="3400"/>
      <c r="DP6" s="3400"/>
      <c r="DQ6" s="3400"/>
      <c r="DR6" s="3400"/>
      <c r="DS6" s="3400"/>
      <c r="DT6" s="3400"/>
      <c r="DU6" s="3400"/>
      <c r="DV6" s="3400"/>
      <c r="DW6" s="3400"/>
      <c r="DX6" s="3400"/>
      <c r="DY6" s="3400"/>
      <c r="DZ6" s="3400"/>
      <c r="EA6" s="3400"/>
      <c r="EB6" s="3400"/>
      <c r="EC6" s="3400"/>
      <c r="ED6" s="3400"/>
      <c r="EE6" s="3400"/>
      <c r="EF6" s="3400"/>
      <c r="EG6" s="3400"/>
      <c r="EH6" s="3400"/>
      <c r="EI6" s="3400"/>
      <c r="EJ6" s="3400"/>
      <c r="EK6" s="3400"/>
      <c r="EL6" s="3400"/>
      <c r="EM6" s="3400"/>
      <c r="EN6" s="3400"/>
      <c r="EO6" s="3400"/>
      <c r="EP6" s="3400"/>
      <c r="EQ6" s="3400"/>
      <c r="ER6" s="3439"/>
      <c r="ES6" s="3439"/>
      <c r="ET6" s="3439"/>
      <c r="EU6" s="3439"/>
      <c r="EV6" s="3439"/>
      <c r="EW6" s="3439"/>
      <c r="EX6" s="3439"/>
      <c r="EY6" s="3439"/>
      <c r="EZ6" s="3439"/>
      <c r="FA6" s="3439"/>
      <c r="FB6" s="3400"/>
      <c r="FC6" s="3400"/>
      <c r="FD6" s="3400"/>
      <c r="FE6" s="3400"/>
      <c r="FF6" s="3400"/>
      <c r="FG6" s="3439"/>
      <c r="FH6" s="3439"/>
      <c r="FI6" s="3439"/>
      <c r="FJ6" s="3439"/>
      <c r="FK6" s="3439"/>
      <c r="FL6" s="3400"/>
      <c r="FM6" s="3400"/>
      <c r="FN6" s="3400"/>
      <c r="FO6" s="3400"/>
      <c r="FP6" s="3400"/>
      <c r="FQ6" s="3439"/>
      <c r="FR6" s="3439"/>
      <c r="FS6" s="3439"/>
      <c r="FT6" s="3439"/>
      <c r="FU6" s="3439"/>
      <c r="FV6" s="3439"/>
      <c r="FW6" s="3439"/>
      <c r="FX6" s="3439"/>
      <c r="FY6" s="3439"/>
      <c r="FZ6" s="3439"/>
      <c r="GA6" s="3439"/>
      <c r="GB6" s="3439"/>
      <c r="GC6" s="3439"/>
      <c r="GD6" s="3439"/>
      <c r="GE6" s="3439"/>
      <c r="GF6" s="3439"/>
      <c r="GG6" s="3439"/>
      <c r="GH6" s="3439"/>
      <c r="GI6" s="3439"/>
      <c r="GJ6" s="3439"/>
      <c r="GK6" s="3439"/>
      <c r="GL6" s="3439"/>
      <c r="GM6" s="3439"/>
      <c r="GN6" s="3439"/>
      <c r="GO6" s="3439"/>
      <c r="GP6" s="3439"/>
      <c r="GQ6" s="3439"/>
      <c r="GR6" s="3439"/>
      <c r="GS6" s="3439"/>
      <c r="GT6" s="3439"/>
      <c r="GU6" s="3439"/>
      <c r="GV6" s="3439"/>
      <c r="GW6" s="3439"/>
      <c r="GX6" s="3439"/>
      <c r="GY6" s="3439"/>
      <c r="GZ6" s="3439"/>
      <c r="HA6" s="3439"/>
      <c r="HB6" s="3439"/>
      <c r="HC6" s="3439"/>
      <c r="HD6" s="3439"/>
      <c r="HE6" s="3439"/>
      <c r="HF6" s="3439"/>
      <c r="HG6" s="3439"/>
      <c r="HH6" s="3439"/>
      <c r="HI6" s="3439"/>
      <c r="HJ6" s="3439"/>
      <c r="HK6" s="3439"/>
      <c r="HL6" s="3439"/>
      <c r="HM6" s="3439"/>
      <c r="HN6" s="3439"/>
      <c r="HO6" s="3439"/>
      <c r="HP6" s="3439"/>
      <c r="HQ6" s="3439"/>
      <c r="HR6" s="3439"/>
      <c r="HS6" s="3439"/>
      <c r="HT6" s="3439"/>
      <c r="HU6" s="3439"/>
      <c r="HV6" s="3439"/>
      <c r="HW6" s="3439"/>
      <c r="HX6" s="3439"/>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39"/>
      <c r="LG6" s="3439"/>
      <c r="LH6" s="3439"/>
      <c r="LI6" s="3439"/>
      <c r="LJ6" s="3439"/>
      <c r="LK6" s="3439"/>
      <c r="LL6" s="3439"/>
      <c r="LM6" s="3439"/>
      <c r="LN6" s="3439"/>
      <c r="LO6" s="3439"/>
      <c r="LP6" s="3439"/>
      <c r="LQ6" s="3439"/>
      <c r="LR6" s="3439"/>
      <c r="LS6" s="3439"/>
      <c r="LT6" s="3439"/>
      <c r="LU6" s="3439"/>
      <c r="LV6" s="3439"/>
      <c r="LW6" s="3439"/>
      <c r="LX6" s="3439"/>
      <c r="LY6" s="3439"/>
      <c r="LZ6" s="3439"/>
      <c r="MA6" s="3439"/>
      <c r="MB6" s="3439"/>
      <c r="MC6" s="3439"/>
      <c r="MD6" s="3439"/>
      <c r="ME6" s="3439"/>
      <c r="MF6" s="3439"/>
      <c r="MG6" s="3439"/>
      <c r="MH6" s="3439"/>
      <c r="MI6" s="3439"/>
      <c r="MJ6" s="3454"/>
      <c r="MK6" s="3454"/>
      <c r="ML6" s="3454"/>
      <c r="MM6" s="3454"/>
      <c r="MN6" s="3454"/>
      <c r="MO6" s="3439"/>
      <c r="MP6" s="3439"/>
      <c r="MQ6" s="3439"/>
      <c r="MR6" s="3439"/>
      <c r="MS6" s="3439"/>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58"/>
      <c r="B7" s="1055" t="s">
        <v>4700</v>
      </c>
      <c r="C7" s="1"/>
      <c r="D7" s="3"/>
      <c r="E7" s="1"/>
      <c r="F7" s="1"/>
      <c r="G7" s="2293" t="s">
        <v>3663</v>
      </c>
      <c r="H7" s="3451"/>
      <c r="I7" s="2293" t="s">
        <v>799</v>
      </c>
      <c r="J7" s="2293" t="s">
        <v>3666</v>
      </c>
      <c r="K7" s="867"/>
      <c r="L7" s="867"/>
      <c r="M7" s="3456"/>
      <c r="N7" s="3456"/>
      <c r="P7" s="3451"/>
      <c r="Q7" s="2291"/>
      <c r="R7" s="867"/>
      <c r="S7" s="868"/>
      <c r="T7" s="872" t="s">
        <v>2695</v>
      </c>
      <c r="U7" s="416"/>
      <c r="V7" s="417"/>
      <c r="W7" s="3400"/>
      <c r="X7" s="3400"/>
      <c r="Y7" s="3400"/>
      <c r="Z7" s="3400"/>
      <c r="AA7" s="3400"/>
      <c r="AB7" s="3400"/>
      <c r="AC7" s="3400"/>
      <c r="AD7" s="3400"/>
      <c r="AE7" s="3400"/>
      <c r="AF7" s="3400"/>
      <c r="AG7" s="3400"/>
      <c r="AH7" s="3400"/>
      <c r="AI7" s="3400"/>
      <c r="AJ7" s="3400"/>
      <c r="AK7" s="3400"/>
      <c r="AL7" s="3400"/>
      <c r="AM7" s="3400"/>
      <c r="AN7" s="3400"/>
      <c r="AO7" s="3400"/>
      <c r="AP7" s="3400"/>
      <c r="AQ7" s="3400"/>
      <c r="AR7" s="3400"/>
      <c r="AS7" s="3400"/>
      <c r="AT7" s="3400"/>
      <c r="AU7" s="3400"/>
      <c r="AV7" s="3400"/>
      <c r="AW7" s="3400"/>
      <c r="AX7" s="3400"/>
      <c r="AY7" s="3400"/>
      <c r="AZ7" s="3400"/>
      <c r="BA7" s="3400"/>
      <c r="BB7" s="3400"/>
      <c r="BC7" s="3400"/>
      <c r="BD7" s="3400"/>
      <c r="BE7" s="3400"/>
      <c r="BF7" s="3400"/>
      <c r="BG7" s="3400"/>
      <c r="BH7" s="3400"/>
      <c r="BI7" s="3400"/>
      <c r="BJ7" s="3400"/>
      <c r="BK7" s="3400"/>
      <c r="BL7" s="3400"/>
      <c r="BM7" s="3400"/>
      <c r="BN7" s="3400"/>
      <c r="BO7" s="3400"/>
      <c r="BP7" s="3400"/>
      <c r="BQ7" s="3400"/>
      <c r="BR7" s="3400"/>
      <c r="BS7" s="3400"/>
      <c r="BT7" s="3400"/>
      <c r="BU7" s="3400"/>
      <c r="BV7" s="3400"/>
      <c r="BW7" s="3400"/>
      <c r="BX7" s="3400"/>
      <c r="BY7" s="3400"/>
      <c r="BZ7" s="3400"/>
      <c r="CA7" s="3400"/>
      <c r="CB7" s="3400"/>
      <c r="CC7" s="3400"/>
      <c r="CD7" s="3400"/>
      <c r="CE7" s="3400"/>
      <c r="CF7" s="3400"/>
      <c r="CG7" s="3400"/>
      <c r="CH7" s="3400"/>
      <c r="CI7" s="3400"/>
      <c r="CJ7" s="3400"/>
      <c r="CK7" s="3400"/>
      <c r="CL7" s="3400"/>
      <c r="CM7" s="3400"/>
      <c r="CN7" s="3400"/>
      <c r="CO7" s="3400"/>
      <c r="CP7" s="3400"/>
      <c r="CQ7" s="3400"/>
      <c r="CR7" s="3400"/>
      <c r="CS7" s="3400"/>
      <c r="CT7" s="3400"/>
      <c r="CU7" s="3400"/>
      <c r="CV7" s="3400"/>
      <c r="CW7" s="3400"/>
      <c r="CX7" s="3400"/>
      <c r="CY7" s="3400"/>
      <c r="CZ7" s="3400"/>
      <c r="DA7" s="3400"/>
      <c r="DB7" s="3400"/>
      <c r="DC7" s="3400"/>
      <c r="DD7" s="3400"/>
      <c r="DE7" s="3400"/>
      <c r="DF7" s="3400"/>
      <c r="DG7" s="3400"/>
      <c r="DH7" s="3400"/>
      <c r="DI7" s="3400"/>
      <c r="DJ7" s="3400"/>
      <c r="DK7" s="3400"/>
      <c r="DL7" s="3400"/>
      <c r="DM7" s="3400"/>
      <c r="DN7" s="3400"/>
      <c r="DO7" s="3400"/>
      <c r="DP7" s="3400"/>
      <c r="DQ7" s="3400"/>
      <c r="DR7" s="3400"/>
      <c r="DS7" s="3400"/>
      <c r="DT7" s="3400"/>
      <c r="DU7" s="3400"/>
      <c r="DV7" s="3400"/>
      <c r="DW7" s="3400"/>
      <c r="DX7" s="3400"/>
      <c r="DY7" s="3400"/>
      <c r="DZ7" s="3400"/>
      <c r="EA7" s="3400"/>
      <c r="EB7" s="3400"/>
      <c r="EC7" s="3400"/>
      <c r="ED7" s="3400"/>
      <c r="EE7" s="3400"/>
      <c r="EF7" s="3400"/>
      <c r="EG7" s="3400"/>
      <c r="EH7" s="3400"/>
      <c r="EI7" s="3400"/>
      <c r="EJ7" s="3400"/>
      <c r="EK7" s="3400"/>
      <c r="EL7" s="3400"/>
      <c r="EM7" s="3400"/>
      <c r="EN7" s="3400"/>
      <c r="EO7" s="3400"/>
      <c r="EP7" s="3400"/>
      <c r="EQ7" s="3400"/>
      <c r="ER7" s="3439"/>
      <c r="ES7" s="3439"/>
      <c r="ET7" s="3439"/>
      <c r="EU7" s="3439"/>
      <c r="EV7" s="3439"/>
      <c r="EW7" s="3439"/>
      <c r="EX7" s="3439"/>
      <c r="EY7" s="3439"/>
      <c r="EZ7" s="3439"/>
      <c r="FA7" s="3439"/>
      <c r="FB7" s="3400"/>
      <c r="FC7" s="3400"/>
      <c r="FD7" s="3400"/>
      <c r="FE7" s="3400"/>
      <c r="FF7" s="3400"/>
      <c r="FG7" s="3439"/>
      <c r="FH7" s="3439"/>
      <c r="FI7" s="3439"/>
      <c r="FJ7" s="3439"/>
      <c r="FK7" s="3439"/>
      <c r="FL7" s="3400"/>
      <c r="FM7" s="3400"/>
      <c r="FN7" s="3400"/>
      <c r="FO7" s="3400"/>
      <c r="FP7" s="3400"/>
      <c r="FQ7" s="3439"/>
      <c r="FR7" s="3439"/>
      <c r="FS7" s="3439"/>
      <c r="FT7" s="3439"/>
      <c r="FU7" s="3439"/>
      <c r="FV7" s="3439"/>
      <c r="FW7" s="3439"/>
      <c r="FX7" s="3439"/>
      <c r="FY7" s="3439"/>
      <c r="FZ7" s="3439"/>
      <c r="GA7" s="3439"/>
      <c r="GB7" s="3439"/>
      <c r="GC7" s="3439"/>
      <c r="GD7" s="3439"/>
      <c r="GE7" s="3439"/>
      <c r="GF7" s="3439"/>
      <c r="GG7" s="3439"/>
      <c r="GH7" s="3439"/>
      <c r="GI7" s="3439"/>
      <c r="GJ7" s="3439"/>
      <c r="GK7" s="3439"/>
      <c r="GL7" s="3439"/>
      <c r="GM7" s="3439"/>
      <c r="GN7" s="3439"/>
      <c r="GO7" s="3439"/>
      <c r="GP7" s="3439"/>
      <c r="GQ7" s="3439"/>
      <c r="GR7" s="3439"/>
      <c r="GS7" s="3439"/>
      <c r="GT7" s="3439"/>
      <c r="GU7" s="3439"/>
      <c r="GV7" s="3439"/>
      <c r="GW7" s="3439"/>
      <c r="GX7" s="3439"/>
      <c r="GY7" s="3439"/>
      <c r="GZ7" s="3439"/>
      <c r="HA7" s="3439"/>
      <c r="HB7" s="3439"/>
      <c r="HC7" s="3439"/>
      <c r="HD7" s="3439"/>
      <c r="HE7" s="3439"/>
      <c r="HF7" s="3439"/>
      <c r="HG7" s="3439"/>
      <c r="HH7" s="3439"/>
      <c r="HI7" s="3439"/>
      <c r="HJ7" s="3439"/>
      <c r="HK7" s="3439"/>
      <c r="HL7" s="3439"/>
      <c r="HM7" s="3439"/>
      <c r="HN7" s="3439"/>
      <c r="HO7" s="3439"/>
      <c r="HP7" s="3439"/>
      <c r="HQ7" s="3439"/>
      <c r="HR7" s="3439"/>
      <c r="HS7" s="3439"/>
      <c r="HT7" s="3439"/>
      <c r="HU7" s="3439"/>
      <c r="HV7" s="3439"/>
      <c r="HW7" s="3439"/>
      <c r="HX7" s="3439"/>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39"/>
      <c r="LG7" s="3439"/>
      <c r="LH7" s="3439"/>
      <c r="LI7" s="3439"/>
      <c r="LJ7" s="3439"/>
      <c r="LK7" s="3439"/>
      <c r="LL7" s="3439"/>
      <c r="LM7" s="3439"/>
      <c r="LN7" s="3439"/>
      <c r="LO7" s="3439"/>
      <c r="LP7" s="3439"/>
      <c r="LQ7" s="3439"/>
      <c r="LR7" s="3439"/>
      <c r="LS7" s="3439"/>
      <c r="LT7" s="3439"/>
      <c r="LU7" s="3439"/>
      <c r="LV7" s="3439"/>
      <c r="LW7" s="3439"/>
      <c r="LX7" s="3439"/>
      <c r="LY7" s="3439"/>
      <c r="LZ7" s="3439"/>
      <c r="MA7" s="3439"/>
      <c r="MB7" s="3439"/>
      <c r="MC7" s="3439"/>
      <c r="MD7" s="3439"/>
      <c r="ME7" s="3439"/>
      <c r="MF7" s="3439"/>
      <c r="MG7" s="3439"/>
      <c r="MH7" s="3439"/>
      <c r="MI7" s="3439"/>
      <c r="MJ7" s="3454"/>
      <c r="MK7" s="3454"/>
      <c r="ML7" s="3454"/>
      <c r="MM7" s="3454"/>
      <c r="MN7" s="3454"/>
      <c r="MO7" s="3439"/>
      <c r="MP7" s="3439"/>
      <c r="MQ7" s="3439"/>
      <c r="MR7" s="3439"/>
      <c r="MS7" s="3439"/>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58"/>
      <c r="B8" s="1971" t="s">
        <v>4701</v>
      </c>
      <c r="C8" s="2293" t="s">
        <v>172</v>
      </c>
      <c r="D8" s="2293" t="s">
        <v>545</v>
      </c>
      <c r="E8" s="2293" t="s">
        <v>1476</v>
      </c>
      <c r="F8" s="2293" t="s">
        <v>1476</v>
      </c>
      <c r="G8" s="2293" t="s">
        <v>1478</v>
      </c>
      <c r="H8" s="2293" t="s">
        <v>3663</v>
      </c>
      <c r="I8" s="3461" t="s">
        <v>5064</v>
      </c>
      <c r="J8" s="2293" t="s">
        <v>2406</v>
      </c>
      <c r="K8" s="3453" t="s">
        <v>145</v>
      </c>
      <c r="L8" s="3453"/>
      <c r="M8" s="2293" t="s">
        <v>2367</v>
      </c>
      <c r="N8" s="2293" t="s">
        <v>532</v>
      </c>
      <c r="O8" s="2293" t="s">
        <v>383</v>
      </c>
      <c r="P8" s="3451"/>
      <c r="Q8" s="3453" t="s">
        <v>3573</v>
      </c>
      <c r="R8" s="3453"/>
      <c r="S8" s="2293" t="s">
        <v>2694</v>
      </c>
      <c r="T8" s="2293" t="s">
        <v>2696</v>
      </c>
      <c r="U8" s="418"/>
      <c r="V8" s="419"/>
      <c r="W8" s="3400"/>
      <c r="X8" s="3400"/>
      <c r="Y8" s="3400"/>
      <c r="Z8" s="3400"/>
      <c r="AA8" s="3400"/>
      <c r="AB8" s="3400"/>
      <c r="AC8" s="3400"/>
      <c r="AD8" s="3400"/>
      <c r="AE8" s="3400"/>
      <c r="AF8" s="3400"/>
      <c r="AG8" s="3400"/>
      <c r="AH8" s="3400"/>
      <c r="AI8" s="3400"/>
      <c r="AJ8" s="3400"/>
      <c r="AK8" s="3400"/>
      <c r="AL8" s="3400"/>
      <c r="AM8" s="3400"/>
      <c r="AN8" s="3400"/>
      <c r="AO8" s="3400"/>
      <c r="AP8" s="3400"/>
      <c r="AQ8" s="3400"/>
      <c r="AR8" s="3400"/>
      <c r="AS8" s="3400"/>
      <c r="AT8" s="3400"/>
      <c r="AU8" s="3400"/>
      <c r="AV8" s="3400"/>
      <c r="AW8" s="3400"/>
      <c r="AX8" s="3400"/>
      <c r="AY8" s="3400"/>
      <c r="AZ8" s="3400"/>
      <c r="BA8" s="3400"/>
      <c r="BB8" s="3400"/>
      <c r="BC8" s="3400"/>
      <c r="BD8" s="3400"/>
      <c r="BE8" s="3400"/>
      <c r="BF8" s="3400"/>
      <c r="BG8" s="3400"/>
      <c r="BH8" s="3400"/>
      <c r="BI8" s="3400"/>
      <c r="BJ8" s="3400"/>
      <c r="BK8" s="3400"/>
      <c r="BL8" s="3400"/>
      <c r="BM8" s="3400"/>
      <c r="BN8" s="3400"/>
      <c r="BO8" s="3400"/>
      <c r="BP8" s="3400"/>
      <c r="BQ8" s="3400"/>
      <c r="BR8" s="3400"/>
      <c r="BS8" s="3400"/>
      <c r="BT8" s="3400"/>
      <c r="BU8" s="3400"/>
      <c r="BV8" s="3400"/>
      <c r="BW8" s="3400"/>
      <c r="BX8" s="3400"/>
      <c r="BY8" s="3400"/>
      <c r="BZ8" s="3400"/>
      <c r="CA8" s="3400"/>
      <c r="CB8" s="3400"/>
      <c r="CC8" s="3400"/>
      <c r="CD8" s="3400"/>
      <c r="CE8" s="3400"/>
      <c r="CF8" s="3400"/>
      <c r="CG8" s="3400"/>
      <c r="CH8" s="3400"/>
      <c r="CI8" s="3400"/>
      <c r="CJ8" s="3400"/>
      <c r="CK8" s="3400"/>
      <c r="CL8" s="3400"/>
      <c r="CM8" s="3400"/>
      <c r="CN8" s="3400"/>
      <c r="CO8" s="3400"/>
      <c r="CP8" s="3400"/>
      <c r="CQ8" s="3400"/>
      <c r="CR8" s="3400"/>
      <c r="CS8" s="3400"/>
      <c r="CT8" s="3400"/>
      <c r="CU8" s="3400"/>
      <c r="CV8" s="3400"/>
      <c r="CW8" s="3400"/>
      <c r="CX8" s="3400"/>
      <c r="CY8" s="3400"/>
      <c r="CZ8" s="3400"/>
      <c r="DA8" s="3400"/>
      <c r="DB8" s="3400"/>
      <c r="DC8" s="3400"/>
      <c r="DD8" s="3400"/>
      <c r="DE8" s="3400"/>
      <c r="DF8" s="3400"/>
      <c r="DG8" s="3400"/>
      <c r="DH8" s="3400"/>
      <c r="DI8" s="3400"/>
      <c r="DJ8" s="3400"/>
      <c r="DK8" s="3400"/>
      <c r="DL8" s="3400"/>
      <c r="DM8" s="3400"/>
      <c r="DN8" s="3400"/>
      <c r="DO8" s="3400"/>
      <c r="DP8" s="3400"/>
      <c r="DQ8" s="3400"/>
      <c r="DR8" s="3400"/>
      <c r="DS8" s="3400"/>
      <c r="DT8" s="3400"/>
      <c r="DU8" s="3400"/>
      <c r="DV8" s="3400"/>
      <c r="DW8" s="3400"/>
      <c r="DX8" s="3400"/>
      <c r="DY8" s="3400"/>
      <c r="DZ8" s="3400"/>
      <c r="EA8" s="3400"/>
      <c r="EB8" s="3400"/>
      <c r="EC8" s="3400"/>
      <c r="ED8" s="3400"/>
      <c r="EE8" s="3400"/>
      <c r="EF8" s="3400"/>
      <c r="EG8" s="3400"/>
      <c r="EH8" s="3400"/>
      <c r="EI8" s="3400"/>
      <c r="EJ8" s="3400"/>
      <c r="EK8" s="3400"/>
      <c r="EL8" s="3400"/>
      <c r="EM8" s="3400"/>
      <c r="EN8" s="3400"/>
      <c r="EO8" s="3400"/>
      <c r="EP8" s="3400"/>
      <c r="EQ8" s="3400"/>
      <c r="ER8" s="3439"/>
      <c r="ES8" s="3439"/>
      <c r="ET8" s="3439"/>
      <c r="EU8" s="3439"/>
      <c r="EV8" s="3439"/>
      <c r="EW8" s="3439"/>
      <c r="EX8" s="3439"/>
      <c r="EY8" s="3439"/>
      <c r="EZ8" s="3439"/>
      <c r="FA8" s="3439"/>
      <c r="FB8" s="3400"/>
      <c r="FC8" s="3400"/>
      <c r="FD8" s="3400"/>
      <c r="FE8" s="3400"/>
      <c r="FF8" s="3400"/>
      <c r="FG8" s="3439"/>
      <c r="FH8" s="3439"/>
      <c r="FI8" s="3439"/>
      <c r="FJ8" s="3439"/>
      <c r="FK8" s="3439"/>
      <c r="FL8" s="3400"/>
      <c r="FM8" s="3400"/>
      <c r="FN8" s="3400"/>
      <c r="FO8" s="3400"/>
      <c r="FP8" s="3400"/>
      <c r="FQ8" s="3439"/>
      <c r="FR8" s="3439"/>
      <c r="FS8" s="3439"/>
      <c r="FT8" s="3439"/>
      <c r="FU8" s="3439"/>
      <c r="FV8" s="3439"/>
      <c r="FW8" s="3439"/>
      <c r="FX8" s="3439"/>
      <c r="FY8" s="3439"/>
      <c r="FZ8" s="3439"/>
      <c r="GA8" s="3439"/>
      <c r="GB8" s="3439"/>
      <c r="GC8" s="3439"/>
      <c r="GD8" s="3439"/>
      <c r="GE8" s="3439"/>
      <c r="GF8" s="3439"/>
      <c r="GG8" s="3439"/>
      <c r="GH8" s="3439"/>
      <c r="GI8" s="3439"/>
      <c r="GJ8" s="3439"/>
      <c r="GK8" s="3439"/>
      <c r="GL8" s="3439"/>
      <c r="GM8" s="3439"/>
      <c r="GN8" s="3439"/>
      <c r="GO8" s="3439"/>
      <c r="GP8" s="3439"/>
      <c r="GQ8" s="3439"/>
      <c r="GR8" s="3439"/>
      <c r="GS8" s="3439"/>
      <c r="GT8" s="3439"/>
      <c r="GU8" s="3439"/>
      <c r="GV8" s="3439"/>
      <c r="GW8" s="3439"/>
      <c r="GX8" s="3439"/>
      <c r="GY8" s="3439"/>
      <c r="GZ8" s="3439"/>
      <c r="HA8" s="3439"/>
      <c r="HB8" s="3439"/>
      <c r="HC8" s="3439"/>
      <c r="HD8" s="3439"/>
      <c r="HE8" s="3439"/>
      <c r="HF8" s="3439"/>
      <c r="HG8" s="3439"/>
      <c r="HH8" s="3439"/>
      <c r="HI8" s="3439"/>
      <c r="HJ8" s="3439"/>
      <c r="HK8" s="3439"/>
      <c r="HL8" s="3439"/>
      <c r="HM8" s="3439"/>
      <c r="HN8" s="3439"/>
      <c r="HO8" s="3439"/>
      <c r="HP8" s="3439"/>
      <c r="HQ8" s="3439"/>
      <c r="HR8" s="3439"/>
      <c r="HS8" s="3439"/>
      <c r="HT8" s="3439"/>
      <c r="HU8" s="3439"/>
      <c r="HV8" s="3439"/>
      <c r="HW8" s="3439"/>
      <c r="HX8" s="3439"/>
      <c r="HY8" s="3439" t="s">
        <v>1462</v>
      </c>
      <c r="HZ8" s="453" t="s">
        <v>2440</v>
      </c>
      <c r="IA8" s="453" t="s">
        <v>2441</v>
      </c>
      <c r="IB8" s="453" t="s">
        <v>2442</v>
      </c>
      <c r="IC8" s="453" t="s">
        <v>2443</v>
      </c>
      <c r="ID8" s="3439" t="s">
        <v>2497</v>
      </c>
      <c r="IE8" s="3439" t="s">
        <v>2497</v>
      </c>
      <c r="IF8" s="3439" t="s">
        <v>2497</v>
      </c>
      <c r="IG8" s="3439" t="s">
        <v>2497</v>
      </c>
      <c r="IH8" s="3439" t="s">
        <v>2497</v>
      </c>
      <c r="II8" s="3439" t="s">
        <v>3365</v>
      </c>
      <c r="IJ8" s="3439" t="s">
        <v>3365</v>
      </c>
      <c r="IK8" s="3439" t="s">
        <v>3365</v>
      </c>
      <c r="IL8" s="3439" t="s">
        <v>3365</v>
      </c>
      <c r="IM8" s="3439" t="s">
        <v>3365</v>
      </c>
      <c r="IN8" s="453" t="s">
        <v>568</v>
      </c>
      <c r="IO8" s="453" t="s">
        <v>2440</v>
      </c>
      <c r="IP8" s="453" t="s">
        <v>2441</v>
      </c>
      <c r="IQ8" s="453" t="s">
        <v>2442</v>
      </c>
      <c r="IR8" s="453" t="s">
        <v>2443</v>
      </c>
      <c r="IS8" s="453" t="s">
        <v>568</v>
      </c>
      <c r="IT8" s="453" t="s">
        <v>2440</v>
      </c>
      <c r="IU8" s="453" t="s">
        <v>2441</v>
      </c>
      <c r="IV8" s="453" t="s">
        <v>2442</v>
      </c>
      <c r="IW8" s="453" t="s">
        <v>2443</v>
      </c>
      <c r="IX8" s="3439" t="s">
        <v>2499</v>
      </c>
      <c r="IY8" s="3439" t="s">
        <v>2499</v>
      </c>
      <c r="IZ8" s="3439" t="s">
        <v>2499</v>
      </c>
      <c r="JA8" s="3439" t="s">
        <v>2499</v>
      </c>
      <c r="JB8" s="3439" t="s">
        <v>2499</v>
      </c>
      <c r="JC8" s="3439" t="s">
        <v>3361</v>
      </c>
      <c r="JD8" s="3439" t="s">
        <v>3361</v>
      </c>
      <c r="JE8" s="3439" t="s">
        <v>3361</v>
      </c>
      <c r="JF8" s="3439" t="s">
        <v>3361</v>
      </c>
      <c r="JG8" s="3439" t="s">
        <v>3361</v>
      </c>
      <c r="JH8" s="3439" t="s">
        <v>358</v>
      </c>
      <c r="JI8" s="3439" t="s">
        <v>358</v>
      </c>
      <c r="JJ8" s="3439" t="s">
        <v>358</v>
      </c>
      <c r="JK8" s="3439" t="s">
        <v>358</v>
      </c>
      <c r="JL8" s="3439" t="s">
        <v>358</v>
      </c>
      <c r="JM8" s="3439" t="s">
        <v>3360</v>
      </c>
      <c r="JN8" s="3439" t="s">
        <v>3360</v>
      </c>
      <c r="JO8" s="3439" t="s">
        <v>3360</v>
      </c>
      <c r="JP8" s="3439" t="s">
        <v>3360</v>
      </c>
      <c r="JQ8" s="3439" t="s">
        <v>3360</v>
      </c>
      <c r="JR8" s="3439" t="s">
        <v>359</v>
      </c>
      <c r="JS8" s="3439" t="s">
        <v>359</v>
      </c>
      <c r="JT8" s="3439" t="s">
        <v>359</v>
      </c>
      <c r="JU8" s="3439" t="s">
        <v>359</v>
      </c>
      <c r="JV8" s="3439" t="s">
        <v>359</v>
      </c>
      <c r="JW8" s="3439" t="s">
        <v>3359</v>
      </c>
      <c r="JX8" s="3439" t="s">
        <v>3359</v>
      </c>
      <c r="JY8" s="3439" t="s">
        <v>3359</v>
      </c>
      <c r="JZ8" s="3439" t="s">
        <v>3359</v>
      </c>
      <c r="KA8" s="3439" t="s">
        <v>3359</v>
      </c>
      <c r="KB8" s="3439" t="s">
        <v>360</v>
      </c>
      <c r="KC8" s="3439" t="s">
        <v>360</v>
      </c>
      <c r="KD8" s="3439" t="s">
        <v>360</v>
      </c>
      <c r="KE8" s="3439" t="s">
        <v>360</v>
      </c>
      <c r="KF8" s="3439" t="s">
        <v>360</v>
      </c>
      <c r="KG8" s="3439" t="s">
        <v>3362</v>
      </c>
      <c r="KH8" s="3439" t="s">
        <v>3362</v>
      </c>
      <c r="KI8" s="3439" t="s">
        <v>3362</v>
      </c>
      <c r="KJ8" s="3439" t="s">
        <v>3362</v>
      </c>
      <c r="KK8" s="3439" t="s">
        <v>3362</v>
      </c>
      <c r="KL8" s="3439" t="s">
        <v>361</v>
      </c>
      <c r="KM8" s="3439" t="s">
        <v>361</v>
      </c>
      <c r="KN8" s="3439" t="s">
        <v>361</v>
      </c>
      <c r="KO8" s="3439" t="s">
        <v>361</v>
      </c>
      <c r="KP8" s="3439" t="s">
        <v>361</v>
      </c>
      <c r="KQ8" s="3439" t="s">
        <v>3363</v>
      </c>
      <c r="KR8" s="3439" t="s">
        <v>3363</v>
      </c>
      <c r="KS8" s="3439" t="s">
        <v>3363</v>
      </c>
      <c r="KT8" s="3439" t="s">
        <v>3363</v>
      </c>
      <c r="KU8" s="3439" t="s">
        <v>3363</v>
      </c>
      <c r="KV8" s="3439" t="s">
        <v>1461</v>
      </c>
      <c r="KW8" s="3439" t="s">
        <v>1461</v>
      </c>
      <c r="KX8" s="3439" t="s">
        <v>1461</v>
      </c>
      <c r="KY8" s="3439" t="s">
        <v>1461</v>
      </c>
      <c r="KZ8" s="3439" t="s">
        <v>1461</v>
      </c>
      <c r="LA8" s="3439" t="s">
        <v>3364</v>
      </c>
      <c r="LB8" s="3439" t="s">
        <v>3364</v>
      </c>
      <c r="LC8" s="3439" t="s">
        <v>3364</v>
      </c>
      <c r="LD8" s="3439" t="s">
        <v>3364</v>
      </c>
      <c r="LE8" s="3439" t="s">
        <v>3364</v>
      </c>
      <c r="LF8" s="3439"/>
      <c r="LG8" s="3439"/>
      <c r="LH8" s="3439"/>
      <c r="LI8" s="3439"/>
      <c r="LJ8" s="3439"/>
      <c r="LK8" s="3439"/>
      <c r="LL8" s="3439"/>
      <c r="LM8" s="3439"/>
      <c r="LN8" s="3439"/>
      <c r="LO8" s="3439"/>
      <c r="LP8" s="3439"/>
      <c r="LQ8" s="3439"/>
      <c r="LR8" s="3439"/>
      <c r="LS8" s="3439"/>
      <c r="LT8" s="3439"/>
      <c r="LU8" s="3439"/>
      <c r="LV8" s="3439"/>
      <c r="LW8" s="3439"/>
      <c r="LX8" s="3439"/>
      <c r="LY8" s="3439"/>
      <c r="LZ8" s="3439"/>
      <c r="MA8" s="3439"/>
      <c r="MB8" s="3439"/>
      <c r="MC8" s="3439"/>
      <c r="MD8" s="3439"/>
      <c r="ME8" s="3439"/>
      <c r="MF8" s="3439"/>
      <c r="MG8" s="3439"/>
      <c r="MH8" s="3439"/>
      <c r="MI8" s="3439"/>
      <c r="MJ8" s="3454"/>
      <c r="MK8" s="3454"/>
      <c r="ML8" s="3454"/>
      <c r="MM8" s="3454"/>
      <c r="MN8" s="3454"/>
      <c r="MO8" s="3439"/>
      <c r="MP8" s="3439"/>
      <c r="MQ8" s="3439"/>
      <c r="MR8" s="3439"/>
      <c r="MS8" s="3439"/>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58"/>
      <c r="B9" s="2234" t="s">
        <v>5067</v>
      </c>
      <c r="C9" s="2293" t="s">
        <v>171</v>
      </c>
      <c r="D9" s="2293" t="s">
        <v>173</v>
      </c>
      <c r="E9" s="2293" t="s">
        <v>1477</v>
      </c>
      <c r="F9" s="2293" t="s">
        <v>1279</v>
      </c>
      <c r="G9" s="2293" t="s">
        <v>3664</v>
      </c>
      <c r="H9" s="2293" t="s">
        <v>1478</v>
      </c>
      <c r="I9" s="3462"/>
      <c r="J9" s="449" t="s">
        <v>350</v>
      </c>
      <c r="K9" s="2293" t="s">
        <v>1530</v>
      </c>
      <c r="L9" s="2293" t="s">
        <v>539</v>
      </c>
      <c r="M9" s="2293" t="s">
        <v>1476</v>
      </c>
      <c r="N9" s="2293" t="s">
        <v>3314</v>
      </c>
      <c r="O9" s="2293" t="s">
        <v>384</v>
      </c>
      <c r="P9" s="3457"/>
      <c r="Q9" s="2293" t="s">
        <v>3574</v>
      </c>
      <c r="R9" s="2293" t="s">
        <v>1040</v>
      </c>
      <c r="S9" s="2293" t="s">
        <v>1478</v>
      </c>
      <c r="T9" s="2293" t="s">
        <v>2697</v>
      </c>
      <c r="U9" s="3107" t="s">
        <v>1845</v>
      </c>
      <c r="V9" s="3107"/>
      <c r="W9" s="3400"/>
      <c r="X9" s="3400"/>
      <c r="Y9" s="3400"/>
      <c r="Z9" s="3400"/>
      <c r="AA9" s="3400"/>
      <c r="AB9" s="3400"/>
      <c r="AC9" s="3400"/>
      <c r="AD9" s="3400"/>
      <c r="AE9" s="3400"/>
      <c r="AF9" s="3400"/>
      <c r="AG9" s="3400"/>
      <c r="AH9" s="3400"/>
      <c r="AI9" s="3400"/>
      <c r="AJ9" s="3400"/>
      <c r="AK9" s="3400"/>
      <c r="AL9" s="3400"/>
      <c r="AM9" s="3400"/>
      <c r="AN9" s="3400"/>
      <c r="AO9" s="3400"/>
      <c r="AP9" s="3400"/>
      <c r="AQ9" s="3400"/>
      <c r="AR9" s="3400"/>
      <c r="AS9" s="3400"/>
      <c r="AT9" s="3400"/>
      <c r="AU9" s="3400"/>
      <c r="AV9" s="3400"/>
      <c r="AW9" s="3400"/>
      <c r="AX9" s="3400"/>
      <c r="AY9" s="3400"/>
      <c r="AZ9" s="3400"/>
      <c r="BA9" s="3400"/>
      <c r="BB9" s="3400"/>
      <c r="BC9" s="3400"/>
      <c r="BD9" s="3400"/>
      <c r="BE9" s="3400"/>
      <c r="BF9" s="3400"/>
      <c r="BG9" s="3400"/>
      <c r="BH9" s="3400"/>
      <c r="BI9" s="3400"/>
      <c r="BJ9" s="3400"/>
      <c r="BK9" s="3400"/>
      <c r="BL9" s="3400"/>
      <c r="BM9" s="3400"/>
      <c r="BN9" s="3400"/>
      <c r="BO9" s="3400"/>
      <c r="BP9" s="3400"/>
      <c r="BQ9" s="3400"/>
      <c r="BR9" s="3400"/>
      <c r="BS9" s="3400"/>
      <c r="BT9" s="3400"/>
      <c r="BU9" s="3400"/>
      <c r="BV9" s="3400"/>
      <c r="BW9" s="3400"/>
      <c r="BX9" s="3400"/>
      <c r="BY9" s="3400"/>
      <c r="BZ9" s="3400"/>
      <c r="CA9" s="3400"/>
      <c r="CB9" s="3400"/>
      <c r="CC9" s="3400"/>
      <c r="CD9" s="3400"/>
      <c r="CE9" s="3400"/>
      <c r="CF9" s="3400"/>
      <c r="CG9" s="3400"/>
      <c r="CH9" s="3400"/>
      <c r="CI9" s="3400"/>
      <c r="CJ9" s="3400"/>
      <c r="CK9" s="3400"/>
      <c r="CL9" s="3400"/>
      <c r="CM9" s="3400"/>
      <c r="CN9" s="3400"/>
      <c r="CO9" s="3400"/>
      <c r="CP9" s="3400"/>
      <c r="CQ9" s="3400"/>
      <c r="CR9" s="3400"/>
      <c r="CS9" s="3400"/>
      <c r="CT9" s="3400"/>
      <c r="CU9" s="3400"/>
      <c r="CV9" s="3400"/>
      <c r="CW9" s="3400"/>
      <c r="CX9" s="3400"/>
      <c r="CY9" s="3400"/>
      <c r="CZ9" s="3400"/>
      <c r="DA9" s="3400"/>
      <c r="DB9" s="3400"/>
      <c r="DC9" s="3400"/>
      <c r="DD9" s="3400"/>
      <c r="DE9" s="3400"/>
      <c r="DF9" s="3400"/>
      <c r="DG9" s="3400"/>
      <c r="DH9" s="3400"/>
      <c r="DI9" s="3400"/>
      <c r="DJ9" s="3400"/>
      <c r="DK9" s="3400"/>
      <c r="DL9" s="3400"/>
      <c r="DM9" s="3400"/>
      <c r="DN9" s="3400"/>
      <c r="DO9" s="3400"/>
      <c r="DP9" s="3400"/>
      <c r="DQ9" s="3400"/>
      <c r="DR9" s="3400"/>
      <c r="DS9" s="3400"/>
      <c r="DT9" s="3400"/>
      <c r="DU9" s="3400"/>
      <c r="DV9" s="3400"/>
      <c r="DW9" s="3400"/>
      <c r="DX9" s="3400"/>
      <c r="DY9" s="3400"/>
      <c r="DZ9" s="3400"/>
      <c r="EA9" s="3400"/>
      <c r="EB9" s="3400"/>
      <c r="EC9" s="3400"/>
      <c r="ED9" s="3400"/>
      <c r="EE9" s="3400"/>
      <c r="EF9" s="3400"/>
      <c r="EG9" s="3400"/>
      <c r="EH9" s="3400"/>
      <c r="EI9" s="3400"/>
      <c r="EJ9" s="3400"/>
      <c r="EK9" s="3400"/>
      <c r="EL9" s="3400"/>
      <c r="EM9" s="3400"/>
      <c r="EN9" s="3400"/>
      <c r="EO9" s="3400"/>
      <c r="EP9" s="3400"/>
      <c r="EQ9" s="3400"/>
      <c r="ER9" s="3439"/>
      <c r="ES9" s="3439"/>
      <c r="ET9" s="3439"/>
      <c r="EU9" s="3439"/>
      <c r="EV9" s="3439"/>
      <c r="EW9" s="3439"/>
      <c r="EX9" s="3439"/>
      <c r="EY9" s="3439"/>
      <c r="EZ9" s="3439"/>
      <c r="FA9" s="3439"/>
      <c r="FB9" s="3400"/>
      <c r="FC9" s="3400"/>
      <c r="FD9" s="3400"/>
      <c r="FE9" s="3400"/>
      <c r="FF9" s="3400"/>
      <c r="FG9" s="3439"/>
      <c r="FH9" s="3439"/>
      <c r="FI9" s="3439"/>
      <c r="FJ9" s="3439"/>
      <c r="FK9" s="3439"/>
      <c r="FL9" s="3400"/>
      <c r="FM9" s="3400"/>
      <c r="FN9" s="3400"/>
      <c r="FO9" s="3400"/>
      <c r="FP9" s="3400"/>
      <c r="FQ9" s="3439"/>
      <c r="FR9" s="3439"/>
      <c r="FS9" s="3439"/>
      <c r="FT9" s="3439"/>
      <c r="FU9" s="3439"/>
      <c r="FV9" s="3439"/>
      <c r="FW9" s="3439"/>
      <c r="FX9" s="3439"/>
      <c r="FY9" s="3439"/>
      <c r="FZ9" s="3439"/>
      <c r="GA9" s="3439"/>
      <c r="GB9" s="3439"/>
      <c r="GC9" s="3439"/>
      <c r="GD9" s="3439"/>
      <c r="GE9" s="3439"/>
      <c r="GF9" s="3439"/>
      <c r="GG9" s="3439"/>
      <c r="GH9" s="3439"/>
      <c r="GI9" s="3439"/>
      <c r="GJ9" s="3439"/>
      <c r="GK9" s="3439"/>
      <c r="GL9" s="3439"/>
      <c r="GM9" s="3439"/>
      <c r="GN9" s="3439"/>
      <c r="GO9" s="3439"/>
      <c r="GP9" s="3439"/>
      <c r="GQ9" s="3439"/>
      <c r="GR9" s="3439"/>
      <c r="GS9" s="3439"/>
      <c r="GT9" s="3439"/>
      <c r="GU9" s="3439"/>
      <c r="GV9" s="3439"/>
      <c r="GW9" s="3439"/>
      <c r="GX9" s="3439"/>
      <c r="GY9" s="3439"/>
      <c r="GZ9" s="3439"/>
      <c r="HA9" s="3439"/>
      <c r="HB9" s="3439"/>
      <c r="HC9" s="3439"/>
      <c r="HD9" s="3439"/>
      <c r="HE9" s="3439"/>
      <c r="HF9" s="3439"/>
      <c r="HG9" s="3439"/>
      <c r="HH9" s="3439"/>
      <c r="HI9" s="3439"/>
      <c r="HJ9" s="3439"/>
      <c r="HK9" s="3439"/>
      <c r="HL9" s="3439"/>
      <c r="HM9" s="3439"/>
      <c r="HN9" s="3439"/>
      <c r="HO9" s="3439"/>
      <c r="HP9" s="3439"/>
      <c r="HQ9" s="3439"/>
      <c r="HR9" s="3439"/>
      <c r="HS9" s="3439"/>
      <c r="HT9" s="3439"/>
      <c r="HU9" s="3439"/>
      <c r="HV9" s="3439"/>
      <c r="HW9" s="3439"/>
      <c r="HX9" s="3439"/>
      <c r="HY9" s="3439"/>
      <c r="HZ9" s="453" t="s">
        <v>2496</v>
      </c>
      <c r="IA9" s="453" t="s">
        <v>2496</v>
      </c>
      <c r="IB9" s="453" t="s">
        <v>2496</v>
      </c>
      <c r="IC9" s="453" t="s">
        <v>2496</v>
      </c>
      <c r="ID9" s="3439"/>
      <c r="IE9" s="3439"/>
      <c r="IF9" s="3439"/>
      <c r="IG9" s="3439"/>
      <c r="IH9" s="3439"/>
      <c r="II9" s="3439"/>
      <c r="IJ9" s="3439"/>
      <c r="IK9" s="3439"/>
      <c r="IL9" s="3439"/>
      <c r="IM9" s="3439"/>
      <c r="IN9" s="453" t="s">
        <v>2498</v>
      </c>
      <c r="IO9" s="453" t="s">
        <v>2498</v>
      </c>
      <c r="IP9" s="453" t="s">
        <v>2498</v>
      </c>
      <c r="IQ9" s="453" t="s">
        <v>2498</v>
      </c>
      <c r="IR9" s="453" t="s">
        <v>2498</v>
      </c>
      <c r="IS9" s="453" t="s">
        <v>3366</v>
      </c>
      <c r="IT9" s="453" t="s">
        <v>3366</v>
      </c>
      <c r="IU9" s="453" t="s">
        <v>3366</v>
      </c>
      <c r="IV9" s="453" t="s">
        <v>3366</v>
      </c>
      <c r="IW9" s="453" t="s">
        <v>3366</v>
      </c>
      <c r="IX9" s="3439"/>
      <c r="IY9" s="3439"/>
      <c r="IZ9" s="3439"/>
      <c r="JA9" s="3439"/>
      <c r="JB9" s="3439"/>
      <c r="JC9" s="3439"/>
      <c r="JD9" s="3439"/>
      <c r="JE9" s="3439"/>
      <c r="JF9" s="3439"/>
      <c r="JG9" s="3439"/>
      <c r="JH9" s="3439"/>
      <c r="JI9" s="3439"/>
      <c r="JJ9" s="3439"/>
      <c r="JK9" s="3439"/>
      <c r="JL9" s="3439"/>
      <c r="JM9" s="3439"/>
      <c r="JN9" s="3439"/>
      <c r="JO9" s="3439"/>
      <c r="JP9" s="3439"/>
      <c r="JQ9" s="3439"/>
      <c r="JR9" s="3439"/>
      <c r="JS9" s="3439"/>
      <c r="JT9" s="3439"/>
      <c r="JU9" s="3439"/>
      <c r="JV9" s="3439"/>
      <c r="JW9" s="3439"/>
      <c r="JX9" s="3439"/>
      <c r="JY9" s="3439"/>
      <c r="JZ9" s="3439"/>
      <c r="KA9" s="3439"/>
      <c r="KB9" s="3439"/>
      <c r="KC9" s="3439"/>
      <c r="KD9" s="3439"/>
      <c r="KE9" s="3439"/>
      <c r="KF9" s="3439"/>
      <c r="KG9" s="3439"/>
      <c r="KH9" s="3439"/>
      <c r="KI9" s="3439"/>
      <c r="KJ9" s="3439"/>
      <c r="KK9" s="3439"/>
      <c r="KL9" s="3439"/>
      <c r="KM9" s="3439"/>
      <c r="KN9" s="3439"/>
      <c r="KO9" s="3439"/>
      <c r="KP9" s="3439"/>
      <c r="KQ9" s="3439"/>
      <c r="KR9" s="3439"/>
      <c r="KS9" s="3439"/>
      <c r="KT9" s="3439"/>
      <c r="KU9" s="3439"/>
      <c r="KV9" s="3439"/>
      <c r="KW9" s="3439"/>
      <c r="KX9" s="3439"/>
      <c r="KY9" s="3439"/>
      <c r="KZ9" s="3439"/>
      <c r="LA9" s="3439"/>
      <c r="LB9" s="3439"/>
      <c r="LC9" s="3439"/>
      <c r="LD9" s="3439"/>
      <c r="LE9" s="3439"/>
      <c r="LF9" s="3439"/>
      <c r="LG9" s="3439"/>
      <c r="LH9" s="3439"/>
      <c r="LI9" s="3439"/>
      <c r="LJ9" s="3439"/>
      <c r="LK9" s="3439"/>
      <c r="LL9" s="3439"/>
      <c r="LM9" s="3439"/>
      <c r="LN9" s="3439"/>
      <c r="LO9" s="3439"/>
      <c r="LP9" s="3439"/>
      <c r="LQ9" s="3439"/>
      <c r="LR9" s="3439"/>
      <c r="LS9" s="3439"/>
      <c r="LT9" s="3439"/>
      <c r="LU9" s="3439"/>
      <c r="LV9" s="3439"/>
      <c r="LW9" s="3439"/>
      <c r="LX9" s="3439"/>
      <c r="LY9" s="3439"/>
      <c r="LZ9" s="3439"/>
      <c r="MA9" s="3439"/>
      <c r="MB9" s="3439"/>
      <c r="MC9" s="3439"/>
      <c r="MD9" s="3439"/>
      <c r="ME9" s="3439"/>
      <c r="MF9" s="3439"/>
      <c r="MG9" s="3439"/>
      <c r="MH9" s="3439"/>
      <c r="MI9" s="3439"/>
      <c r="MJ9" s="3454"/>
      <c r="MK9" s="3454"/>
      <c r="ML9" s="3454"/>
      <c r="MM9" s="3454"/>
      <c r="MN9" s="3454"/>
      <c r="MO9" s="3439"/>
      <c r="MP9" s="3439"/>
      <c r="MQ9" s="3439"/>
      <c r="MR9" s="3439"/>
      <c r="MS9" s="3439"/>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7" t="s">
        <v>4611</v>
      </c>
      <c r="C10" s="2588"/>
      <c r="D10" s="2589"/>
      <c r="E10" s="2590"/>
      <c r="F10" s="2590"/>
      <c r="G10" s="2590"/>
      <c r="H10" s="2590"/>
      <c r="I10" s="2591">
        <f>IF(C10="",0,HLOOKUP(C10,'Part V-Utility Allowances'!$I$11:$M$22,12))</f>
        <v>0</v>
      </c>
      <c r="J10" s="2592"/>
      <c r="K10" s="592">
        <f t="shared" ref="K10:K47" si="1">MAX(0,H10-I10)</f>
        <v>0</v>
      </c>
      <c r="L10" s="592">
        <f t="shared" ref="L10:L47" si="2">MAX(0,E10*K10)</f>
        <v>0</v>
      </c>
      <c r="M10" s="2593"/>
      <c r="N10" s="2593"/>
      <c r="O10" s="2593"/>
      <c r="P10" s="2594"/>
      <c r="Q10" s="2595" t="str">
        <f t="shared" ref="Q10:Q47" si="3">IF(H10="","",H10*12/0.3)</f>
        <v/>
      </c>
      <c r="R10" s="2596" t="str">
        <f>IF(H10="","",IF(C10="Efficiency",Q10/($O$6*VLOOKUP(0,'DCA Underwriting Assumptions'!$J$146:$K$151,2,FALSE)),Q10/($O$6*VLOOKUP(C10,'DCA Underwriting Assumptions'!$J$146:$K$151,2,FALSE))))</f>
        <v/>
      </c>
      <c r="S10" s="2597"/>
      <c r="T10" s="2598"/>
      <c r="U10" s="3383"/>
      <c r="V10" s="3385"/>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599" t="s">
        <v>4611</v>
      </c>
      <c r="C11" s="2600"/>
      <c r="D11" s="2601"/>
      <c r="E11" s="2602"/>
      <c r="F11" s="2602"/>
      <c r="G11" s="2602"/>
      <c r="H11" s="2602"/>
      <c r="I11" s="2603">
        <f>IF(C11="",0,HLOOKUP(C11,'Part V-Utility Allowances'!$I$11:$M$22,12))</f>
        <v>0</v>
      </c>
      <c r="J11" s="2604"/>
      <c r="K11" s="593">
        <f t="shared" si="1"/>
        <v>0</v>
      </c>
      <c r="L11" s="593">
        <f t="shared" si="2"/>
        <v>0</v>
      </c>
      <c r="M11" s="2605"/>
      <c r="N11" s="2605"/>
      <c r="O11" s="2605"/>
      <c r="P11" s="2606"/>
      <c r="Q11" s="2607" t="str">
        <f t="shared" si="3"/>
        <v/>
      </c>
      <c r="R11" s="2608" t="str">
        <f>IF(H11="","",IF(C11="Efficiency",Q11/($O$6*VLOOKUP(0,'DCA Underwriting Assumptions'!$J$146:$K$151,2,FALSE)),Q11/($O$6*VLOOKUP(C11,'DCA Underwriting Assumptions'!$J$146:$K$151,2,FALSE))))</f>
        <v/>
      </c>
      <c r="S11" s="2609"/>
      <c r="T11" s="2610"/>
      <c r="U11" s="3388"/>
      <c r="V11" s="3390"/>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f t="shared" si="0"/>
        <v>1</v>
      </c>
      <c r="B12" s="2599" t="s">
        <v>303</v>
      </c>
      <c r="C12" s="2600">
        <v>1</v>
      </c>
      <c r="D12" s="2601">
        <v>1</v>
      </c>
      <c r="E12" s="2602">
        <v>2</v>
      </c>
      <c r="F12" s="2602">
        <v>704</v>
      </c>
      <c r="G12" s="2602"/>
      <c r="H12" s="2602">
        <v>610</v>
      </c>
      <c r="I12" s="2603">
        <v>0</v>
      </c>
      <c r="J12" s="2604"/>
      <c r="K12" s="593">
        <f t="shared" si="1"/>
        <v>610</v>
      </c>
      <c r="L12" s="593">
        <f t="shared" si="2"/>
        <v>1220</v>
      </c>
      <c r="M12" s="2605" t="s">
        <v>2992</v>
      </c>
      <c r="N12" s="2605" t="s">
        <v>5180</v>
      </c>
      <c r="O12" s="2605" t="s">
        <v>2295</v>
      </c>
      <c r="P12" s="2606" t="s">
        <v>2992</v>
      </c>
      <c r="Q12" s="2607">
        <f t="shared" si="3"/>
        <v>24400</v>
      </c>
      <c r="R12" s="2608">
        <f>IF(H12="","",IF(C12="Efficiency",Q12/($O$6*VLOOKUP(0,'DCA Underwriting Assumptions'!$J$146:$K$151,2,FALSE)),Q12/($O$6*VLOOKUP(C12,'DCA Underwriting Assumptions'!$J$146:$K$151,2,FALSE))))</f>
        <v>0.580952380952381</v>
      </c>
      <c r="S12" s="2609"/>
      <c r="T12" s="2610"/>
      <c r="U12" s="3388"/>
      <c r="V12" s="3390"/>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f t="shared" si="40"/>
        <v>2</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f t="shared" si="144"/>
        <v>1408</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f t="shared" si="164"/>
        <v>2</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f t="shared" si="204"/>
        <v>2</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f t="shared" si="269"/>
        <v>2</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2</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f t="shared" si="0"/>
        <v>1</v>
      </c>
      <c r="B13" s="2599" t="s">
        <v>303</v>
      </c>
      <c r="C13" s="2600">
        <v>2</v>
      </c>
      <c r="D13" s="2601">
        <v>2</v>
      </c>
      <c r="E13" s="2602">
        <v>5</v>
      </c>
      <c r="F13" s="2602">
        <v>1005</v>
      </c>
      <c r="G13" s="2602"/>
      <c r="H13" s="2602">
        <v>761</v>
      </c>
      <c r="I13" s="2603">
        <v>0</v>
      </c>
      <c r="J13" s="2604"/>
      <c r="K13" s="593">
        <f t="shared" si="1"/>
        <v>761</v>
      </c>
      <c r="L13" s="593">
        <f t="shared" si="2"/>
        <v>3805</v>
      </c>
      <c r="M13" s="2605" t="s">
        <v>2992</v>
      </c>
      <c r="N13" s="2605" t="s">
        <v>5180</v>
      </c>
      <c r="O13" s="2605" t="s">
        <v>2295</v>
      </c>
      <c r="P13" s="2606" t="s">
        <v>2992</v>
      </c>
      <c r="Q13" s="2607">
        <f t="shared" si="3"/>
        <v>30440</v>
      </c>
      <c r="R13" s="2608">
        <f>IF(H13="","",IF(C13="Efficiency",Q13/($O$6*VLOOKUP(0,'DCA Underwriting Assumptions'!$J$146:$K$151,2,FALSE)),Q13/($O$6*VLOOKUP(C13,'DCA Underwriting Assumptions'!$J$146:$K$151,2,FALSE))))</f>
        <v>0.60396825396825393</v>
      </c>
      <c r="S13" s="2609"/>
      <c r="T13" s="2610"/>
      <c r="U13" s="3388"/>
      <c r="V13" s="3390"/>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f t="shared" si="41"/>
        <v>5</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f t="shared" si="145"/>
        <v>5025</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f t="shared" si="165"/>
        <v>5</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f t="shared" si="205"/>
        <v>5</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f t="shared" si="270"/>
        <v>5</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5</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f t="shared" si="0"/>
        <v>1</v>
      </c>
      <c r="B14" s="2599" t="s">
        <v>303</v>
      </c>
      <c r="C14" s="2600">
        <v>3</v>
      </c>
      <c r="D14" s="2601">
        <v>2</v>
      </c>
      <c r="E14" s="2602">
        <v>2</v>
      </c>
      <c r="F14" s="2602">
        <v>1110</v>
      </c>
      <c r="G14" s="2602"/>
      <c r="H14" s="2602">
        <v>840</v>
      </c>
      <c r="I14" s="2603">
        <v>0</v>
      </c>
      <c r="J14" s="2604"/>
      <c r="K14" s="593">
        <f t="shared" si="1"/>
        <v>840</v>
      </c>
      <c r="L14" s="593">
        <f t="shared" si="2"/>
        <v>1680</v>
      </c>
      <c r="M14" s="2605" t="s">
        <v>2992</v>
      </c>
      <c r="N14" s="2605" t="s">
        <v>5180</v>
      </c>
      <c r="O14" s="2605" t="s">
        <v>2295</v>
      </c>
      <c r="P14" s="2606" t="s">
        <v>2992</v>
      </c>
      <c r="Q14" s="2607">
        <f t="shared" si="3"/>
        <v>33600</v>
      </c>
      <c r="R14" s="2608">
        <f>IF(H14="","",IF(C14="Efficiency",Q14/($O$6*VLOOKUP(0,'DCA Underwriting Assumptions'!$J$146:$K$151,2,FALSE)),Q14/($O$6*VLOOKUP(C14,'DCA Underwriting Assumptions'!$J$146:$K$151,2,FALSE))))</f>
        <v>0.57692307692307687</v>
      </c>
      <c r="S14" s="2609"/>
      <c r="T14" s="2610"/>
      <c r="U14" s="3388"/>
      <c r="V14" s="3390"/>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f t="shared" si="42"/>
        <v>2</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f t="shared" si="146"/>
        <v>2220</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f t="shared" si="166"/>
        <v>2</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f t="shared" si="206"/>
        <v>2</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f t="shared" si="271"/>
        <v>2</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2</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599" t="s">
        <v>303</v>
      </c>
      <c r="C15" s="2600"/>
      <c r="D15" s="2601"/>
      <c r="E15" s="2602"/>
      <c r="F15" s="2602"/>
      <c r="G15" s="2602"/>
      <c r="H15" s="2602"/>
      <c r="I15" s="2603">
        <f>IF(C15="",0,HLOOKUP(C15,'Part V-Utility Allowances'!$I$11:$M$22,12))</f>
        <v>0</v>
      </c>
      <c r="J15" s="2604"/>
      <c r="K15" s="593">
        <f t="shared" si="1"/>
        <v>0</v>
      </c>
      <c r="L15" s="593">
        <f t="shared" si="2"/>
        <v>0</v>
      </c>
      <c r="M15" s="2605"/>
      <c r="N15" s="2605"/>
      <c r="O15" s="2605"/>
      <c r="P15" s="2606"/>
      <c r="Q15" s="2607" t="str">
        <f t="shared" si="3"/>
        <v/>
      </c>
      <c r="R15" s="2608" t="str">
        <f>IF(H15="","",IF(C15="Efficiency",Q15/($O$6*VLOOKUP(0,'DCA Underwriting Assumptions'!$J$146:$K$151,2,FALSE)),Q15/($O$6*VLOOKUP(C15,'DCA Underwriting Assumptions'!$J$146:$K$151,2,FALSE))))</f>
        <v/>
      </c>
      <c r="S15" s="2609"/>
      <c r="T15" s="2610"/>
      <c r="U15" s="3388"/>
      <c r="V15" s="3390"/>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1" t="s">
        <v>303</v>
      </c>
      <c r="C16" s="2612"/>
      <c r="D16" s="2613"/>
      <c r="E16" s="2614"/>
      <c r="F16" s="2614"/>
      <c r="G16" s="2614"/>
      <c r="H16" s="2614"/>
      <c r="I16" s="2615">
        <f>IF(C16="",0,HLOOKUP(C16,'Part V-Utility Allowances'!$I$11:$M$22,12))</f>
        <v>0</v>
      </c>
      <c r="J16" s="2616"/>
      <c r="K16" s="1970">
        <f t="shared" si="1"/>
        <v>0</v>
      </c>
      <c r="L16" s="1970">
        <f t="shared" si="2"/>
        <v>0</v>
      </c>
      <c r="M16" s="2617"/>
      <c r="N16" s="2617"/>
      <c r="O16" s="2617"/>
      <c r="P16" s="2618"/>
      <c r="Q16" s="2607" t="str">
        <f t="shared" si="3"/>
        <v/>
      </c>
      <c r="R16" s="2608" t="str">
        <f>IF(H16="","",IF(C16="Efficiency",Q16/($O$6*VLOOKUP(0,'DCA Underwriting Assumptions'!$J$146:$K$151,2,FALSE)),Q16/($O$6*VLOOKUP(C16,'DCA Underwriting Assumptions'!$J$146:$K$151,2,FALSE))))</f>
        <v/>
      </c>
      <c r="S16" s="2609"/>
      <c r="T16" s="2610"/>
      <c r="U16" s="3388"/>
      <c r="V16" s="3390"/>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19">
        <v>50</v>
      </c>
      <c r="C17" s="2620">
        <v>1</v>
      </c>
      <c r="D17" s="2621">
        <v>1</v>
      </c>
      <c r="E17" s="2622">
        <v>3</v>
      </c>
      <c r="F17" s="2622">
        <v>704</v>
      </c>
      <c r="G17" s="2622">
        <v>525</v>
      </c>
      <c r="H17" s="2622">
        <v>522</v>
      </c>
      <c r="I17" s="2623">
        <f>IF(C17="",0,HLOOKUP(C17,'Part V-Utility Allowances'!$I$11:$M$22,12))</f>
        <v>63</v>
      </c>
      <c r="J17" s="2624"/>
      <c r="K17" s="1969">
        <f t="shared" si="1"/>
        <v>459</v>
      </c>
      <c r="L17" s="1969">
        <f t="shared" si="2"/>
        <v>1377</v>
      </c>
      <c r="M17" s="2625" t="s">
        <v>2992</v>
      </c>
      <c r="N17" s="2625" t="s">
        <v>5180</v>
      </c>
      <c r="O17" s="2625" t="s">
        <v>2295</v>
      </c>
      <c r="P17" s="2626" t="s">
        <v>2992</v>
      </c>
      <c r="Q17" s="2607">
        <f t="shared" si="3"/>
        <v>20880</v>
      </c>
      <c r="R17" s="2608">
        <f>IF(H17="","",IF(C17="Efficiency",Q17/($O$6*VLOOKUP(0,'DCA Underwriting Assumptions'!$J$146:$K$151,2,FALSE)),Q17/($O$6*VLOOKUP(C17,'DCA Underwriting Assumptions'!$J$146:$K$151,2,FALSE))))</f>
        <v>0.49714285714285716</v>
      </c>
      <c r="S17" s="2609"/>
      <c r="T17" s="2610"/>
      <c r="U17" s="3388"/>
      <c r="V17" s="3390"/>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3</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2112</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3</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3</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3</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3</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7">
        <v>50</v>
      </c>
      <c r="C18" s="2600">
        <v>2</v>
      </c>
      <c r="D18" s="2601">
        <v>2</v>
      </c>
      <c r="E18" s="2602">
        <v>6</v>
      </c>
      <c r="F18" s="2602">
        <v>1005</v>
      </c>
      <c r="G18" s="2602">
        <v>630</v>
      </c>
      <c r="H18" s="2602">
        <v>625</v>
      </c>
      <c r="I18" s="2603">
        <f>IF(C18="",0,HLOOKUP(C18,'Part V-Utility Allowances'!$I$11:$M$22,12))</f>
        <v>80</v>
      </c>
      <c r="J18" s="2604"/>
      <c r="K18" s="593">
        <f t="shared" si="1"/>
        <v>545</v>
      </c>
      <c r="L18" s="593">
        <f t="shared" si="2"/>
        <v>3270</v>
      </c>
      <c r="M18" s="2605" t="s">
        <v>2992</v>
      </c>
      <c r="N18" s="2605" t="s">
        <v>5180</v>
      </c>
      <c r="O18" s="2605" t="s">
        <v>2295</v>
      </c>
      <c r="P18" s="2606" t="s">
        <v>2992</v>
      </c>
      <c r="Q18" s="2607">
        <f t="shared" si="3"/>
        <v>25000</v>
      </c>
      <c r="R18" s="2608">
        <f>IF(H18="","",IF(C18="Efficiency",Q18/($O$6*VLOOKUP(0,'DCA Underwriting Assumptions'!$J$146:$K$151,2,FALSE)),Q18/($O$6*VLOOKUP(C18,'DCA Underwriting Assumptions'!$J$146:$K$151,2,FALSE))))</f>
        <v>0.49603174603174605</v>
      </c>
      <c r="S18" s="2609"/>
      <c r="T18" s="2610"/>
      <c r="U18" s="3388"/>
      <c r="V18" s="3390"/>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6</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6030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6</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6</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f t="shared" si="270"/>
        <v>6</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6</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7">
        <v>50</v>
      </c>
      <c r="C19" s="2600">
        <v>3</v>
      </c>
      <c r="D19" s="2601">
        <v>2</v>
      </c>
      <c r="E19" s="2602">
        <v>4</v>
      </c>
      <c r="F19" s="2602">
        <v>1110</v>
      </c>
      <c r="G19" s="2602">
        <v>728</v>
      </c>
      <c r="H19" s="2602">
        <v>725</v>
      </c>
      <c r="I19" s="2603">
        <f>IF(C19="",0,HLOOKUP(C19,'Part V-Utility Allowances'!$I$11:$M$22,12))</f>
        <v>100</v>
      </c>
      <c r="J19" s="2604"/>
      <c r="K19" s="593">
        <f t="shared" si="1"/>
        <v>625</v>
      </c>
      <c r="L19" s="593">
        <f t="shared" si="2"/>
        <v>2500</v>
      </c>
      <c r="M19" s="2605" t="s">
        <v>2992</v>
      </c>
      <c r="N19" s="2605" t="s">
        <v>5180</v>
      </c>
      <c r="O19" s="2605" t="s">
        <v>2295</v>
      </c>
      <c r="P19" s="2606" t="s">
        <v>2992</v>
      </c>
      <c r="Q19" s="2607">
        <f t="shared" si="3"/>
        <v>29000</v>
      </c>
      <c r="R19" s="2608">
        <f>IF(H19="","",IF(C19="Efficiency",Q19/($O$6*VLOOKUP(0,'DCA Underwriting Assumptions'!$J$146:$K$151,2,FALSE)),Q19/($O$6*VLOOKUP(C19,'DCA Underwriting Assumptions'!$J$146:$K$151,2,FALSE))))</f>
        <v>0.49793956043956045</v>
      </c>
      <c r="S19" s="2609"/>
      <c r="T19" s="2610"/>
      <c r="U19" s="3388"/>
      <c r="V19" s="3390"/>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4</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4440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4</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4</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f t="shared" si="271"/>
        <v>4</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4</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7">
        <v>60</v>
      </c>
      <c r="C20" s="2600">
        <v>1</v>
      </c>
      <c r="D20" s="2601">
        <v>1</v>
      </c>
      <c r="E20" s="2602">
        <v>7</v>
      </c>
      <c r="F20" s="2602">
        <v>704</v>
      </c>
      <c r="G20" s="2602">
        <v>630</v>
      </c>
      <c r="H20" s="2602">
        <v>583</v>
      </c>
      <c r="I20" s="2603">
        <f>IF(C20="",0,HLOOKUP(C20,'Part V-Utility Allowances'!$I$11:$M$22,12))</f>
        <v>63</v>
      </c>
      <c r="J20" s="2604"/>
      <c r="K20" s="593">
        <f t="shared" si="1"/>
        <v>520</v>
      </c>
      <c r="L20" s="593">
        <f t="shared" si="2"/>
        <v>3640</v>
      </c>
      <c r="M20" s="2605" t="s">
        <v>2992</v>
      </c>
      <c r="N20" s="2605" t="s">
        <v>5180</v>
      </c>
      <c r="O20" s="2605" t="s">
        <v>2295</v>
      </c>
      <c r="P20" s="2606" t="s">
        <v>2992</v>
      </c>
      <c r="Q20" s="2607">
        <f t="shared" si="3"/>
        <v>23320</v>
      </c>
      <c r="R20" s="2608">
        <f>IF(H20="","",IF(C20="Efficiency",Q20/($O$6*VLOOKUP(0,'DCA Underwriting Assumptions'!$J$146:$K$151,2,FALSE)),Q20/($O$6*VLOOKUP(C20,'DCA Underwriting Assumptions'!$J$146:$K$151,2,FALSE))))</f>
        <v>0.5552380952380952</v>
      </c>
      <c r="S20" s="2609"/>
      <c r="T20" s="2610"/>
      <c r="U20" s="3388"/>
      <c r="V20" s="3390"/>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7</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4928</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7</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7</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f t="shared" si="269"/>
        <v>7</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7</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7">
        <v>60</v>
      </c>
      <c r="C21" s="2600">
        <v>2</v>
      </c>
      <c r="D21" s="2601">
        <v>2</v>
      </c>
      <c r="E21" s="2602">
        <v>25</v>
      </c>
      <c r="F21" s="2602">
        <v>1005</v>
      </c>
      <c r="G21" s="2602">
        <v>756</v>
      </c>
      <c r="H21" s="2602">
        <v>729</v>
      </c>
      <c r="I21" s="2603">
        <f>IF(C21="",0,HLOOKUP(C21,'Part V-Utility Allowances'!$I$11:$M$22,12))</f>
        <v>80</v>
      </c>
      <c r="J21" s="2604"/>
      <c r="K21" s="593">
        <f t="shared" si="1"/>
        <v>649</v>
      </c>
      <c r="L21" s="593">
        <f t="shared" si="2"/>
        <v>16225</v>
      </c>
      <c r="M21" s="2605" t="s">
        <v>2992</v>
      </c>
      <c r="N21" s="2605" t="s">
        <v>5180</v>
      </c>
      <c r="O21" s="2605" t="s">
        <v>2295</v>
      </c>
      <c r="P21" s="2606" t="s">
        <v>2992</v>
      </c>
      <c r="Q21" s="2607">
        <f t="shared" si="3"/>
        <v>29160</v>
      </c>
      <c r="R21" s="2608">
        <f>IF(H21="","",IF(C21="Efficiency",Q21/($O$6*VLOOKUP(0,'DCA Underwriting Assumptions'!$J$146:$K$151,2,FALSE)),Q21/($O$6*VLOOKUP(C21,'DCA Underwriting Assumptions'!$J$146:$K$151,2,FALSE))))</f>
        <v>0.57857142857142863</v>
      </c>
      <c r="S21" s="2609"/>
      <c r="T21" s="2610"/>
      <c r="U21" s="3388"/>
      <c r="V21" s="3390"/>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25</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25125</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25</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25</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f t="shared" si="270"/>
        <v>25</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25</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7">
        <v>60</v>
      </c>
      <c r="C22" s="2600">
        <v>3</v>
      </c>
      <c r="D22" s="2601">
        <v>2</v>
      </c>
      <c r="E22" s="2602">
        <v>18</v>
      </c>
      <c r="F22" s="2602">
        <v>1110</v>
      </c>
      <c r="G22" s="2602">
        <v>873</v>
      </c>
      <c r="H22" s="2602">
        <v>865</v>
      </c>
      <c r="I22" s="2603">
        <f>IF(C22="",0,HLOOKUP(C22,'Part V-Utility Allowances'!$I$11:$M$22,12))</f>
        <v>100</v>
      </c>
      <c r="J22" s="2604"/>
      <c r="K22" s="593">
        <f t="shared" si="1"/>
        <v>765</v>
      </c>
      <c r="L22" s="593">
        <f t="shared" si="2"/>
        <v>13770</v>
      </c>
      <c r="M22" s="2605" t="s">
        <v>2992</v>
      </c>
      <c r="N22" s="2605" t="s">
        <v>5180</v>
      </c>
      <c r="O22" s="2605" t="s">
        <v>2295</v>
      </c>
      <c r="P22" s="2606" t="s">
        <v>2992</v>
      </c>
      <c r="Q22" s="2607">
        <f t="shared" si="3"/>
        <v>34600</v>
      </c>
      <c r="R22" s="2608">
        <f>IF(H22="","",IF(C22="Efficiency",Q22/($O$6*VLOOKUP(0,'DCA Underwriting Assumptions'!$J$146:$K$151,2,FALSE)),Q22/($O$6*VLOOKUP(C22,'DCA Underwriting Assumptions'!$J$146:$K$151,2,FALSE))))</f>
        <v>0.59409340659340659</v>
      </c>
      <c r="S22" s="2609"/>
      <c r="T22" s="2610"/>
      <c r="U22" s="3388"/>
      <c r="V22" s="3390"/>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18</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19980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18</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18</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f t="shared" si="271"/>
        <v>18</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18</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7">
        <v>80</v>
      </c>
      <c r="C23" s="2600"/>
      <c r="D23" s="2601"/>
      <c r="E23" s="2602"/>
      <c r="F23" s="2602"/>
      <c r="G23" s="2602"/>
      <c r="H23" s="2602"/>
      <c r="I23" s="2603">
        <f>IF(C23="",0,HLOOKUP(C23,'Part V-Utility Allowances'!$I$11:$M$22,12))</f>
        <v>0</v>
      </c>
      <c r="J23" s="2604"/>
      <c r="K23" s="593">
        <f t="shared" si="1"/>
        <v>0</v>
      </c>
      <c r="L23" s="593">
        <f t="shared" si="2"/>
        <v>0</v>
      </c>
      <c r="M23" s="2605"/>
      <c r="N23" s="2605"/>
      <c r="O23" s="2605"/>
      <c r="P23" s="2606"/>
      <c r="Q23" s="2607" t="str">
        <f t="shared" si="3"/>
        <v/>
      </c>
      <c r="R23" s="2608" t="str">
        <f>IF(H23="","",IF(C23="Efficiency",Q23/($O$6*VLOOKUP(0,'DCA Underwriting Assumptions'!$J$146:$K$151,2,FALSE)),Q23/($O$6*VLOOKUP(C23,'DCA Underwriting Assumptions'!$J$146:$K$151,2,FALSE))))</f>
        <v/>
      </c>
      <c r="S23" s="2609"/>
      <c r="T23" s="2610"/>
      <c r="U23" s="3388"/>
      <c r="V23" s="3390"/>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7">
        <v>80</v>
      </c>
      <c r="C24" s="2600"/>
      <c r="D24" s="2601"/>
      <c r="E24" s="2602"/>
      <c r="F24" s="2602"/>
      <c r="G24" s="2602"/>
      <c r="H24" s="2602"/>
      <c r="I24" s="2603">
        <f>IF(C24="",0,HLOOKUP(C24,'Part V-Utility Allowances'!$I$11:$M$22,12))</f>
        <v>0</v>
      </c>
      <c r="J24" s="2604"/>
      <c r="K24" s="593">
        <f t="shared" si="1"/>
        <v>0</v>
      </c>
      <c r="L24" s="593">
        <f t="shared" si="2"/>
        <v>0</v>
      </c>
      <c r="M24" s="2605"/>
      <c r="N24" s="2605"/>
      <c r="O24" s="2605"/>
      <c r="P24" s="2606"/>
      <c r="Q24" s="2607" t="str">
        <f t="shared" si="3"/>
        <v/>
      </c>
      <c r="R24" s="2608" t="str">
        <f>IF(H24="","",IF(C24="Efficiency",Q24/($O$6*VLOOKUP(0,'DCA Underwriting Assumptions'!$J$146:$K$151,2,FALSE)),Q24/($O$6*VLOOKUP(C24,'DCA Underwriting Assumptions'!$J$146:$K$151,2,FALSE))))</f>
        <v/>
      </c>
      <c r="S24" s="2609"/>
      <c r="T24" s="2610"/>
      <c r="U24" s="3388"/>
      <c r="V24" s="3390"/>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7"/>
      <c r="C25" s="2600"/>
      <c r="D25" s="2601"/>
      <c r="E25" s="2602"/>
      <c r="F25" s="2602"/>
      <c r="G25" s="2602"/>
      <c r="H25" s="2602"/>
      <c r="I25" s="2603">
        <f>IF(C25="",0,HLOOKUP(C25,'Part V-Utility Allowances'!$I$11:$M$22,12))</f>
        <v>0</v>
      </c>
      <c r="J25" s="2604"/>
      <c r="K25" s="593">
        <f t="shared" si="1"/>
        <v>0</v>
      </c>
      <c r="L25" s="593">
        <f t="shared" si="2"/>
        <v>0</v>
      </c>
      <c r="M25" s="2605"/>
      <c r="N25" s="2605"/>
      <c r="O25" s="2605"/>
      <c r="P25" s="2606"/>
      <c r="Q25" s="2607" t="str">
        <f t="shared" si="3"/>
        <v/>
      </c>
      <c r="R25" s="2608" t="str">
        <f>IF(H25="","",IF(C25="Efficiency",Q25/($O$6*VLOOKUP(0,'DCA Underwriting Assumptions'!$J$146:$K$151,2,FALSE)),Q25/($O$6*VLOOKUP(C25,'DCA Underwriting Assumptions'!$J$146:$K$151,2,FALSE))))</f>
        <v/>
      </c>
      <c r="S25" s="2609"/>
      <c r="T25" s="2610"/>
      <c r="U25" s="3388"/>
      <c r="V25" s="3390"/>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7"/>
      <c r="C26" s="2600"/>
      <c r="D26" s="2601"/>
      <c r="E26" s="2602"/>
      <c r="F26" s="2602"/>
      <c r="G26" s="2602"/>
      <c r="H26" s="2602"/>
      <c r="I26" s="2603">
        <f>IF(C26="",0,HLOOKUP(C26,'Part V-Utility Allowances'!$I$11:$M$22,12))</f>
        <v>0</v>
      </c>
      <c r="J26" s="2604"/>
      <c r="K26" s="593">
        <f t="shared" si="1"/>
        <v>0</v>
      </c>
      <c r="L26" s="593">
        <f t="shared" si="2"/>
        <v>0</v>
      </c>
      <c r="M26" s="2605"/>
      <c r="N26" s="2605"/>
      <c r="O26" s="2605"/>
      <c r="P26" s="2606"/>
      <c r="Q26" s="2607" t="str">
        <f t="shared" si="3"/>
        <v/>
      </c>
      <c r="R26" s="2608" t="str">
        <f>IF(H26="","",IF(C26="Efficiency",Q26/($O$6*VLOOKUP(0,'DCA Underwriting Assumptions'!$J$146:$K$151,2,FALSE)),Q26/($O$6*VLOOKUP(C26,'DCA Underwriting Assumptions'!$J$146:$K$151,2,FALSE))))</f>
        <v/>
      </c>
      <c r="S26" s="2609"/>
      <c r="T26" s="2610"/>
      <c r="U26" s="3388"/>
      <c r="V26" s="3390"/>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7"/>
      <c r="C27" s="2600"/>
      <c r="D27" s="2601"/>
      <c r="E27" s="2602"/>
      <c r="F27" s="2602"/>
      <c r="G27" s="2602"/>
      <c r="H27" s="2602"/>
      <c r="I27" s="2603">
        <f>IF(C27="",0,HLOOKUP(C27,'Part V-Utility Allowances'!$I$11:$M$22,12))</f>
        <v>0</v>
      </c>
      <c r="J27" s="2604"/>
      <c r="K27" s="593">
        <f t="shared" si="1"/>
        <v>0</v>
      </c>
      <c r="L27" s="593">
        <f t="shared" si="2"/>
        <v>0</v>
      </c>
      <c r="M27" s="2605"/>
      <c r="N27" s="2605"/>
      <c r="O27" s="2605"/>
      <c r="P27" s="2606"/>
      <c r="Q27" s="2607" t="str">
        <f t="shared" si="3"/>
        <v/>
      </c>
      <c r="R27" s="2608" t="str">
        <f>IF(H27="","",IF(C27="Efficiency",Q27/($O$6*VLOOKUP(0,'DCA Underwriting Assumptions'!$J$146:$K$151,2,FALSE)),Q27/($O$6*VLOOKUP(C27,'DCA Underwriting Assumptions'!$J$146:$K$151,2,FALSE))))</f>
        <v/>
      </c>
      <c r="S27" s="2609"/>
      <c r="T27" s="2610"/>
      <c r="U27" s="3388"/>
      <c r="V27" s="3390"/>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7"/>
      <c r="C28" s="2600"/>
      <c r="D28" s="2601"/>
      <c r="E28" s="2602"/>
      <c r="F28" s="2602"/>
      <c r="G28" s="2602"/>
      <c r="H28" s="2602"/>
      <c r="I28" s="2603">
        <f>IF(C28="",0,HLOOKUP(C28,'Part V-Utility Allowances'!$I$11:$M$22,12))</f>
        <v>0</v>
      </c>
      <c r="J28" s="2604"/>
      <c r="K28" s="593">
        <f t="shared" si="1"/>
        <v>0</v>
      </c>
      <c r="L28" s="593">
        <f t="shared" si="2"/>
        <v>0</v>
      </c>
      <c r="M28" s="2605"/>
      <c r="N28" s="2605"/>
      <c r="O28" s="2605"/>
      <c r="P28" s="2606"/>
      <c r="Q28" s="2607" t="str">
        <f t="shared" si="3"/>
        <v/>
      </c>
      <c r="R28" s="2608" t="str">
        <f>IF(H28="","",IF(C28="Efficiency",Q28/($O$6*VLOOKUP(0,'DCA Underwriting Assumptions'!$J$146:$K$151,2,FALSE)),Q28/($O$6*VLOOKUP(C28,'DCA Underwriting Assumptions'!$J$146:$K$151,2,FALSE))))</f>
        <v/>
      </c>
      <c r="S28" s="2609"/>
      <c r="T28" s="2610"/>
      <c r="U28" s="3388"/>
      <c r="V28" s="3390"/>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7"/>
      <c r="C29" s="2600"/>
      <c r="D29" s="2601"/>
      <c r="E29" s="2602"/>
      <c r="F29" s="2602"/>
      <c r="G29" s="2602"/>
      <c r="H29" s="2602"/>
      <c r="I29" s="2603">
        <f>IF(C29="",0,HLOOKUP(C29,'Part V-Utility Allowances'!$I$11:$M$22,12))</f>
        <v>0</v>
      </c>
      <c r="J29" s="2604"/>
      <c r="K29" s="593">
        <f t="shared" si="1"/>
        <v>0</v>
      </c>
      <c r="L29" s="593">
        <f t="shared" si="2"/>
        <v>0</v>
      </c>
      <c r="M29" s="2605"/>
      <c r="N29" s="2605"/>
      <c r="O29" s="2605"/>
      <c r="P29" s="2606"/>
      <c r="Q29" s="2607" t="str">
        <f t="shared" si="3"/>
        <v/>
      </c>
      <c r="R29" s="2608" t="str">
        <f>IF(H29="","",IF(C29="Efficiency",Q29/($O$6*VLOOKUP(0,'DCA Underwriting Assumptions'!$J$146:$K$151,2,FALSE)),Q29/($O$6*VLOOKUP(C29,'DCA Underwriting Assumptions'!$J$146:$K$151,2,FALSE))))</f>
        <v/>
      </c>
      <c r="S29" s="2609"/>
      <c r="T29" s="2610"/>
      <c r="U29" s="3388"/>
      <c r="V29" s="3390"/>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7"/>
      <c r="C30" s="2600"/>
      <c r="D30" s="2601"/>
      <c r="E30" s="2602"/>
      <c r="F30" s="2602"/>
      <c r="G30" s="2602"/>
      <c r="H30" s="2602"/>
      <c r="I30" s="2603">
        <f>IF(C30="",0,HLOOKUP(C30,'Part V-Utility Allowances'!$I$11:$M$22,12))</f>
        <v>0</v>
      </c>
      <c r="J30" s="2604"/>
      <c r="K30" s="593">
        <f t="shared" si="1"/>
        <v>0</v>
      </c>
      <c r="L30" s="593">
        <f t="shared" si="2"/>
        <v>0</v>
      </c>
      <c r="M30" s="2605"/>
      <c r="N30" s="2605"/>
      <c r="O30" s="2605"/>
      <c r="P30" s="2606"/>
      <c r="Q30" s="2607" t="str">
        <f t="shared" si="3"/>
        <v/>
      </c>
      <c r="R30" s="2608" t="str">
        <f>IF(H30="","",IF(C30="Efficiency",Q30/($O$6*VLOOKUP(0,'DCA Underwriting Assumptions'!$J$146:$K$151,2,FALSE)),Q30/($O$6*VLOOKUP(C30,'DCA Underwriting Assumptions'!$J$146:$K$151,2,FALSE))))</f>
        <v/>
      </c>
      <c r="S30" s="2609"/>
      <c r="T30" s="2610"/>
      <c r="U30" s="3388"/>
      <c r="V30" s="3390"/>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7"/>
      <c r="C31" s="2600"/>
      <c r="D31" s="2601"/>
      <c r="E31" s="2602"/>
      <c r="F31" s="2602"/>
      <c r="G31" s="2602"/>
      <c r="H31" s="2602"/>
      <c r="I31" s="2603">
        <f>IF(C31="",0,HLOOKUP(C31,'Part V-Utility Allowances'!$I$11:$M$22,12))</f>
        <v>0</v>
      </c>
      <c r="J31" s="2604"/>
      <c r="K31" s="593">
        <f t="shared" si="1"/>
        <v>0</v>
      </c>
      <c r="L31" s="593">
        <f t="shared" si="2"/>
        <v>0</v>
      </c>
      <c r="M31" s="2605"/>
      <c r="N31" s="2605"/>
      <c r="O31" s="2605"/>
      <c r="P31" s="2606"/>
      <c r="Q31" s="2607" t="str">
        <f t="shared" si="3"/>
        <v/>
      </c>
      <c r="R31" s="2608" t="str">
        <f>IF(H31="","",IF(C31="Efficiency",Q31/($O$6*VLOOKUP(0,'DCA Underwriting Assumptions'!$J$146:$K$151,2,FALSE)),Q31/($O$6*VLOOKUP(C31,'DCA Underwriting Assumptions'!$J$146:$K$151,2,FALSE))))</f>
        <v/>
      </c>
      <c r="S31" s="2609"/>
      <c r="T31" s="2610"/>
      <c r="U31" s="3388"/>
      <c r="V31" s="3390"/>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7"/>
      <c r="C32" s="2600"/>
      <c r="D32" s="2601"/>
      <c r="E32" s="2602"/>
      <c r="F32" s="2602"/>
      <c r="G32" s="2602"/>
      <c r="H32" s="2602"/>
      <c r="I32" s="2603">
        <f>IF(C32="",0,HLOOKUP(C32,'Part V-Utility Allowances'!$I$11:$M$22,12))</f>
        <v>0</v>
      </c>
      <c r="J32" s="2604"/>
      <c r="K32" s="593">
        <f t="shared" si="1"/>
        <v>0</v>
      </c>
      <c r="L32" s="593">
        <f t="shared" si="2"/>
        <v>0</v>
      </c>
      <c r="M32" s="2605"/>
      <c r="N32" s="2605"/>
      <c r="O32" s="2605"/>
      <c r="P32" s="2606"/>
      <c r="Q32" s="2607" t="str">
        <f t="shared" si="3"/>
        <v/>
      </c>
      <c r="R32" s="2608" t="str">
        <f>IF(H32="","",IF(C32="Efficiency",Q32/($O$6*VLOOKUP(0,'DCA Underwriting Assumptions'!$J$146:$K$151,2,FALSE)),Q32/($O$6*VLOOKUP(C32,'DCA Underwriting Assumptions'!$J$146:$K$151,2,FALSE))))</f>
        <v/>
      </c>
      <c r="S32" s="2609"/>
      <c r="T32" s="2610"/>
      <c r="U32" s="3388"/>
      <c r="V32" s="3390"/>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7"/>
      <c r="C33" s="2600"/>
      <c r="D33" s="2601"/>
      <c r="E33" s="2602"/>
      <c r="F33" s="2602"/>
      <c r="G33" s="2602"/>
      <c r="H33" s="2602"/>
      <c r="I33" s="2603">
        <f>IF(C33="",0,HLOOKUP(C33,'Part V-Utility Allowances'!$I$11:$M$22,12))</f>
        <v>0</v>
      </c>
      <c r="J33" s="2604"/>
      <c r="K33" s="593">
        <f t="shared" si="1"/>
        <v>0</v>
      </c>
      <c r="L33" s="593">
        <f t="shared" si="2"/>
        <v>0</v>
      </c>
      <c r="M33" s="2605"/>
      <c r="N33" s="2605"/>
      <c r="O33" s="2605"/>
      <c r="P33" s="2606"/>
      <c r="Q33" s="2607" t="str">
        <f t="shared" si="3"/>
        <v/>
      </c>
      <c r="R33" s="2608" t="str">
        <f>IF(H33="","",IF(C33="Efficiency",Q33/($O$6*VLOOKUP(0,'DCA Underwriting Assumptions'!$J$146:$K$151,2,FALSE)),Q33/($O$6*VLOOKUP(C33,'DCA Underwriting Assumptions'!$J$146:$K$151,2,FALSE))))</f>
        <v/>
      </c>
      <c r="S33" s="2609"/>
      <c r="T33" s="2610"/>
      <c r="U33" s="3388"/>
      <c r="V33" s="3390"/>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7"/>
      <c r="C34" s="2600"/>
      <c r="D34" s="2601"/>
      <c r="E34" s="2602"/>
      <c r="F34" s="2602"/>
      <c r="G34" s="2602"/>
      <c r="H34" s="2602"/>
      <c r="I34" s="2603">
        <f>IF(C34="",0,HLOOKUP(C34,'Part V-Utility Allowances'!$I$11:$M$22,12))</f>
        <v>0</v>
      </c>
      <c r="J34" s="2604"/>
      <c r="K34" s="593">
        <f t="shared" si="1"/>
        <v>0</v>
      </c>
      <c r="L34" s="593">
        <f t="shared" si="2"/>
        <v>0</v>
      </c>
      <c r="M34" s="2605"/>
      <c r="N34" s="2605"/>
      <c r="O34" s="2605"/>
      <c r="P34" s="2606"/>
      <c r="Q34" s="2607" t="str">
        <f t="shared" si="3"/>
        <v/>
      </c>
      <c r="R34" s="2608" t="str">
        <f>IF(H34="","",IF(C34="Efficiency",Q34/($O$6*VLOOKUP(0,'DCA Underwriting Assumptions'!$J$146:$K$151,2,FALSE)),Q34/($O$6*VLOOKUP(C34,'DCA Underwriting Assumptions'!$J$146:$K$151,2,FALSE))))</f>
        <v/>
      </c>
      <c r="S34" s="2609"/>
      <c r="T34" s="2610"/>
      <c r="U34" s="3388"/>
      <c r="V34" s="3390"/>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7"/>
      <c r="C35" s="2600"/>
      <c r="D35" s="2601"/>
      <c r="E35" s="2602"/>
      <c r="F35" s="2602"/>
      <c r="G35" s="2602"/>
      <c r="H35" s="2602"/>
      <c r="I35" s="2603">
        <f>IF(C35="",0,HLOOKUP(C35,'Part V-Utility Allowances'!$I$11:$M$22,12))</f>
        <v>0</v>
      </c>
      <c r="J35" s="2604"/>
      <c r="K35" s="593">
        <f t="shared" si="1"/>
        <v>0</v>
      </c>
      <c r="L35" s="593">
        <f t="shared" si="2"/>
        <v>0</v>
      </c>
      <c r="M35" s="2605"/>
      <c r="N35" s="2605"/>
      <c r="O35" s="2605"/>
      <c r="P35" s="2606"/>
      <c r="Q35" s="2607" t="str">
        <f t="shared" si="3"/>
        <v/>
      </c>
      <c r="R35" s="2608" t="str">
        <f>IF(H35="","",IF(C35="Efficiency",Q35/($O$6*VLOOKUP(0,'DCA Underwriting Assumptions'!$J$146:$K$151,2,FALSE)),Q35/($O$6*VLOOKUP(C35,'DCA Underwriting Assumptions'!$J$146:$K$151,2,FALSE))))</f>
        <v/>
      </c>
      <c r="S35" s="2609"/>
      <c r="T35" s="2610"/>
      <c r="U35" s="3388"/>
      <c r="V35" s="3390"/>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7"/>
      <c r="C36" s="2600"/>
      <c r="D36" s="2601"/>
      <c r="E36" s="2602"/>
      <c r="F36" s="2602"/>
      <c r="G36" s="2602"/>
      <c r="H36" s="2602"/>
      <c r="I36" s="2603">
        <f>IF(C36="",0,HLOOKUP(C36,'Part V-Utility Allowances'!$I$11:$M$22,12))</f>
        <v>0</v>
      </c>
      <c r="J36" s="2604"/>
      <c r="K36" s="593">
        <f t="shared" si="1"/>
        <v>0</v>
      </c>
      <c r="L36" s="593">
        <f t="shared" si="2"/>
        <v>0</v>
      </c>
      <c r="M36" s="2605"/>
      <c r="N36" s="2605"/>
      <c r="O36" s="2605"/>
      <c r="P36" s="2606"/>
      <c r="Q36" s="2607" t="str">
        <f t="shared" si="3"/>
        <v/>
      </c>
      <c r="R36" s="2608" t="str">
        <f>IF(H36="","",IF(C36="Efficiency",Q36/($O$6*VLOOKUP(0,'DCA Underwriting Assumptions'!$J$146:$K$151,2,FALSE)),Q36/($O$6*VLOOKUP(C36,'DCA Underwriting Assumptions'!$J$146:$K$151,2,FALSE))))</f>
        <v/>
      </c>
      <c r="S36" s="2609"/>
      <c r="T36" s="2610"/>
      <c r="U36" s="3388"/>
      <c r="V36" s="3390"/>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7"/>
      <c r="C37" s="2600"/>
      <c r="D37" s="2601"/>
      <c r="E37" s="2602"/>
      <c r="F37" s="2602"/>
      <c r="G37" s="2602"/>
      <c r="H37" s="2602"/>
      <c r="I37" s="2603">
        <f>IF(C37="",0,HLOOKUP(C37,'Part V-Utility Allowances'!$I$11:$M$22,12))</f>
        <v>0</v>
      </c>
      <c r="J37" s="2604"/>
      <c r="K37" s="593">
        <f t="shared" si="1"/>
        <v>0</v>
      </c>
      <c r="L37" s="593">
        <f t="shared" si="2"/>
        <v>0</v>
      </c>
      <c r="M37" s="2605"/>
      <c r="N37" s="2605"/>
      <c r="O37" s="2605"/>
      <c r="P37" s="2606"/>
      <c r="Q37" s="2607" t="str">
        <f t="shared" si="3"/>
        <v/>
      </c>
      <c r="R37" s="2608" t="str">
        <f>IF(H37="","",IF(C37="Efficiency",Q37/($O$6*VLOOKUP(0,'DCA Underwriting Assumptions'!$J$146:$K$151,2,FALSE)),Q37/($O$6*VLOOKUP(C37,'DCA Underwriting Assumptions'!$J$146:$K$151,2,FALSE))))</f>
        <v/>
      </c>
      <c r="S37" s="2609"/>
      <c r="T37" s="2610"/>
      <c r="U37" s="3388"/>
      <c r="V37" s="3390"/>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7"/>
      <c r="C38" s="2600"/>
      <c r="D38" s="2601"/>
      <c r="E38" s="2602"/>
      <c r="F38" s="2602"/>
      <c r="G38" s="2602"/>
      <c r="H38" s="2602"/>
      <c r="I38" s="2603">
        <f>IF(C38="",0,HLOOKUP(C38,'Part V-Utility Allowances'!$I$11:$M$22,12))</f>
        <v>0</v>
      </c>
      <c r="J38" s="2604"/>
      <c r="K38" s="593">
        <f t="shared" si="1"/>
        <v>0</v>
      </c>
      <c r="L38" s="593">
        <f t="shared" si="2"/>
        <v>0</v>
      </c>
      <c r="M38" s="2605"/>
      <c r="N38" s="2605"/>
      <c r="O38" s="2605"/>
      <c r="P38" s="2606"/>
      <c r="Q38" s="2607" t="str">
        <f t="shared" si="3"/>
        <v/>
      </c>
      <c r="R38" s="2608" t="str">
        <f>IF(H38="","",IF(C38="Efficiency",Q38/($O$6*VLOOKUP(0,'DCA Underwriting Assumptions'!$J$146:$K$151,2,FALSE)),Q38/($O$6*VLOOKUP(C38,'DCA Underwriting Assumptions'!$J$146:$K$151,2,FALSE))))</f>
        <v/>
      </c>
      <c r="S38" s="2609"/>
      <c r="T38" s="2610"/>
      <c r="U38" s="3388"/>
      <c r="V38" s="3390"/>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7"/>
      <c r="C39" s="2600"/>
      <c r="D39" s="2601"/>
      <c r="E39" s="2602"/>
      <c r="F39" s="2602"/>
      <c r="G39" s="2602"/>
      <c r="H39" s="2602"/>
      <c r="I39" s="2603">
        <f>IF(C39="",0,HLOOKUP(C39,'Part V-Utility Allowances'!$I$11:$M$22,12))</f>
        <v>0</v>
      </c>
      <c r="J39" s="2604"/>
      <c r="K39" s="593">
        <f t="shared" si="1"/>
        <v>0</v>
      </c>
      <c r="L39" s="593">
        <f t="shared" si="2"/>
        <v>0</v>
      </c>
      <c r="M39" s="2605"/>
      <c r="N39" s="2605"/>
      <c r="O39" s="2605"/>
      <c r="P39" s="2606"/>
      <c r="Q39" s="2607" t="str">
        <f t="shared" si="3"/>
        <v/>
      </c>
      <c r="R39" s="2608" t="str">
        <f>IF(H39="","",IF(C39="Efficiency",Q39/($O$6*VLOOKUP(0,'DCA Underwriting Assumptions'!$J$146:$K$151,2,FALSE)),Q39/($O$6*VLOOKUP(C39,'DCA Underwriting Assumptions'!$J$146:$K$151,2,FALSE))))</f>
        <v/>
      </c>
      <c r="S39" s="2609"/>
      <c r="T39" s="2610"/>
      <c r="U39" s="3388"/>
      <c r="V39" s="3390"/>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7"/>
      <c r="C40" s="2600"/>
      <c r="D40" s="2601"/>
      <c r="E40" s="2602"/>
      <c r="F40" s="2602"/>
      <c r="G40" s="2602"/>
      <c r="H40" s="2602"/>
      <c r="I40" s="2603">
        <f>IF(C40="",0,HLOOKUP(C40,'Part V-Utility Allowances'!$I$11:$M$22,12))</f>
        <v>0</v>
      </c>
      <c r="J40" s="2604"/>
      <c r="K40" s="593">
        <f t="shared" si="1"/>
        <v>0</v>
      </c>
      <c r="L40" s="593">
        <f t="shared" si="2"/>
        <v>0</v>
      </c>
      <c r="M40" s="2605"/>
      <c r="N40" s="2605"/>
      <c r="O40" s="2605"/>
      <c r="P40" s="2606"/>
      <c r="Q40" s="2607" t="str">
        <f t="shared" si="3"/>
        <v/>
      </c>
      <c r="R40" s="2608" t="str">
        <f>IF(H40="","",IF(C40="Efficiency",Q40/($O$6*VLOOKUP(0,'DCA Underwriting Assumptions'!$J$146:$K$151,2,FALSE)),Q40/($O$6*VLOOKUP(C40,'DCA Underwriting Assumptions'!$J$146:$K$151,2,FALSE))))</f>
        <v/>
      </c>
      <c r="S40" s="2609"/>
      <c r="T40" s="2610"/>
      <c r="U40" s="3388"/>
      <c r="V40" s="3390"/>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7"/>
      <c r="C41" s="2600"/>
      <c r="D41" s="2601"/>
      <c r="E41" s="2602"/>
      <c r="F41" s="2602"/>
      <c r="G41" s="2602"/>
      <c r="H41" s="2602"/>
      <c r="I41" s="2603">
        <f>IF(C41="",0,HLOOKUP(C41,'Part V-Utility Allowances'!$I$11:$M$22,12))</f>
        <v>0</v>
      </c>
      <c r="J41" s="2604"/>
      <c r="K41" s="593">
        <f t="shared" si="1"/>
        <v>0</v>
      </c>
      <c r="L41" s="593">
        <f t="shared" si="2"/>
        <v>0</v>
      </c>
      <c r="M41" s="2605"/>
      <c r="N41" s="2605"/>
      <c r="O41" s="2605"/>
      <c r="P41" s="2606"/>
      <c r="Q41" s="2607" t="str">
        <f t="shared" si="3"/>
        <v/>
      </c>
      <c r="R41" s="2608" t="str">
        <f>IF(H41="","",IF(C41="Efficiency",Q41/($O$6*VLOOKUP(0,'DCA Underwriting Assumptions'!$J$146:$K$151,2,FALSE)),Q41/($O$6*VLOOKUP(C41,'DCA Underwriting Assumptions'!$J$146:$K$151,2,FALSE))))</f>
        <v/>
      </c>
      <c r="S41" s="2609"/>
      <c r="T41" s="2610"/>
      <c r="U41" s="3388"/>
      <c r="V41" s="3390"/>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7"/>
      <c r="C42" s="2600"/>
      <c r="D42" s="2601"/>
      <c r="E42" s="2602"/>
      <c r="F42" s="2602"/>
      <c r="G42" s="2602"/>
      <c r="H42" s="2602"/>
      <c r="I42" s="2603">
        <f>IF(C42="",0,HLOOKUP(C42,'Part V-Utility Allowances'!$I$11:$M$22,12))</f>
        <v>0</v>
      </c>
      <c r="J42" s="2604"/>
      <c r="K42" s="593">
        <f t="shared" si="1"/>
        <v>0</v>
      </c>
      <c r="L42" s="593">
        <f t="shared" si="2"/>
        <v>0</v>
      </c>
      <c r="M42" s="2605"/>
      <c r="N42" s="2605"/>
      <c r="O42" s="2605"/>
      <c r="P42" s="2606"/>
      <c r="Q42" s="2607" t="str">
        <f t="shared" si="3"/>
        <v/>
      </c>
      <c r="R42" s="2608" t="str">
        <f>IF(H42="","",IF(C42="Efficiency",Q42/($O$6*VLOOKUP(0,'DCA Underwriting Assumptions'!$J$146:$K$151,2,FALSE)),Q42/($O$6*VLOOKUP(C42,'DCA Underwriting Assumptions'!$J$146:$K$151,2,FALSE))))</f>
        <v/>
      </c>
      <c r="S42" s="2609"/>
      <c r="T42" s="2610"/>
      <c r="U42" s="3388"/>
      <c r="V42" s="3390"/>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7"/>
      <c r="C43" s="2600"/>
      <c r="D43" s="2601"/>
      <c r="E43" s="2602"/>
      <c r="F43" s="2602"/>
      <c r="G43" s="2602"/>
      <c r="H43" s="2602"/>
      <c r="I43" s="2603">
        <f>IF(C43="",0,HLOOKUP(C43,'Part V-Utility Allowances'!$I$11:$M$22,12))</f>
        <v>0</v>
      </c>
      <c r="J43" s="2604"/>
      <c r="K43" s="593">
        <f t="shared" si="1"/>
        <v>0</v>
      </c>
      <c r="L43" s="593">
        <f t="shared" si="2"/>
        <v>0</v>
      </c>
      <c r="M43" s="2605"/>
      <c r="N43" s="2605"/>
      <c r="O43" s="2605"/>
      <c r="P43" s="2606"/>
      <c r="Q43" s="2607" t="str">
        <f t="shared" si="3"/>
        <v/>
      </c>
      <c r="R43" s="2608" t="str">
        <f>IF(H43="","",IF(C43="Efficiency",Q43/($O$6*VLOOKUP(0,'DCA Underwriting Assumptions'!$J$146:$K$151,2,FALSE)),Q43/($O$6*VLOOKUP(C43,'DCA Underwriting Assumptions'!$J$146:$K$151,2,FALSE))))</f>
        <v/>
      </c>
      <c r="S43" s="2609"/>
      <c r="T43" s="2610"/>
      <c r="U43" s="3388"/>
      <c r="V43" s="3390"/>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7"/>
      <c r="C44" s="2600"/>
      <c r="D44" s="2601"/>
      <c r="E44" s="2602"/>
      <c r="F44" s="2602"/>
      <c r="G44" s="2602"/>
      <c r="H44" s="2602"/>
      <c r="I44" s="2603">
        <f>IF(C44="",0,HLOOKUP(C44,'Part V-Utility Allowances'!$I$11:$M$22,12))</f>
        <v>0</v>
      </c>
      <c r="J44" s="2604"/>
      <c r="K44" s="593">
        <f t="shared" si="1"/>
        <v>0</v>
      </c>
      <c r="L44" s="593">
        <f t="shared" si="2"/>
        <v>0</v>
      </c>
      <c r="M44" s="2605"/>
      <c r="N44" s="2605"/>
      <c r="O44" s="2605"/>
      <c r="P44" s="2606"/>
      <c r="Q44" s="2607" t="str">
        <f t="shared" si="3"/>
        <v/>
      </c>
      <c r="R44" s="2608" t="str">
        <f>IF(H44="","",IF(C44="Efficiency",Q44/($O$6*VLOOKUP(0,'DCA Underwriting Assumptions'!$J$146:$K$151,2,FALSE)),Q44/($O$6*VLOOKUP(C44,'DCA Underwriting Assumptions'!$J$146:$K$151,2,FALSE))))</f>
        <v/>
      </c>
      <c r="S44" s="2609"/>
      <c r="T44" s="2610"/>
      <c r="U44" s="3388"/>
      <c r="V44" s="3390"/>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7"/>
      <c r="C45" s="2600"/>
      <c r="D45" s="2601"/>
      <c r="E45" s="2602"/>
      <c r="F45" s="2602"/>
      <c r="G45" s="2602"/>
      <c r="H45" s="2602"/>
      <c r="I45" s="2603">
        <f>IF(C45="",0,HLOOKUP(C45,'Part V-Utility Allowances'!$I$11:$M$22,12))</f>
        <v>0</v>
      </c>
      <c r="J45" s="2604"/>
      <c r="K45" s="593">
        <f t="shared" si="1"/>
        <v>0</v>
      </c>
      <c r="L45" s="593">
        <f t="shared" si="2"/>
        <v>0</v>
      </c>
      <c r="M45" s="2605"/>
      <c r="N45" s="2605"/>
      <c r="O45" s="2605"/>
      <c r="P45" s="2606"/>
      <c r="Q45" s="2607" t="str">
        <f t="shared" si="3"/>
        <v/>
      </c>
      <c r="R45" s="2608" t="str">
        <f>IF(H45="","",IF(C45="Efficiency",Q45/($O$6*VLOOKUP(0,'DCA Underwriting Assumptions'!$J$146:$K$151,2,FALSE)),Q45/($O$6*VLOOKUP(C45,'DCA Underwriting Assumptions'!$J$146:$K$151,2,FALSE))))</f>
        <v/>
      </c>
      <c r="S45" s="2609"/>
      <c r="T45" s="2610"/>
      <c r="U45" s="3388"/>
      <c r="V45" s="3390"/>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7"/>
      <c r="C46" s="2600"/>
      <c r="D46" s="2601"/>
      <c r="E46" s="2602"/>
      <c r="F46" s="2602"/>
      <c r="G46" s="2602"/>
      <c r="H46" s="2602"/>
      <c r="I46" s="2603">
        <f>IF(C46="",0,HLOOKUP(C46,'Part V-Utility Allowances'!$I$11:$M$22,12))</f>
        <v>0</v>
      </c>
      <c r="J46" s="2604"/>
      <c r="K46" s="593">
        <f t="shared" si="1"/>
        <v>0</v>
      </c>
      <c r="L46" s="593">
        <f t="shared" si="2"/>
        <v>0</v>
      </c>
      <c r="M46" s="2605"/>
      <c r="N46" s="2605"/>
      <c r="O46" s="2605"/>
      <c r="P46" s="2606"/>
      <c r="Q46" s="2607" t="str">
        <f t="shared" si="3"/>
        <v/>
      </c>
      <c r="R46" s="2608" t="str">
        <f>IF(H46="","",IF(C46="Efficiency",Q46/($O$6*VLOOKUP(0,'DCA Underwriting Assumptions'!$J$146:$K$151,2,FALSE)),Q46/($O$6*VLOOKUP(C46,'DCA Underwriting Assumptions'!$J$146:$K$151,2,FALSE))))</f>
        <v/>
      </c>
      <c r="S46" s="2609"/>
      <c r="T46" s="2610"/>
      <c r="U46" s="3388"/>
      <c r="V46" s="3390"/>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28"/>
      <c r="C47" s="2629"/>
      <c r="D47" s="2630"/>
      <c r="E47" s="2631"/>
      <c r="F47" s="2631"/>
      <c r="G47" s="2631"/>
      <c r="H47" s="2631"/>
      <c r="I47" s="2632">
        <f>IF(C47="",0,HLOOKUP(C47,'Part V-Utility Allowances'!$I$11:$M$22,12))</f>
        <v>0</v>
      </c>
      <c r="J47" s="2633"/>
      <c r="K47" s="594">
        <f t="shared" si="1"/>
        <v>0</v>
      </c>
      <c r="L47" s="594">
        <f t="shared" si="2"/>
        <v>0</v>
      </c>
      <c r="M47" s="2634"/>
      <c r="N47" s="2634"/>
      <c r="O47" s="2634"/>
      <c r="P47" s="2635"/>
      <c r="Q47" s="2636" t="str">
        <f t="shared" si="3"/>
        <v/>
      </c>
      <c r="R47" s="2637" t="str">
        <f>IF(H47="","",IF(C47="Efficiency",Q47/($O$6*VLOOKUP(0,'DCA Underwriting Assumptions'!$J$146:$K$151,2,FALSE)),Q47/($O$6*VLOOKUP(C47,'DCA Underwriting Assumptions'!$J$146:$K$151,2,FALSE))))</f>
        <v/>
      </c>
      <c r="S47" s="2638"/>
      <c r="T47" s="2639"/>
      <c r="U47" s="3392"/>
      <c r="V47" s="3394"/>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3</v>
      </c>
      <c r="B48" s="3447" t="s">
        <v>4705</v>
      </c>
      <c r="C48" s="3448"/>
      <c r="D48" s="138" t="s">
        <v>1018</v>
      </c>
      <c r="E48" s="1975">
        <f>SUM(E10:E47)</f>
        <v>72</v>
      </c>
      <c r="F48" s="1973">
        <f>(E10*F10+E11*F11+E12*F12+E13*F13+E14*F14+E15*F15+E16*F16+E17*F17+E18*F18+E19*F19+E20*F20+E21*F21+E22*F22+E23*F23+E24*F24+E25*F25+E26*F26+E27*F27+E28*F28+E29*F29+E30*F30+E31*F31+E32*F32+E33*F33+E34*F34+E35*F35+E36*F36+E37*F37+E38*F38+E39*F39+E40*F40+E41*F41+E42*F42+E43*F43+E44*F44+E45*F45+E46*F46+E47*F47)</f>
        <v>71268</v>
      </c>
      <c r="G48" s="3398" t="s">
        <v>4702</v>
      </c>
      <c r="H48" s="2640" t="s">
        <v>4703</v>
      </c>
      <c r="I48" s="1976" t="str">
        <f>IF(O67=0,"",IF(SUM(O56:O62)/O67&gt;=0.4,"Pass","Fail"))</f>
        <v>Pass</v>
      </c>
      <c r="J48" s="571"/>
      <c r="K48" s="913" t="s">
        <v>1302</v>
      </c>
      <c r="L48" s="123">
        <f>SUM(L10:L47)</f>
        <v>47487</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7</v>
      </c>
      <c r="AI48" s="2254">
        <f t="shared" si="340"/>
        <v>25</v>
      </c>
      <c r="AJ48" s="2254">
        <f t="shared" si="340"/>
        <v>18</v>
      </c>
      <c r="AK48" s="2254">
        <f t="shared" si="340"/>
        <v>0</v>
      </c>
      <c r="AL48" s="2254">
        <f>SUM(AL10:AL47)</f>
        <v>0</v>
      </c>
      <c r="AM48" s="2254">
        <f>SUM(AM10:AM47)</f>
        <v>3</v>
      </c>
      <c r="AN48" s="2254">
        <f>SUM(AN10:AN47)</f>
        <v>6</v>
      </c>
      <c r="AO48" s="2254">
        <f>SUM(AO10:AO47)</f>
        <v>4</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2</v>
      </c>
      <c r="BH48" s="2254">
        <f t="shared" si="339"/>
        <v>5</v>
      </c>
      <c r="BI48" s="2254">
        <f t="shared" si="339"/>
        <v>2</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4928</v>
      </c>
      <c r="ET48" s="2254">
        <f t="shared" si="343"/>
        <v>25125</v>
      </c>
      <c r="EU48" s="2254">
        <f t="shared" si="343"/>
        <v>19980</v>
      </c>
      <c r="EV48" s="2254">
        <f t="shared" si="343"/>
        <v>0</v>
      </c>
      <c r="EW48" s="2254">
        <f t="shared" si="339"/>
        <v>0</v>
      </c>
      <c r="EX48" s="2254">
        <f t="shared" si="339"/>
        <v>2112</v>
      </c>
      <c r="EY48" s="2254">
        <f t="shared" si="339"/>
        <v>6030</v>
      </c>
      <c r="EZ48" s="2254">
        <f t="shared" si="339"/>
        <v>4440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1408</v>
      </c>
      <c r="FS48" s="2254">
        <f t="shared" si="344"/>
        <v>5025</v>
      </c>
      <c r="FT48" s="2254">
        <f t="shared" si="344"/>
        <v>2220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10</v>
      </c>
      <c r="GH48" s="2254">
        <f t="shared" si="344"/>
        <v>31</v>
      </c>
      <c r="GI48" s="2254">
        <f t="shared" si="344"/>
        <v>22</v>
      </c>
      <c r="GJ48" s="2254">
        <f t="shared" si="344"/>
        <v>0</v>
      </c>
      <c r="GK48" s="2254">
        <f t="shared" si="344"/>
        <v>0</v>
      </c>
      <c r="GL48" s="2254">
        <f t="shared" si="344"/>
        <v>2</v>
      </c>
      <c r="GM48" s="2254">
        <f t="shared" si="344"/>
        <v>5</v>
      </c>
      <c r="GN48" s="2254">
        <f t="shared" si="344"/>
        <v>2</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12</v>
      </c>
      <c r="IA48" s="2254">
        <f t="shared" si="345"/>
        <v>36</v>
      </c>
      <c r="IB48" s="2254">
        <f t="shared" si="345"/>
        <v>24</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12</v>
      </c>
      <c r="KN48" s="2254">
        <f t="shared" si="346"/>
        <v>36</v>
      </c>
      <c r="KO48" s="2254">
        <f t="shared" si="346"/>
        <v>24</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12</v>
      </c>
      <c r="ML48" s="2254">
        <f t="shared" si="346"/>
        <v>36</v>
      </c>
      <c r="MM48" s="2254">
        <f t="shared" si="346"/>
        <v>24</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49">
        <f>IF(SUM(E17:E47)=0,"",(B17*E17+B18*E18+B19*E19+B20*E20+B21*E21+B22*E22+B23*E23+B24*E24+B25*E25+B26*E26+B27*E27+B28*E28+B29*E29+B30*E30+B31*E31+B32*E32+B33*E33+B34*E34+B35*E35+B36*E36+B37*E37+B38*E38+B39*E39+B40*E40+B41*E41+B42*E42+B43*E43+B44*E44+B45*E45+B46*E46+B47*E47)/SUM(E17:E47))</f>
        <v>57.936507936507937</v>
      </c>
      <c r="C49" s="3450"/>
      <c r="D49" s="2292" t="s">
        <v>4612</v>
      </c>
      <c r="E49" s="1972">
        <f>SUM(E17:E47)</f>
        <v>63</v>
      </c>
      <c r="F49" s="1974">
        <f>(E17*F17+E18*F18+E19*F19+E20*F20+E21*F21+E22*F22+E23*F23+E24*F24+E25*F25+E26*F26+E27*F27+E28*F28+E29*F29+E30*F30+E31*F31+E32*F32+E33*F33+E34*F34+E35*F35+E36*F36+E37*F37+E38*F38+E39*F39+E40*F40+E41*F41+E42*F42+E43*F43+E44*F44+E45*F45+E46*F46+E47*F47)</f>
        <v>62615</v>
      </c>
      <c r="G49" s="3399"/>
      <c r="H49" s="2641" t="s">
        <v>4704</v>
      </c>
      <c r="I49" s="1977" t="str">
        <f>IF(O67=0,"",IF(SUM(O56:O62)/O67&gt;=0.2,"Pass","Fail"))</f>
        <v>Pass</v>
      </c>
      <c r="J49" s="571"/>
      <c r="K49" s="138" t="s">
        <v>814</v>
      </c>
      <c r="L49" s="123">
        <f>L48*12</f>
        <v>569844</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45" t="s">
        <v>2621</v>
      </c>
      <c r="B51" s="3446"/>
      <c r="C51" s="3446"/>
      <c r="D51" s="3446"/>
      <c r="E51" s="3446"/>
      <c r="F51" s="3446"/>
      <c r="G51" s="3446"/>
      <c r="H51" s="3446"/>
      <c r="I51" s="3446"/>
      <c r="J51" s="3446"/>
      <c r="K51" s="3446"/>
      <c r="L51" s="3446"/>
      <c r="M51" s="3446"/>
      <c r="N51" s="3446"/>
      <c r="O51" s="3446"/>
      <c r="P51" s="3446"/>
      <c r="Q51" s="2642"/>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46"/>
      <c r="B52" s="3446"/>
      <c r="C52" s="3446"/>
      <c r="D52" s="3446"/>
      <c r="E52" s="3446"/>
      <c r="F52" s="3446"/>
      <c r="G52" s="3446"/>
      <c r="H52" s="3446"/>
      <c r="I52" s="3446"/>
      <c r="J52" s="3446"/>
      <c r="K52" s="3446"/>
      <c r="L52" s="3446"/>
      <c r="M52" s="3446"/>
      <c r="N52" s="3446"/>
      <c r="O52" s="3446"/>
      <c r="P52" s="3446"/>
      <c r="Q52" s="2642"/>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3465" t="str">
        <f>'Part I-Project Information'!$K$94</f>
        <v>40% of Units at 60% of AMI</v>
      </c>
      <c r="L53" s="3466"/>
      <c r="M53" s="3466"/>
      <c r="N53" s="3467"/>
      <c r="O53" s="82"/>
      <c r="R53" s="3403" t="str">
        <f>B53</f>
        <v>UNIT SUMMARY</v>
      </c>
      <c r="S53" s="3403"/>
      <c r="T53" s="3403"/>
      <c r="U53" s="3403"/>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69" t="s">
        <v>442</v>
      </c>
      <c r="B56" s="3469"/>
      <c r="C56" s="94" t="s">
        <v>1137</v>
      </c>
      <c r="D56" s="1"/>
      <c r="E56" s="1"/>
      <c r="F56" s="1"/>
      <c r="G56" s="82"/>
      <c r="H56" s="35" t="s">
        <v>4613</v>
      </c>
      <c r="I56" s="82"/>
      <c r="J56" s="1989">
        <f>W48</f>
        <v>0</v>
      </c>
      <c r="K56" s="1990">
        <f>X48</f>
        <v>0</v>
      </c>
      <c r="L56" s="1990">
        <f>Y48</f>
        <v>0</v>
      </c>
      <c r="M56" s="1990">
        <f>Z48</f>
        <v>0</v>
      </c>
      <c r="N56" s="1991">
        <f>AA48</f>
        <v>0</v>
      </c>
      <c r="O56" s="961">
        <f t="shared" ref="O56:O67" si="347">SUM(J56:N56)</f>
        <v>0</v>
      </c>
      <c r="P56" s="3396" t="s">
        <v>3667</v>
      </c>
      <c r="Q56" s="2301"/>
      <c r="R56" s="3383"/>
      <c r="S56" s="3384"/>
      <c r="T56" s="3384"/>
      <c r="U56" s="3384"/>
      <c r="V56" s="3385"/>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69"/>
      <c r="B57" s="3469"/>
      <c r="C57" s="94"/>
      <c r="D57" s="1"/>
      <c r="E57" s="1"/>
      <c r="F57" s="1"/>
      <c r="G57" s="82"/>
      <c r="H57" s="35" t="s">
        <v>4614</v>
      </c>
      <c r="I57" s="82"/>
      <c r="J57" s="1992">
        <f>AB48</f>
        <v>0</v>
      </c>
      <c r="K57" s="1993">
        <f>AC48</f>
        <v>0</v>
      </c>
      <c r="L57" s="1993">
        <f>AD48</f>
        <v>0</v>
      </c>
      <c r="M57" s="1993">
        <f>AE48</f>
        <v>0</v>
      </c>
      <c r="N57" s="1994">
        <f>AF48</f>
        <v>0</v>
      </c>
      <c r="O57" s="956">
        <f t="shared" si="347"/>
        <v>0</v>
      </c>
      <c r="P57" s="3396"/>
      <c r="Q57" s="2301"/>
      <c r="R57" s="3388"/>
      <c r="S57" s="3389"/>
      <c r="T57" s="3389"/>
      <c r="U57" s="3389"/>
      <c r="V57" s="3390"/>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69"/>
      <c r="B58" s="3469"/>
      <c r="C58" s="94"/>
      <c r="D58" s="1"/>
      <c r="E58" s="1"/>
      <c r="F58" s="1"/>
      <c r="G58" s="82"/>
      <c r="H58" s="35" t="s">
        <v>1149</v>
      </c>
      <c r="I58" s="82"/>
      <c r="J58" s="1992">
        <f>AG48</f>
        <v>0</v>
      </c>
      <c r="K58" s="1993">
        <f>AH48</f>
        <v>7</v>
      </c>
      <c r="L58" s="1993">
        <f>AI48</f>
        <v>25</v>
      </c>
      <c r="M58" s="1993">
        <f>AJ48</f>
        <v>18</v>
      </c>
      <c r="N58" s="1994">
        <f>AK48</f>
        <v>0</v>
      </c>
      <c r="O58" s="956">
        <f t="shared" si="347"/>
        <v>50</v>
      </c>
      <c r="P58" s="3396"/>
      <c r="Q58" s="2301"/>
      <c r="R58" s="3388"/>
      <c r="S58" s="3389"/>
      <c r="T58" s="3389"/>
      <c r="U58" s="3389"/>
      <c r="V58" s="3390"/>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69"/>
      <c r="B59" s="3469"/>
      <c r="C59" s="94"/>
      <c r="D59" s="1"/>
      <c r="E59" s="1"/>
      <c r="F59" s="1"/>
      <c r="G59" s="82"/>
      <c r="H59" s="51" t="s">
        <v>118</v>
      </c>
      <c r="I59" s="1155"/>
      <c r="J59" s="2022">
        <f>AL48</f>
        <v>0</v>
      </c>
      <c r="K59" s="2023">
        <f>AM48</f>
        <v>3</v>
      </c>
      <c r="L59" s="2023">
        <f>AN48</f>
        <v>6</v>
      </c>
      <c r="M59" s="2023">
        <f>AO48</f>
        <v>4</v>
      </c>
      <c r="N59" s="2024">
        <f>AP48</f>
        <v>0</v>
      </c>
      <c r="O59" s="598">
        <f t="shared" si="347"/>
        <v>13</v>
      </c>
      <c r="P59" s="3396"/>
      <c r="Q59" s="2301"/>
      <c r="R59" s="3388"/>
      <c r="S59" s="3389"/>
      <c r="T59" s="3389"/>
      <c r="U59" s="3389"/>
      <c r="V59" s="3390"/>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69"/>
      <c r="B60" s="3469"/>
      <c r="C60" s="94"/>
      <c r="D60" s="1"/>
      <c r="E60" s="1"/>
      <c r="F60" s="1"/>
      <c r="G60" s="82"/>
      <c r="H60" s="51" t="s">
        <v>4615</v>
      </c>
      <c r="I60" s="1155"/>
      <c r="J60" s="1992">
        <f>AQ48</f>
        <v>0</v>
      </c>
      <c r="K60" s="1993">
        <f>AR48</f>
        <v>0</v>
      </c>
      <c r="L60" s="1993">
        <f>AS48</f>
        <v>0</v>
      </c>
      <c r="M60" s="1993">
        <f>AT48</f>
        <v>0</v>
      </c>
      <c r="N60" s="1994">
        <f>AU48</f>
        <v>0</v>
      </c>
      <c r="O60" s="956">
        <f t="shared" si="347"/>
        <v>0</v>
      </c>
      <c r="P60" s="3396"/>
      <c r="Q60" s="2301"/>
      <c r="R60" s="3388"/>
      <c r="S60" s="3389"/>
      <c r="T60" s="3389"/>
      <c r="U60" s="3389"/>
      <c r="V60" s="3390"/>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69"/>
      <c r="B61" s="3469"/>
      <c r="C61" s="94"/>
      <c r="D61" s="1"/>
      <c r="E61" s="1"/>
      <c r="F61" s="1"/>
      <c r="G61" s="82"/>
      <c r="H61" s="35" t="s">
        <v>4616</v>
      </c>
      <c r="I61" s="82"/>
      <c r="J61" s="1992">
        <f>AV48</f>
        <v>0</v>
      </c>
      <c r="K61" s="1993">
        <f>AW48</f>
        <v>0</v>
      </c>
      <c r="L61" s="1993">
        <f>AX48</f>
        <v>0</v>
      </c>
      <c r="M61" s="1993">
        <f>AY48</f>
        <v>0</v>
      </c>
      <c r="N61" s="1994">
        <f>AZ48</f>
        <v>0</v>
      </c>
      <c r="O61" s="956">
        <f t="shared" si="347"/>
        <v>0</v>
      </c>
      <c r="P61" s="3396"/>
      <c r="Q61" s="2301"/>
      <c r="R61" s="3388"/>
      <c r="S61" s="3389"/>
      <c r="T61" s="3389"/>
      <c r="U61" s="3389"/>
      <c r="V61" s="3390"/>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69"/>
      <c r="B62" s="3469"/>
      <c r="C62" s="3"/>
      <c r="D62" s="1"/>
      <c r="E62" s="1"/>
      <c r="F62" s="1"/>
      <c r="G62" s="82"/>
      <c r="H62" s="35" t="s">
        <v>4617</v>
      </c>
      <c r="I62" s="82"/>
      <c r="J62" s="1995">
        <f>BA48</f>
        <v>0</v>
      </c>
      <c r="K62" s="1996">
        <f>BB48</f>
        <v>0</v>
      </c>
      <c r="L62" s="1996">
        <f>BC48</f>
        <v>0</v>
      </c>
      <c r="M62" s="1996">
        <f>BD48</f>
        <v>0</v>
      </c>
      <c r="N62" s="1997">
        <f>BE48</f>
        <v>0</v>
      </c>
      <c r="O62" s="598">
        <f t="shared" si="347"/>
        <v>0</v>
      </c>
      <c r="P62" s="3396"/>
      <c r="Q62" s="2301"/>
      <c r="R62" s="3388"/>
      <c r="S62" s="3389"/>
      <c r="T62" s="3389"/>
      <c r="U62" s="3389"/>
      <c r="V62" s="3390"/>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69"/>
      <c r="B63" s="3469"/>
      <c r="C63" s="110" t="s">
        <v>4699</v>
      </c>
      <c r="D63" s="1"/>
      <c r="E63" s="1"/>
      <c r="F63" s="1"/>
      <c r="G63" s="82"/>
      <c r="H63" s="54"/>
      <c r="I63" s="82"/>
      <c r="J63" s="1959">
        <f>SUM(J56:J62)</f>
        <v>0</v>
      </c>
      <c r="K63" s="1959">
        <f>SUM(K56:K62)</f>
        <v>10</v>
      </c>
      <c r="L63" s="1959">
        <f>SUM(L56:L62)</f>
        <v>31</v>
      </c>
      <c r="M63" s="1959">
        <f>SUM(M56:M62)</f>
        <v>22</v>
      </c>
      <c r="N63" s="1959">
        <f>SUM(N56:N62)</f>
        <v>0</v>
      </c>
      <c r="O63" s="1959">
        <f t="shared" si="347"/>
        <v>63</v>
      </c>
      <c r="P63" s="3397"/>
      <c r="R63" s="3388"/>
      <c r="S63" s="3389"/>
      <c r="T63" s="3389"/>
      <c r="U63" s="3389"/>
      <c r="V63" s="3390"/>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69"/>
      <c r="B64" s="3469"/>
      <c r="D64" s="1"/>
      <c r="E64" s="1"/>
      <c r="F64" s="1"/>
      <c r="G64" s="82"/>
      <c r="H64" s="35" t="s">
        <v>303</v>
      </c>
      <c r="I64" s="82"/>
      <c r="J64" s="957">
        <f>BF48</f>
        <v>0</v>
      </c>
      <c r="K64" s="957">
        <f>BG48</f>
        <v>2</v>
      </c>
      <c r="L64" s="957">
        <f>BH48</f>
        <v>5</v>
      </c>
      <c r="M64" s="957">
        <f>BI48</f>
        <v>2</v>
      </c>
      <c r="N64" s="957">
        <f>BJ48</f>
        <v>0</v>
      </c>
      <c r="O64" s="957">
        <f t="shared" si="347"/>
        <v>9</v>
      </c>
      <c r="R64" s="3388"/>
      <c r="S64" s="3389"/>
      <c r="T64" s="3389"/>
      <c r="U64" s="3389"/>
      <c r="V64" s="3390"/>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69"/>
      <c r="B65" s="3469"/>
      <c r="C65" s="1966" t="s">
        <v>1138</v>
      </c>
      <c r="D65" s="1966"/>
      <c r="E65" s="1966"/>
      <c r="F65" s="1966"/>
      <c r="G65" s="1967"/>
      <c r="H65" s="48"/>
      <c r="I65" s="1967"/>
      <c r="J65" s="1968">
        <f>SUM(J63:J64)</f>
        <v>0</v>
      </c>
      <c r="K65" s="1968">
        <f>SUM(K63:K64)</f>
        <v>12</v>
      </c>
      <c r="L65" s="1968">
        <f>SUM(L63:L64)</f>
        <v>36</v>
      </c>
      <c r="M65" s="1968">
        <f>SUM(M63:M64)</f>
        <v>24</v>
      </c>
      <c r="N65" s="1968">
        <f>SUM(N63:N64)</f>
        <v>0</v>
      </c>
      <c r="O65" s="1968">
        <f t="shared" si="347"/>
        <v>72</v>
      </c>
      <c r="R65" s="3388"/>
      <c r="S65" s="3389"/>
      <c r="T65" s="3389"/>
      <c r="U65" s="3389"/>
      <c r="V65" s="3390"/>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69"/>
      <c r="B66" s="3469"/>
      <c r="D66" s="1"/>
      <c r="E66" s="1"/>
      <c r="F66" s="1"/>
      <c r="G66" s="82"/>
      <c r="H66" s="35" t="s">
        <v>2511</v>
      </c>
      <c r="I66" s="82"/>
      <c r="J66" s="957">
        <f>EC48</f>
        <v>0</v>
      </c>
      <c r="K66" s="957">
        <f>ED48</f>
        <v>0</v>
      </c>
      <c r="L66" s="957">
        <f>EE48</f>
        <v>0</v>
      </c>
      <c r="M66" s="957">
        <f>EF48</f>
        <v>0</v>
      </c>
      <c r="N66" s="957">
        <f>EG48</f>
        <v>0</v>
      </c>
      <c r="O66" s="957">
        <f t="shared" si="347"/>
        <v>0</v>
      </c>
      <c r="P66" s="493" t="s">
        <v>3668</v>
      </c>
      <c r="R66" s="3388"/>
      <c r="S66" s="3389"/>
      <c r="T66" s="3389"/>
      <c r="U66" s="3389"/>
      <c r="V66" s="3390"/>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69"/>
      <c r="B67" s="3469"/>
      <c r="C67" s="3" t="s">
        <v>1793</v>
      </c>
      <c r="D67" s="1"/>
      <c r="E67" s="1"/>
      <c r="F67" s="1"/>
      <c r="G67" s="82"/>
      <c r="H67" s="35"/>
      <c r="I67" s="82"/>
      <c r="J67" s="1958">
        <f>SUM(J65:J66)</f>
        <v>0</v>
      </c>
      <c r="K67" s="1958">
        <f>SUM(K65:K66)</f>
        <v>12</v>
      </c>
      <c r="L67" s="1958">
        <f>SUM(L65:L66)</f>
        <v>36</v>
      </c>
      <c r="M67" s="1958">
        <f>SUM(M65:M66)</f>
        <v>24</v>
      </c>
      <c r="N67" s="1958">
        <f>SUM(N65:N66)</f>
        <v>0</v>
      </c>
      <c r="O67" s="1958">
        <f t="shared" si="347"/>
        <v>72</v>
      </c>
      <c r="R67" s="3392"/>
      <c r="S67" s="3393"/>
      <c r="T67" s="3393"/>
      <c r="U67" s="3393"/>
      <c r="V67" s="3394"/>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69"/>
      <c r="B68" s="3469"/>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69"/>
      <c r="B69" s="3469"/>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69"/>
      <c r="B70" s="3469"/>
      <c r="C70" s="3382" t="s">
        <v>4720</v>
      </c>
      <c r="D70" s="3382"/>
      <c r="E70" s="3382"/>
      <c r="F70" s="3382"/>
      <c r="G70" s="103"/>
      <c r="H70" s="51"/>
      <c r="I70" s="2209" t="s">
        <v>4719</v>
      </c>
      <c r="J70" s="2212"/>
      <c r="K70" s="2213"/>
      <c r="L70" s="2213"/>
      <c r="M70" s="2213"/>
      <c r="N70" s="2213"/>
      <c r="O70" s="2212"/>
      <c r="P70" s="1042" t="s">
        <v>4718</v>
      </c>
      <c r="R70" s="3383"/>
      <c r="S70" s="3384"/>
      <c r="T70" s="3384"/>
      <c r="U70" s="3384"/>
      <c r="V70" s="3385"/>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69"/>
      <c r="B71" s="3469"/>
      <c r="C71" s="3382"/>
      <c r="D71" s="3382"/>
      <c r="E71" s="3382"/>
      <c r="F71" s="3382"/>
      <c r="G71" s="103"/>
      <c r="H71" s="51" t="s">
        <v>4613</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388"/>
      <c r="S71" s="3389"/>
      <c r="T71" s="3389"/>
      <c r="U71" s="3389"/>
      <c r="V71" s="3390"/>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69"/>
      <c r="B72" s="3469"/>
      <c r="C72" s="3382"/>
      <c r="D72" s="3382"/>
      <c r="E72" s="3382"/>
      <c r="F72" s="3382"/>
      <c r="G72" s="103"/>
      <c r="H72" s="51" t="s">
        <v>4614</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388"/>
      <c r="S72" s="3389"/>
      <c r="T72" s="3389"/>
      <c r="U72" s="3389"/>
      <c r="V72" s="3390"/>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69"/>
      <c r="B73" s="3469"/>
      <c r="C73" s="2210"/>
      <c r="D73" s="3386" t="s">
        <v>5040</v>
      </c>
      <c r="E73" s="3387"/>
      <c r="F73" s="3387"/>
      <c r="G73" s="3387"/>
      <c r="H73" s="51" t="s">
        <v>1149</v>
      </c>
      <c r="I73" s="2208" t="str">
        <f t="shared" si="348"/>
        <v/>
      </c>
      <c r="J73" s="2001">
        <f t="shared" si="349"/>
        <v>0</v>
      </c>
      <c r="K73" s="2002">
        <f t="shared" si="350"/>
        <v>0.7</v>
      </c>
      <c r="L73" s="2002">
        <f t="shared" si="351"/>
        <v>0.80645161290322576</v>
      </c>
      <c r="M73" s="2002">
        <f t="shared" si="352"/>
        <v>0.81818181818181823</v>
      </c>
      <c r="N73" s="2003">
        <f t="shared" si="353"/>
        <v>0</v>
      </c>
      <c r="O73" s="1987">
        <f t="shared" si="354"/>
        <v>0.79365079365079361</v>
      </c>
      <c r="P73" s="1984">
        <f t="shared" si="355"/>
        <v>0.77487781036168135</v>
      </c>
      <c r="R73" s="3388"/>
      <c r="S73" s="3389"/>
      <c r="T73" s="3389"/>
      <c r="U73" s="3389"/>
      <c r="V73" s="3390"/>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69"/>
      <c r="B74" s="3469"/>
      <c r="C74" s="2210"/>
      <c r="D74" s="3387"/>
      <c r="E74" s="3387"/>
      <c r="F74" s="3387"/>
      <c r="G74" s="3387"/>
      <c r="H74" s="51" t="s">
        <v>118</v>
      </c>
      <c r="I74" s="2208" t="str">
        <f t="shared" si="348"/>
        <v/>
      </c>
      <c r="J74" s="2164">
        <f t="shared" si="349"/>
        <v>0</v>
      </c>
      <c r="K74" s="2165">
        <f t="shared" si="350"/>
        <v>0.3</v>
      </c>
      <c r="L74" s="2165">
        <f t="shared" si="351"/>
        <v>0.19354838709677419</v>
      </c>
      <c r="M74" s="2165">
        <f t="shared" si="352"/>
        <v>0.18181818181818182</v>
      </c>
      <c r="N74" s="2166">
        <f t="shared" si="353"/>
        <v>0</v>
      </c>
      <c r="O74" s="2167">
        <f t="shared" si="354"/>
        <v>0.20634920634920634</v>
      </c>
      <c r="P74" s="1984">
        <f t="shared" si="355"/>
        <v>0.22512218963831865</v>
      </c>
      <c r="R74" s="3388"/>
      <c r="S74" s="3389"/>
      <c r="T74" s="3389"/>
      <c r="U74" s="3389"/>
      <c r="V74" s="3390"/>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387"/>
      <c r="E75" s="3387"/>
      <c r="F75" s="3387"/>
      <c r="G75" s="3387"/>
      <c r="H75" s="51" t="s">
        <v>4615</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88"/>
      <c r="S75" s="3389"/>
      <c r="T75" s="3389"/>
      <c r="U75" s="3389"/>
      <c r="V75" s="3390"/>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387"/>
      <c r="E76" s="3387"/>
      <c r="F76" s="3387"/>
      <c r="G76" s="3387"/>
      <c r="H76" s="51" t="s">
        <v>4616</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388"/>
      <c r="S76" s="3389"/>
      <c r="T76" s="3389"/>
      <c r="U76" s="3389"/>
      <c r="V76" s="3390"/>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387"/>
      <c r="E77" s="3387"/>
      <c r="F77" s="3387"/>
      <c r="G77" s="3387"/>
      <c r="H77" s="51" t="s">
        <v>4617</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392"/>
      <c r="S77" s="3393"/>
      <c r="T77" s="3393"/>
      <c r="U77" s="3393"/>
      <c r="V77" s="3394"/>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4613</v>
      </c>
      <c r="I81" s="82"/>
      <c r="J81" s="2007">
        <f>CO48</f>
        <v>0</v>
      </c>
      <c r="K81" s="2008">
        <f>CP48</f>
        <v>0</v>
      </c>
      <c r="L81" s="2008">
        <f>CQ48</f>
        <v>0</v>
      </c>
      <c r="M81" s="2008">
        <f>CR48</f>
        <v>0</v>
      </c>
      <c r="N81" s="2009">
        <f>CS48</f>
        <v>0</v>
      </c>
      <c r="O81" s="958">
        <f t="shared" ref="O81:O88" si="356">SUM(J81:N81)</f>
        <v>0</v>
      </c>
      <c r="R81" s="3383"/>
      <c r="S81" s="3384"/>
      <c r="T81" s="3384"/>
      <c r="U81" s="3384"/>
      <c r="V81" s="3385"/>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4614</v>
      </c>
      <c r="I82" s="82"/>
      <c r="J82" s="2010">
        <f>CJ48</f>
        <v>0</v>
      </c>
      <c r="K82" s="2011">
        <f>CK48</f>
        <v>0</v>
      </c>
      <c r="L82" s="2011">
        <f>CL48</f>
        <v>0</v>
      </c>
      <c r="M82" s="2011">
        <f>CM48</f>
        <v>0</v>
      </c>
      <c r="N82" s="2012">
        <f>CN48</f>
        <v>0</v>
      </c>
      <c r="O82" s="1957">
        <f t="shared" si="356"/>
        <v>0</v>
      </c>
      <c r="R82" s="3388"/>
      <c r="S82" s="3389"/>
      <c r="T82" s="3389"/>
      <c r="U82" s="3389"/>
      <c r="V82" s="3390"/>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388"/>
      <c r="S83" s="3389"/>
      <c r="T83" s="3389"/>
      <c r="U83" s="3389"/>
      <c r="V83" s="3390"/>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388"/>
      <c r="S84" s="3389"/>
      <c r="T84" s="3389"/>
      <c r="U84" s="3389"/>
      <c r="V84" s="3390"/>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4615</v>
      </c>
      <c r="I85" s="1155"/>
      <c r="J85" s="2010">
        <f>BU48</f>
        <v>0</v>
      </c>
      <c r="K85" s="2011">
        <f>BV48</f>
        <v>0</v>
      </c>
      <c r="L85" s="2011">
        <f>BW48</f>
        <v>0</v>
      </c>
      <c r="M85" s="2011">
        <f>BX48</f>
        <v>0</v>
      </c>
      <c r="N85" s="2012">
        <f>BY48</f>
        <v>0</v>
      </c>
      <c r="O85" s="1957">
        <f t="shared" si="356"/>
        <v>0</v>
      </c>
      <c r="R85" s="3388"/>
      <c r="S85" s="3389"/>
      <c r="T85" s="3389"/>
      <c r="U85" s="3389"/>
      <c r="V85" s="3390"/>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4616</v>
      </c>
      <c r="I86" s="82"/>
      <c r="J86" s="2010">
        <f>BP48</f>
        <v>0</v>
      </c>
      <c r="K86" s="2011">
        <f>BQ48</f>
        <v>0</v>
      </c>
      <c r="L86" s="2011">
        <f>BR48</f>
        <v>0</v>
      </c>
      <c r="M86" s="2011">
        <f>BS48</f>
        <v>0</v>
      </c>
      <c r="N86" s="2012">
        <f>BT48</f>
        <v>0</v>
      </c>
      <c r="O86" s="1957">
        <f t="shared" si="356"/>
        <v>0</v>
      </c>
      <c r="R86" s="3388"/>
      <c r="S86" s="3389"/>
      <c r="T86" s="3389"/>
      <c r="U86" s="3389"/>
      <c r="V86" s="3390"/>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4617</v>
      </c>
      <c r="I87" s="82"/>
      <c r="J87" s="2013">
        <f>BK48</f>
        <v>0</v>
      </c>
      <c r="K87" s="2014">
        <f>BL48</f>
        <v>0</v>
      </c>
      <c r="L87" s="2014">
        <f>BM48</f>
        <v>0</v>
      </c>
      <c r="M87" s="2014">
        <f>BN48</f>
        <v>0</v>
      </c>
      <c r="N87" s="2015">
        <f>BO48</f>
        <v>0</v>
      </c>
      <c r="O87" s="960">
        <f t="shared" si="356"/>
        <v>0</v>
      </c>
      <c r="R87" s="3388"/>
      <c r="S87" s="3389"/>
      <c r="T87" s="3389"/>
      <c r="U87" s="3389"/>
      <c r="V87" s="3390"/>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392"/>
      <c r="S88" s="3393"/>
      <c r="T88" s="3393"/>
      <c r="U88" s="3393"/>
      <c r="V88" s="3394"/>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4997</v>
      </c>
      <c r="K90" s="3465" t="str">
        <f>$K$53</f>
        <v>40% of Units at 60% of AMI</v>
      </c>
      <c r="L90" s="3466"/>
      <c r="M90" s="3466"/>
      <c r="N90" s="3467"/>
      <c r="O90" s="82"/>
      <c r="R90" s="3468" t="str">
        <f>B90</f>
        <v>UNIT SUMMARY (Continued)</v>
      </c>
      <c r="S90" s="3468"/>
      <c r="T90" s="3468"/>
      <c r="U90" s="3468"/>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4613</v>
      </c>
      <c r="I92" s="82"/>
      <c r="J92" s="2007">
        <f>DX48</f>
        <v>0</v>
      </c>
      <c r="K92" s="2008">
        <f>DY48</f>
        <v>0</v>
      </c>
      <c r="L92" s="2008">
        <f>DZ48</f>
        <v>0</v>
      </c>
      <c r="M92" s="2008">
        <f>EA48</f>
        <v>0</v>
      </c>
      <c r="N92" s="2009">
        <f>EB48</f>
        <v>0</v>
      </c>
      <c r="O92" s="961">
        <f t="shared" ref="O92:O99" si="357">SUM(J92:N92)</f>
        <v>0</v>
      </c>
      <c r="R92" s="3383"/>
      <c r="S92" s="3384"/>
      <c r="T92" s="3384"/>
      <c r="U92" s="3384"/>
      <c r="V92" s="3385"/>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4614</v>
      </c>
      <c r="I93" s="82"/>
      <c r="J93" s="2010">
        <f>DS48</f>
        <v>0</v>
      </c>
      <c r="K93" s="2011">
        <f>DT48</f>
        <v>0</v>
      </c>
      <c r="L93" s="2011">
        <f>DU48</f>
        <v>0</v>
      </c>
      <c r="M93" s="2011">
        <f>DV48</f>
        <v>0</v>
      </c>
      <c r="N93" s="2012">
        <f>DW48</f>
        <v>0</v>
      </c>
      <c r="O93" s="956">
        <f t="shared" si="357"/>
        <v>0</v>
      </c>
      <c r="R93" s="3388"/>
      <c r="S93" s="3389"/>
      <c r="T93" s="3389"/>
      <c r="U93" s="3389"/>
      <c r="V93" s="3390"/>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388"/>
      <c r="S94" s="3389"/>
      <c r="T94" s="3389"/>
      <c r="U94" s="3389"/>
      <c r="V94" s="3390"/>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388"/>
      <c r="S95" s="3389"/>
      <c r="T95" s="3389"/>
      <c r="U95" s="3389"/>
      <c r="V95" s="3390"/>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4615</v>
      </c>
      <c r="I96" s="1155"/>
      <c r="J96" s="2010">
        <f>DD48</f>
        <v>0</v>
      </c>
      <c r="K96" s="2011">
        <f>DE48</f>
        <v>0</v>
      </c>
      <c r="L96" s="2011">
        <f>DF48</f>
        <v>0</v>
      </c>
      <c r="M96" s="2011">
        <f>DG48</f>
        <v>0</v>
      </c>
      <c r="N96" s="2012">
        <f>DH48</f>
        <v>0</v>
      </c>
      <c r="O96" s="956">
        <f t="shared" si="357"/>
        <v>0</v>
      </c>
      <c r="R96" s="3388"/>
      <c r="S96" s="3389"/>
      <c r="T96" s="3389"/>
      <c r="U96" s="3389"/>
      <c r="V96" s="3390"/>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4616</v>
      </c>
      <c r="I97" s="82"/>
      <c r="J97" s="2010">
        <f>CY48</f>
        <v>0</v>
      </c>
      <c r="K97" s="2011">
        <f>CZ48</f>
        <v>0</v>
      </c>
      <c r="L97" s="2011">
        <f>DA48</f>
        <v>0</v>
      </c>
      <c r="M97" s="2011">
        <f>DB48</f>
        <v>0</v>
      </c>
      <c r="N97" s="2012">
        <f>DC48</f>
        <v>0</v>
      </c>
      <c r="O97" s="956">
        <f t="shared" si="357"/>
        <v>0</v>
      </c>
      <c r="R97" s="3388"/>
      <c r="S97" s="3389"/>
      <c r="T97" s="3389"/>
      <c r="U97" s="3389"/>
      <c r="V97" s="3390"/>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4617</v>
      </c>
      <c r="I98" s="82"/>
      <c r="J98" s="2013">
        <f>CT48</f>
        <v>0</v>
      </c>
      <c r="K98" s="2014">
        <f>CU48</f>
        <v>0</v>
      </c>
      <c r="L98" s="2014">
        <f>CV48</f>
        <v>0</v>
      </c>
      <c r="M98" s="2014">
        <f>CW48</f>
        <v>0</v>
      </c>
      <c r="N98" s="2015">
        <f>CX48</f>
        <v>0</v>
      </c>
      <c r="O98" s="957">
        <f t="shared" si="357"/>
        <v>0</v>
      </c>
      <c r="R98" s="3388"/>
      <c r="S98" s="3389"/>
      <c r="T98" s="3389"/>
      <c r="U98" s="3389"/>
      <c r="V98" s="3390"/>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392"/>
      <c r="S99" s="3393"/>
      <c r="T99" s="3393"/>
      <c r="U99" s="3393"/>
      <c r="V99" s="3394"/>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43" t="s">
        <v>38</v>
      </c>
      <c r="D101" s="3443"/>
      <c r="E101" s="103" t="s">
        <v>2295</v>
      </c>
      <c r="F101" s="1"/>
      <c r="G101" s="82"/>
      <c r="H101" s="35" t="s">
        <v>1432</v>
      </c>
      <c r="I101" s="82"/>
      <c r="J101" s="1989">
        <f>GF48</f>
        <v>0</v>
      </c>
      <c r="K101" s="1990">
        <f>GG48</f>
        <v>10</v>
      </c>
      <c r="L101" s="1990">
        <f>GH48</f>
        <v>31</v>
      </c>
      <c r="M101" s="1990">
        <f>GI48</f>
        <v>22</v>
      </c>
      <c r="N101" s="1991">
        <f>GJ48</f>
        <v>0</v>
      </c>
      <c r="O101" s="961">
        <f t="shared" ref="O101:O111" si="358">SUM(J101:N101)</f>
        <v>63</v>
      </c>
      <c r="R101" s="3383"/>
      <c r="S101" s="3384"/>
      <c r="T101" s="3384"/>
      <c r="U101" s="3384"/>
      <c r="V101" s="3385"/>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43"/>
      <c r="D102" s="3443"/>
      <c r="E102" s="110"/>
      <c r="F102" s="1"/>
      <c r="G102" s="82"/>
      <c r="H102" s="35" t="s">
        <v>303</v>
      </c>
      <c r="I102" s="82"/>
      <c r="J102" s="1995">
        <f>GK48</f>
        <v>0</v>
      </c>
      <c r="K102" s="1996">
        <f>GL48</f>
        <v>2</v>
      </c>
      <c r="L102" s="1996">
        <f>GM48</f>
        <v>5</v>
      </c>
      <c r="M102" s="1996">
        <f>GN48</f>
        <v>2</v>
      </c>
      <c r="N102" s="1997">
        <f>GO48</f>
        <v>0</v>
      </c>
      <c r="O102" s="957">
        <f t="shared" si="358"/>
        <v>9</v>
      </c>
      <c r="R102" s="3388"/>
      <c r="S102" s="3389"/>
      <c r="T102" s="3389"/>
      <c r="U102" s="3389"/>
      <c r="V102" s="3390"/>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43"/>
      <c r="D103" s="3443"/>
      <c r="E103" s="110"/>
      <c r="F103" s="1"/>
      <c r="G103" s="82"/>
      <c r="H103" s="86" t="s">
        <v>32</v>
      </c>
      <c r="I103" s="82"/>
      <c r="J103" s="1960">
        <f>SUM(J101:J102)+GP48</f>
        <v>0</v>
      </c>
      <c r="K103" s="1960">
        <f>SUM(K101:K102)+GQ48</f>
        <v>12</v>
      </c>
      <c r="L103" s="1960">
        <f>SUM(L101:L102)+GR48</f>
        <v>36</v>
      </c>
      <c r="M103" s="1960">
        <f>SUM(M101:M102)+GS48</f>
        <v>24</v>
      </c>
      <c r="N103" s="1960">
        <f>SUM(N101:N102)+GT48</f>
        <v>0</v>
      </c>
      <c r="O103" s="1960">
        <f t="shared" si="358"/>
        <v>72</v>
      </c>
      <c r="R103" s="3388"/>
      <c r="S103" s="3389"/>
      <c r="T103" s="3389"/>
      <c r="U103" s="3389"/>
      <c r="V103" s="3390"/>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43"/>
      <c r="D104" s="3443"/>
      <c r="E104" s="103" t="s">
        <v>2137</v>
      </c>
      <c r="F104" s="1"/>
      <c r="G104" s="82"/>
      <c r="H104" s="35" t="s">
        <v>1432</v>
      </c>
      <c r="I104" s="82"/>
      <c r="J104" s="1989">
        <f>GU48</f>
        <v>0</v>
      </c>
      <c r="K104" s="1990">
        <f>GV48</f>
        <v>0</v>
      </c>
      <c r="L104" s="1990">
        <f>GW48</f>
        <v>0</v>
      </c>
      <c r="M104" s="1990">
        <f>GX48</f>
        <v>0</v>
      </c>
      <c r="N104" s="1991">
        <f>GY48</f>
        <v>0</v>
      </c>
      <c r="O104" s="961">
        <f t="shared" si="358"/>
        <v>0</v>
      </c>
      <c r="R104" s="3388"/>
      <c r="S104" s="3389"/>
      <c r="T104" s="3389"/>
      <c r="U104" s="3389"/>
      <c r="V104" s="3390"/>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43"/>
      <c r="D105" s="3443"/>
      <c r="E105" s="110"/>
      <c r="F105" s="1"/>
      <c r="G105" s="82"/>
      <c r="H105" s="35" t="s">
        <v>303</v>
      </c>
      <c r="I105" s="82"/>
      <c r="J105" s="1995">
        <f>GZ48</f>
        <v>0</v>
      </c>
      <c r="K105" s="1996">
        <f>HA48</f>
        <v>0</v>
      </c>
      <c r="L105" s="1996">
        <f>HB48</f>
        <v>0</v>
      </c>
      <c r="M105" s="1996">
        <f>HC48</f>
        <v>0</v>
      </c>
      <c r="N105" s="1997">
        <f>HD48</f>
        <v>0</v>
      </c>
      <c r="O105" s="957">
        <f t="shared" si="358"/>
        <v>0</v>
      </c>
      <c r="R105" s="3388"/>
      <c r="S105" s="3389"/>
      <c r="T105" s="3389"/>
      <c r="U105" s="3389"/>
      <c r="V105" s="3390"/>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43"/>
      <c r="D106" s="3443"/>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388"/>
      <c r="S106" s="3389"/>
      <c r="T106" s="3389"/>
      <c r="U106" s="3389"/>
      <c r="V106" s="3390"/>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44" t="s">
        <v>1419</v>
      </c>
      <c r="F107" s="3444"/>
      <c r="G107" s="82"/>
      <c r="H107" s="35" t="s">
        <v>1432</v>
      </c>
      <c r="I107" s="82"/>
      <c r="J107" s="1989">
        <f>HJ48</f>
        <v>0</v>
      </c>
      <c r="K107" s="1990">
        <f>HK48</f>
        <v>0</v>
      </c>
      <c r="L107" s="1990">
        <f>HL48</f>
        <v>0</v>
      </c>
      <c r="M107" s="1990">
        <f>HM48</f>
        <v>0</v>
      </c>
      <c r="N107" s="1991">
        <f>HN48</f>
        <v>0</v>
      </c>
      <c r="O107" s="961">
        <f t="shared" si="358"/>
        <v>0</v>
      </c>
      <c r="R107" s="3388"/>
      <c r="S107" s="3389"/>
      <c r="T107" s="3389"/>
      <c r="U107" s="3389"/>
      <c r="V107" s="3390"/>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44"/>
      <c r="F108" s="3444"/>
      <c r="G108" s="82"/>
      <c r="H108" s="35" t="s">
        <v>303</v>
      </c>
      <c r="I108" s="82"/>
      <c r="J108" s="1995">
        <f>HO48</f>
        <v>0</v>
      </c>
      <c r="K108" s="1996">
        <f>HP48</f>
        <v>0</v>
      </c>
      <c r="L108" s="1996">
        <f>HQ48</f>
        <v>0</v>
      </c>
      <c r="M108" s="1996">
        <f>HR48</f>
        <v>0</v>
      </c>
      <c r="N108" s="1997">
        <f>HS48</f>
        <v>0</v>
      </c>
      <c r="O108" s="957">
        <f t="shared" si="358"/>
        <v>0</v>
      </c>
      <c r="R108" s="3388"/>
      <c r="S108" s="3389"/>
      <c r="T108" s="3389"/>
      <c r="U108" s="3389"/>
      <c r="V108" s="3390"/>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88"/>
      <c r="S109" s="3389"/>
      <c r="T109" s="3389"/>
      <c r="U109" s="3389"/>
      <c r="V109" s="3390"/>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3"/>
      <c r="K110" s="2643"/>
      <c r="L110" s="2643"/>
      <c r="M110" s="2643"/>
      <c r="N110" s="2643"/>
      <c r="O110" s="595">
        <f t="shared" si="358"/>
        <v>0</v>
      </c>
      <c r="R110" s="3388"/>
      <c r="S110" s="3389"/>
      <c r="T110" s="3389"/>
      <c r="U110" s="3389"/>
      <c r="V110" s="3390"/>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391" t="str">
        <f>IF(AND('Part IV-A-Uses of Funds'!$T$165="Yes",'Part IX Scoring Criteria'!$O$420&gt;0,O111&lt;1),"SHOW HISTORIC UNITS HERE &gt;&gt;&gt;&gt;","")</f>
        <v/>
      </c>
      <c r="B111" s="3391"/>
      <c r="C111" s="3391"/>
      <c r="D111" s="3391"/>
      <c r="E111" s="490" t="s">
        <v>3395</v>
      </c>
      <c r="F111" s="1"/>
      <c r="G111" s="172"/>
      <c r="H111" s="82"/>
      <c r="I111" s="82"/>
      <c r="J111" s="2644"/>
      <c r="K111" s="2644"/>
      <c r="L111" s="2644"/>
      <c r="M111" s="2644"/>
      <c r="N111" s="2644"/>
      <c r="O111" s="596">
        <f t="shared" si="358"/>
        <v>0</v>
      </c>
      <c r="R111" s="3388"/>
      <c r="S111" s="3389"/>
      <c r="T111" s="3389"/>
      <c r="U111" s="3389"/>
      <c r="V111" s="3390"/>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88"/>
      <c r="S112" s="3389"/>
      <c r="T112" s="3389"/>
      <c r="U112" s="3389"/>
      <c r="V112" s="3390"/>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392"/>
      <c r="S113" s="3393"/>
      <c r="T113" s="3393"/>
      <c r="U113" s="3393"/>
      <c r="V113" s="3394"/>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40" t="s">
        <v>4081</v>
      </c>
      <c r="D115" s="3440"/>
      <c r="E115" s="1151" t="s">
        <v>39</v>
      </c>
      <c r="F115" s="990"/>
      <c r="G115" s="1152"/>
      <c r="H115" s="1153"/>
      <c r="I115" s="1154"/>
      <c r="J115" s="2019">
        <f t="shared" ref="J115:O115" si="359">SUM(J116:J123)</f>
        <v>0</v>
      </c>
      <c r="K115" s="2020">
        <f t="shared" si="359"/>
        <v>12</v>
      </c>
      <c r="L115" s="2020">
        <f t="shared" si="359"/>
        <v>36</v>
      </c>
      <c r="M115" s="2020">
        <f t="shared" si="359"/>
        <v>24</v>
      </c>
      <c r="N115" s="2021">
        <f t="shared" si="359"/>
        <v>0</v>
      </c>
      <c r="O115" s="1965">
        <f t="shared" si="359"/>
        <v>72</v>
      </c>
      <c r="R115" s="3383"/>
      <c r="S115" s="3384"/>
      <c r="T115" s="3384"/>
      <c r="U115" s="3384"/>
      <c r="V115" s="3385"/>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86"/>
      <c r="D116" s="3386"/>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388"/>
      <c r="S116" s="3389"/>
      <c r="T116" s="3389"/>
      <c r="U116" s="3389"/>
      <c r="V116" s="3390"/>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86"/>
      <c r="D117" s="3386"/>
      <c r="E117" s="103"/>
      <c r="F117" s="4"/>
      <c r="G117" s="151"/>
      <c r="H117" s="95" t="s">
        <v>3356</v>
      </c>
      <c r="I117" s="1155"/>
      <c r="J117" s="2022">
        <f>JW48</f>
        <v>0</v>
      </c>
      <c r="K117" s="2023">
        <f>JX48</f>
        <v>0</v>
      </c>
      <c r="L117" s="2023">
        <f>JY48</f>
        <v>0</v>
      </c>
      <c r="M117" s="2023">
        <f>JZ48</f>
        <v>0</v>
      </c>
      <c r="N117" s="2024">
        <f>KA48</f>
        <v>0</v>
      </c>
      <c r="O117" s="598">
        <f t="shared" si="360"/>
        <v>0</v>
      </c>
      <c r="R117" s="3388"/>
      <c r="S117" s="3389"/>
      <c r="T117" s="3389"/>
      <c r="U117" s="3389"/>
      <c r="V117" s="3390"/>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86"/>
      <c r="D118" s="3386"/>
      <c r="E118" s="103"/>
      <c r="F118" s="4"/>
      <c r="G118" s="151"/>
      <c r="H118" s="897" t="s">
        <v>2605</v>
      </c>
      <c r="I118" s="1155"/>
      <c r="J118" s="1992">
        <f>KB48</f>
        <v>0</v>
      </c>
      <c r="K118" s="1993">
        <f>KC48</f>
        <v>0</v>
      </c>
      <c r="L118" s="1993">
        <f>KD48</f>
        <v>0</v>
      </c>
      <c r="M118" s="1993">
        <f>KE48</f>
        <v>0</v>
      </c>
      <c r="N118" s="1994">
        <f>KF48</f>
        <v>0</v>
      </c>
      <c r="O118" s="599">
        <f t="shared" si="360"/>
        <v>0</v>
      </c>
      <c r="R118" s="3388"/>
      <c r="S118" s="3389"/>
      <c r="T118" s="3389"/>
      <c r="U118" s="3389"/>
      <c r="V118" s="3390"/>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86"/>
      <c r="D119" s="3386"/>
      <c r="E119" s="103"/>
      <c r="F119" s="4"/>
      <c r="G119" s="151"/>
      <c r="H119" s="95" t="s">
        <v>3356</v>
      </c>
      <c r="I119" s="1155"/>
      <c r="J119" s="2022">
        <f>KG48</f>
        <v>0</v>
      </c>
      <c r="K119" s="2023">
        <f>KH48</f>
        <v>0</v>
      </c>
      <c r="L119" s="2023">
        <f>KI48</f>
        <v>0</v>
      </c>
      <c r="M119" s="2023">
        <f>KJ48</f>
        <v>0</v>
      </c>
      <c r="N119" s="2024">
        <f>KK48</f>
        <v>0</v>
      </c>
      <c r="O119" s="598">
        <f t="shared" si="360"/>
        <v>0</v>
      </c>
      <c r="R119" s="3388"/>
      <c r="S119" s="3389"/>
      <c r="T119" s="3389"/>
      <c r="U119" s="3389"/>
      <c r="V119" s="3390"/>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86"/>
      <c r="D120" s="3386"/>
      <c r="E120" s="103"/>
      <c r="F120" s="4"/>
      <c r="G120" s="151"/>
      <c r="H120" s="897" t="s">
        <v>2607</v>
      </c>
      <c r="I120" s="1155"/>
      <c r="J120" s="1992">
        <f>KL48</f>
        <v>0</v>
      </c>
      <c r="K120" s="1993">
        <f>KM48</f>
        <v>12</v>
      </c>
      <c r="L120" s="1993">
        <f>KN48</f>
        <v>36</v>
      </c>
      <c r="M120" s="1993">
        <f>KO48</f>
        <v>24</v>
      </c>
      <c r="N120" s="1994">
        <f>KP48</f>
        <v>0</v>
      </c>
      <c r="O120" s="599">
        <f t="shared" si="360"/>
        <v>72</v>
      </c>
      <c r="R120" s="3388"/>
      <c r="S120" s="3389"/>
      <c r="T120" s="3389"/>
      <c r="U120" s="3389"/>
      <c r="V120" s="3390"/>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86"/>
      <c r="D121" s="3386"/>
      <c r="E121" s="103"/>
      <c r="F121" s="4"/>
      <c r="G121" s="151"/>
      <c r="H121" s="95" t="s">
        <v>3356</v>
      </c>
      <c r="I121" s="1155"/>
      <c r="J121" s="2022">
        <f>KQ48</f>
        <v>0</v>
      </c>
      <c r="K121" s="2023">
        <f>KR48</f>
        <v>0</v>
      </c>
      <c r="L121" s="2023">
        <f>KS48</f>
        <v>0</v>
      </c>
      <c r="M121" s="2023">
        <f>KT48</f>
        <v>0</v>
      </c>
      <c r="N121" s="2024">
        <f>KU48</f>
        <v>0</v>
      </c>
      <c r="O121" s="598">
        <f t="shared" si="360"/>
        <v>0</v>
      </c>
      <c r="R121" s="3388"/>
      <c r="S121" s="3389"/>
      <c r="T121" s="3389"/>
      <c r="U121" s="3389"/>
      <c r="V121" s="3390"/>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86"/>
      <c r="D122" s="3386"/>
      <c r="E122" s="103"/>
      <c r="F122" s="1"/>
      <c r="G122" s="82"/>
      <c r="H122" s="39" t="s">
        <v>2606</v>
      </c>
      <c r="I122" s="82"/>
      <c r="J122" s="1992">
        <f>KV48</f>
        <v>0</v>
      </c>
      <c r="K122" s="1993">
        <f>KW48</f>
        <v>0</v>
      </c>
      <c r="L122" s="1993">
        <f>KX48</f>
        <v>0</v>
      </c>
      <c r="M122" s="1993">
        <f>KY48</f>
        <v>0</v>
      </c>
      <c r="N122" s="1994">
        <f>KZ48</f>
        <v>0</v>
      </c>
      <c r="O122" s="599">
        <f t="shared" si="360"/>
        <v>0</v>
      </c>
      <c r="R122" s="3388"/>
      <c r="S122" s="3389"/>
      <c r="T122" s="3389"/>
      <c r="U122" s="3389"/>
      <c r="V122" s="3390"/>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86"/>
      <c r="D123" s="3386"/>
      <c r="E123" s="103"/>
      <c r="F123" s="1"/>
      <c r="G123" s="82"/>
      <c r="H123" s="893" t="s">
        <v>3356</v>
      </c>
      <c r="I123" s="82"/>
      <c r="J123" s="1992">
        <f>LA48</f>
        <v>0</v>
      </c>
      <c r="K123" s="1993">
        <f>LB48</f>
        <v>0</v>
      </c>
      <c r="L123" s="1993">
        <f>LC48</f>
        <v>0</v>
      </c>
      <c r="M123" s="1993">
        <f>LD48</f>
        <v>0</v>
      </c>
      <c r="N123" s="1994">
        <f>LE48</f>
        <v>0</v>
      </c>
      <c r="O123" s="956">
        <f t="shared" si="360"/>
        <v>0</v>
      </c>
      <c r="R123" s="3388"/>
      <c r="S123" s="3389"/>
      <c r="T123" s="3389"/>
      <c r="U123" s="3389"/>
      <c r="V123" s="3390"/>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88"/>
      <c r="S124" s="3389"/>
      <c r="T124" s="3389"/>
      <c r="U124" s="3389"/>
      <c r="V124" s="3390"/>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22">
        <f>II48</f>
        <v>0</v>
      </c>
      <c r="K125" s="2023">
        <f>IJ48</f>
        <v>0</v>
      </c>
      <c r="L125" s="2023">
        <f>IK48</f>
        <v>0</v>
      </c>
      <c r="M125" s="2023">
        <f>IL48</f>
        <v>0</v>
      </c>
      <c r="N125" s="2024">
        <f>IM48</f>
        <v>0</v>
      </c>
      <c r="O125" s="598">
        <f t="shared" si="360"/>
        <v>0</v>
      </c>
      <c r="R125" s="3388"/>
      <c r="S125" s="3389"/>
      <c r="T125" s="3389"/>
      <c r="U125" s="3389"/>
      <c r="V125" s="3390"/>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388"/>
      <c r="S126" s="3389"/>
      <c r="T126" s="3389"/>
      <c r="U126" s="3389"/>
      <c r="V126" s="3390"/>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22">
        <f>JM48</f>
        <v>0</v>
      </c>
      <c r="K127" s="2023">
        <f>JN48</f>
        <v>0</v>
      </c>
      <c r="L127" s="2023">
        <f>JO48</f>
        <v>0</v>
      </c>
      <c r="M127" s="2023">
        <f>JP48</f>
        <v>0</v>
      </c>
      <c r="N127" s="2024">
        <f>JQ48</f>
        <v>0</v>
      </c>
      <c r="O127" s="598">
        <f t="shared" si="360"/>
        <v>0</v>
      </c>
      <c r="R127" s="3388"/>
      <c r="S127" s="3389"/>
      <c r="T127" s="3389"/>
      <c r="U127" s="3389"/>
      <c r="V127" s="3390"/>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388"/>
      <c r="S128" s="3389"/>
      <c r="T128" s="3389"/>
      <c r="U128" s="3389"/>
      <c r="V128" s="3390"/>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92">
        <f>JC48</f>
        <v>0</v>
      </c>
      <c r="K129" s="1993">
        <f>JD48</f>
        <v>0</v>
      </c>
      <c r="L129" s="1993">
        <f>JE48</f>
        <v>0</v>
      </c>
      <c r="M129" s="1993">
        <f>JF48</f>
        <v>0</v>
      </c>
      <c r="N129" s="1994">
        <f>JG48</f>
        <v>0</v>
      </c>
      <c r="O129" s="598">
        <f t="shared" si="360"/>
        <v>0</v>
      </c>
      <c r="R129" s="3388"/>
      <c r="S129" s="3389"/>
      <c r="T129" s="3389"/>
      <c r="U129" s="3389"/>
      <c r="V129" s="3390"/>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388"/>
      <c r="S130" s="3389"/>
      <c r="T130" s="3389"/>
      <c r="U130" s="3389"/>
      <c r="V130" s="3390"/>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5">
        <f>IS48</f>
        <v>0</v>
      </c>
      <c r="K131" s="1996">
        <f>IT48</f>
        <v>0</v>
      </c>
      <c r="L131" s="1996">
        <f>IU48</f>
        <v>0</v>
      </c>
      <c r="M131" s="1996">
        <f>IV48</f>
        <v>0</v>
      </c>
      <c r="N131" s="1997">
        <f>IW48</f>
        <v>0</v>
      </c>
      <c r="O131" s="957">
        <f t="shared" si="360"/>
        <v>0</v>
      </c>
      <c r="R131" s="3392"/>
      <c r="S131" s="3393"/>
      <c r="T131" s="3393"/>
      <c r="U131" s="3393"/>
      <c r="V131" s="3394"/>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4997</v>
      </c>
      <c r="K133" s="3465" t="str">
        <f>$K$53</f>
        <v>40% of Units at 60% of AMI</v>
      </c>
      <c r="L133" s="3466"/>
      <c r="M133" s="3466"/>
      <c r="N133" s="3467"/>
      <c r="O133" s="82"/>
      <c r="R133" s="3403" t="str">
        <f>B133</f>
        <v>UNIT SUMMARY (Continued)</v>
      </c>
      <c r="S133" s="3403"/>
      <c r="T133" s="3403"/>
      <c r="U133" s="3403"/>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40" t="s">
        <v>4602</v>
      </c>
      <c r="D135" s="3440"/>
      <c r="E135" s="1151" t="s">
        <v>3351</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383"/>
      <c r="S135" s="3384"/>
      <c r="T135" s="3384"/>
      <c r="U135" s="3384"/>
      <c r="V135" s="3385"/>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86"/>
      <c r="D136" s="3386"/>
      <c r="E136" s="103"/>
      <c r="F136" s="493"/>
      <c r="G136" s="151"/>
      <c r="H136" s="95" t="s">
        <v>3356</v>
      </c>
      <c r="I136" s="1155"/>
      <c r="J136" s="2031">
        <f t="shared" si="361"/>
        <v>0</v>
      </c>
      <c r="K136" s="2032">
        <f t="shared" si="361"/>
        <v>0</v>
      </c>
      <c r="L136" s="2032">
        <f t="shared" si="361"/>
        <v>0</v>
      </c>
      <c r="M136" s="2032">
        <f t="shared" si="361"/>
        <v>0</v>
      </c>
      <c r="N136" s="2033">
        <f t="shared" si="361"/>
        <v>0</v>
      </c>
      <c r="O136" s="601">
        <f t="shared" si="362"/>
        <v>0</v>
      </c>
      <c r="R136" s="3388"/>
      <c r="S136" s="3389"/>
      <c r="T136" s="3389"/>
      <c r="U136" s="3389"/>
      <c r="V136" s="3390"/>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86"/>
      <c r="D137" s="3386"/>
      <c r="E137" s="103" t="s">
        <v>3352</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388"/>
      <c r="S137" s="3389"/>
      <c r="T137" s="3389"/>
      <c r="U137" s="3389"/>
      <c r="V137" s="3390"/>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86"/>
      <c r="D138" s="3386"/>
      <c r="E138" s="103"/>
      <c r="F138" s="493"/>
      <c r="G138" s="151"/>
      <c r="H138" s="95" t="s">
        <v>3356</v>
      </c>
      <c r="I138" s="1155"/>
      <c r="J138" s="2031">
        <f t="shared" si="363"/>
        <v>0</v>
      </c>
      <c r="K138" s="2032">
        <f t="shared" si="363"/>
        <v>0</v>
      </c>
      <c r="L138" s="2032">
        <f t="shared" si="363"/>
        <v>0</v>
      </c>
      <c r="M138" s="2032">
        <f t="shared" si="363"/>
        <v>0</v>
      </c>
      <c r="N138" s="2033">
        <f t="shared" si="363"/>
        <v>0</v>
      </c>
      <c r="O138" s="601">
        <f t="shared" si="362"/>
        <v>0</v>
      </c>
      <c r="R138" s="3388"/>
      <c r="S138" s="3389"/>
      <c r="T138" s="3389"/>
      <c r="U138" s="3389"/>
      <c r="V138" s="3390"/>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86"/>
      <c r="D139" s="3386"/>
      <c r="E139" s="103" t="s">
        <v>3353</v>
      </c>
      <c r="F139" s="493"/>
      <c r="G139" s="151"/>
      <c r="H139" s="897"/>
      <c r="I139" s="1155"/>
      <c r="J139" s="2034">
        <f t="shared" ref="J139:N140" si="364">J120</f>
        <v>0</v>
      </c>
      <c r="K139" s="2035">
        <f t="shared" si="364"/>
        <v>12</v>
      </c>
      <c r="L139" s="2035">
        <f t="shared" si="364"/>
        <v>36</v>
      </c>
      <c r="M139" s="2035">
        <f t="shared" si="364"/>
        <v>24</v>
      </c>
      <c r="N139" s="2036">
        <f t="shared" si="364"/>
        <v>0</v>
      </c>
      <c r="O139" s="959">
        <f t="shared" si="362"/>
        <v>72</v>
      </c>
      <c r="R139" s="3388"/>
      <c r="S139" s="3389"/>
      <c r="T139" s="3389"/>
      <c r="U139" s="3389"/>
      <c r="V139" s="3390"/>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86"/>
      <c r="D140" s="3386"/>
      <c r="E140" s="103"/>
      <c r="F140" s="493"/>
      <c r="G140" s="151"/>
      <c r="H140" s="95" t="s">
        <v>3356</v>
      </c>
      <c r="I140" s="1155"/>
      <c r="J140" s="2031">
        <f t="shared" si="364"/>
        <v>0</v>
      </c>
      <c r="K140" s="2032">
        <f t="shared" si="364"/>
        <v>0</v>
      </c>
      <c r="L140" s="2032">
        <f t="shared" si="364"/>
        <v>0</v>
      </c>
      <c r="M140" s="2032">
        <f t="shared" si="364"/>
        <v>0</v>
      </c>
      <c r="N140" s="2033">
        <f t="shared" si="364"/>
        <v>0</v>
      </c>
      <c r="O140" s="601">
        <f t="shared" si="362"/>
        <v>0</v>
      </c>
      <c r="R140" s="3388"/>
      <c r="S140" s="3389"/>
      <c r="T140" s="3389"/>
      <c r="U140" s="3389"/>
      <c r="V140" s="3390"/>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86"/>
      <c r="D141" s="3386"/>
      <c r="E141" s="103" t="s">
        <v>3354</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388"/>
      <c r="S141" s="3389"/>
      <c r="T141" s="3389"/>
      <c r="U141" s="3389"/>
      <c r="V141" s="3390"/>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7">
        <f t="shared" si="365"/>
        <v>0</v>
      </c>
      <c r="K142" s="2038">
        <f t="shared" si="365"/>
        <v>0</v>
      </c>
      <c r="L142" s="2038">
        <f t="shared" si="365"/>
        <v>0</v>
      </c>
      <c r="M142" s="2038">
        <f t="shared" si="365"/>
        <v>0</v>
      </c>
      <c r="N142" s="2039">
        <f t="shared" si="365"/>
        <v>0</v>
      </c>
      <c r="O142" s="960">
        <f t="shared" si="362"/>
        <v>0</v>
      </c>
      <c r="P142" s="3395" t="s">
        <v>5030</v>
      </c>
      <c r="R142" s="3392"/>
      <c r="S142" s="3393"/>
      <c r="T142" s="3393"/>
      <c r="U142" s="3393"/>
      <c r="V142" s="3394"/>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395"/>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395"/>
      <c r="R144" s="3402" t="str">
        <f>B144</f>
        <v>Unit Square Footage:</v>
      </c>
      <c r="S144" s="3402"/>
      <c r="T144" s="3402"/>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4613</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383"/>
      <c r="S145" s="3384"/>
      <c r="T145" s="3384"/>
      <c r="U145" s="3384"/>
      <c r="V145" s="3385"/>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4614</v>
      </c>
      <c r="I146" s="82"/>
      <c r="J146" s="2040">
        <f>EM48</f>
        <v>0</v>
      </c>
      <c r="K146" s="2041">
        <f>EN48</f>
        <v>0</v>
      </c>
      <c r="L146" s="2041">
        <f>EO48</f>
        <v>0</v>
      </c>
      <c r="M146" s="2041">
        <f>EP48</f>
        <v>0</v>
      </c>
      <c r="N146" s="2042">
        <f>EQ48</f>
        <v>0</v>
      </c>
      <c r="O146" s="1955">
        <f t="shared" si="366"/>
        <v>0</v>
      </c>
      <c r="P146" s="2178" t="str">
        <f t="shared" si="367"/>
        <v/>
      </c>
      <c r="R146" s="3388"/>
      <c r="S146" s="3389"/>
      <c r="T146" s="3389"/>
      <c r="U146" s="3389"/>
      <c r="V146" s="3390"/>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4928</v>
      </c>
      <c r="L147" s="2041">
        <f>ET48</f>
        <v>25125</v>
      </c>
      <c r="M147" s="2041">
        <f>EU48</f>
        <v>19980</v>
      </c>
      <c r="N147" s="2042">
        <f>EV48</f>
        <v>0</v>
      </c>
      <c r="O147" s="1955">
        <f t="shared" si="366"/>
        <v>50033</v>
      </c>
      <c r="P147" s="2178">
        <f t="shared" si="367"/>
        <v>1000.66</v>
      </c>
      <c r="R147" s="3388"/>
      <c r="S147" s="3389"/>
      <c r="T147" s="3389"/>
      <c r="U147" s="3389"/>
      <c r="V147" s="3390"/>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2112</v>
      </c>
      <c r="L148" s="2169">
        <f>EY48</f>
        <v>6030</v>
      </c>
      <c r="M148" s="2169">
        <f>EZ48</f>
        <v>4440</v>
      </c>
      <c r="N148" s="2170">
        <f>FA48</f>
        <v>0</v>
      </c>
      <c r="O148" s="2171">
        <f t="shared" si="366"/>
        <v>12582</v>
      </c>
      <c r="P148" s="2178">
        <f t="shared" si="367"/>
        <v>967.84615384615381</v>
      </c>
      <c r="R148" s="3388"/>
      <c r="S148" s="3389"/>
      <c r="T148" s="3389"/>
      <c r="U148" s="3389"/>
      <c r="V148" s="3390"/>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4615</v>
      </c>
      <c r="I149" s="1155"/>
      <c r="J149" s="2040">
        <f>FB48</f>
        <v>0</v>
      </c>
      <c r="K149" s="2041">
        <f>FC48</f>
        <v>0</v>
      </c>
      <c r="L149" s="2041">
        <f>FD48</f>
        <v>0</v>
      </c>
      <c r="M149" s="2041">
        <f>FE48</f>
        <v>0</v>
      </c>
      <c r="N149" s="2042">
        <f>FF48</f>
        <v>0</v>
      </c>
      <c r="O149" s="1955">
        <f t="shared" si="366"/>
        <v>0</v>
      </c>
      <c r="P149" s="2178" t="str">
        <f t="shared" si="367"/>
        <v/>
      </c>
      <c r="R149" s="3388"/>
      <c r="S149" s="3389"/>
      <c r="T149" s="3389"/>
      <c r="U149" s="3389"/>
      <c r="V149" s="3390"/>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4616</v>
      </c>
      <c r="I150" s="82"/>
      <c r="J150" s="2040">
        <f>FG48</f>
        <v>0</v>
      </c>
      <c r="K150" s="2041">
        <f>FH48</f>
        <v>0</v>
      </c>
      <c r="L150" s="2041">
        <f>FI48</f>
        <v>0</v>
      </c>
      <c r="M150" s="2041">
        <f>FJ48</f>
        <v>0</v>
      </c>
      <c r="N150" s="2042">
        <f>FK48</f>
        <v>0</v>
      </c>
      <c r="O150" s="1955">
        <f t="shared" si="366"/>
        <v>0</v>
      </c>
      <c r="P150" s="2178" t="str">
        <f t="shared" si="367"/>
        <v/>
      </c>
      <c r="R150" s="3388"/>
      <c r="S150" s="3389"/>
      <c r="T150" s="3389"/>
      <c r="U150" s="3389"/>
      <c r="V150" s="3390"/>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4617</v>
      </c>
      <c r="I151" s="82"/>
      <c r="J151" s="2013">
        <f>FL48</f>
        <v>0</v>
      </c>
      <c r="K151" s="2014">
        <f>FM48</f>
        <v>0</v>
      </c>
      <c r="L151" s="2014">
        <f>FN48</f>
        <v>0</v>
      </c>
      <c r="M151" s="2014">
        <f>FO48</f>
        <v>0</v>
      </c>
      <c r="N151" s="2015">
        <f>FP48</f>
        <v>0</v>
      </c>
      <c r="O151" s="1956">
        <f t="shared" si="366"/>
        <v>0</v>
      </c>
      <c r="P151" s="2178" t="str">
        <f t="shared" si="367"/>
        <v/>
      </c>
      <c r="R151" s="3388"/>
      <c r="S151" s="3389"/>
      <c r="T151" s="3389"/>
      <c r="U151" s="3389"/>
      <c r="V151" s="3390"/>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4698</v>
      </c>
      <c r="I152" s="82"/>
      <c r="J152" s="1964">
        <f>SUM(J145:J151)</f>
        <v>0</v>
      </c>
      <c r="K152" s="1964">
        <f>SUM(K145:K151)</f>
        <v>7040</v>
      </c>
      <c r="L152" s="1964">
        <f>SUM(L145:L151)</f>
        <v>31155</v>
      </c>
      <c r="M152" s="1964">
        <f>SUM(M145:M151)</f>
        <v>24420</v>
      </c>
      <c r="N152" s="1964">
        <f>SUM(N145:N151)</f>
        <v>0</v>
      </c>
      <c r="O152" s="1964">
        <f>SUM(J152:N152)</f>
        <v>62615</v>
      </c>
      <c r="R152" s="3388"/>
      <c r="S152" s="3389"/>
      <c r="T152" s="3389"/>
      <c r="U152" s="3389"/>
      <c r="V152" s="3390"/>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1408</v>
      </c>
      <c r="L153" s="2044">
        <f>FS48</f>
        <v>5025</v>
      </c>
      <c r="M153" s="2044">
        <f>FT48</f>
        <v>2220</v>
      </c>
      <c r="N153" s="2045">
        <f>FU48</f>
        <v>0</v>
      </c>
      <c r="O153" s="1962">
        <f>SUM(J153:N153)</f>
        <v>8653</v>
      </c>
      <c r="P153" s="2178">
        <f>IF(OR(O64=0,O64=""),"",O153/O64)</f>
        <v>961.44444444444446</v>
      </c>
      <c r="R153" s="3388"/>
      <c r="S153" s="3389"/>
      <c r="T153" s="3389"/>
      <c r="U153" s="3389"/>
      <c r="V153" s="3390"/>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8448</v>
      </c>
      <c r="L154" s="1963">
        <f>SUM(L152:L153)</f>
        <v>36180</v>
      </c>
      <c r="M154" s="1963">
        <f>SUM(M152:M153)</f>
        <v>26640</v>
      </c>
      <c r="N154" s="1963">
        <f>SUM(N152:N153)</f>
        <v>0</v>
      </c>
      <c r="O154" s="1963">
        <f>SUM(J154:N154)</f>
        <v>71268</v>
      </c>
      <c r="R154" s="3388"/>
      <c r="S154" s="3389"/>
      <c r="T154" s="3389"/>
      <c r="U154" s="3389"/>
      <c r="V154" s="3390"/>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388"/>
      <c r="S155" s="3389"/>
      <c r="T155" s="3389"/>
      <c r="U155" s="3389"/>
      <c r="V155" s="3390"/>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8448</v>
      </c>
      <c r="L156" s="1961">
        <f>SUM(L154:L155)</f>
        <v>36180</v>
      </c>
      <c r="M156" s="1961">
        <f>SUM(M154:M155)</f>
        <v>26640</v>
      </c>
      <c r="N156" s="1961">
        <f>SUM(N154:N155)</f>
        <v>0</v>
      </c>
      <c r="O156" s="1961">
        <f>SUM(J156:N156)</f>
        <v>71268</v>
      </c>
      <c r="R156" s="3392"/>
      <c r="S156" s="3393"/>
      <c r="T156" s="3393"/>
      <c r="U156" s="3393"/>
      <c r="V156" s="3394"/>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77" t="str">
        <f>IF(OR(J$67="",J$67=0),"",J$156/J$67)</f>
        <v/>
      </c>
      <c r="K159" s="2177">
        <f>IF(OR(K$67="",K$67=0),"",K$156/K$67)</f>
        <v>704</v>
      </c>
      <c r="L159" s="2177">
        <f>IF(OR(L$67="",L$67=0),"",L$156/L$67)</f>
        <v>1005</v>
      </c>
      <c r="M159" s="2177">
        <f>IF(OR(M$67="",M$67=0),"",M$156/M$67)</f>
        <v>1110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41">
        <f>'Part VII-Pro Forma'!B9*L49</f>
        <v>11396.880000000001</v>
      </c>
      <c r="I173" s="3442"/>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5"/>
      <c r="H177" s="2645"/>
      <c r="I177" s="2645"/>
      <c r="J177" s="2645"/>
      <c r="K177" s="2645"/>
      <c r="L177" s="2645"/>
      <c r="M177" s="2645"/>
      <c r="N177" s="2645"/>
      <c r="O177" s="2645"/>
      <c r="P177" s="2645"/>
      <c r="Q177" s="873"/>
      <c r="R177" s="3383"/>
      <c r="S177" s="3384"/>
      <c r="T177" s="3384"/>
      <c r="U177" s="3384"/>
      <c r="V177" s="3385"/>
    </row>
    <row r="178" spans="2:22" ht="13.5" customHeight="1">
      <c r="B178" s="110" t="s">
        <v>741</v>
      </c>
      <c r="C178" s="3434"/>
      <c r="D178" s="3435"/>
      <c r="E178" s="3435"/>
      <c r="F178" s="3436"/>
      <c r="G178" s="2646"/>
      <c r="H178" s="2646"/>
      <c r="I178" s="2646"/>
      <c r="J178" s="2646"/>
      <c r="K178" s="2647"/>
      <c r="L178" s="2646"/>
      <c r="M178" s="2646"/>
      <c r="N178" s="2646"/>
      <c r="O178" s="2646"/>
      <c r="P178" s="2646"/>
      <c r="Q178" s="873"/>
      <c r="R178" s="3388"/>
      <c r="S178" s="3389"/>
      <c r="T178" s="3389"/>
      <c r="U178" s="3389"/>
      <c r="V178" s="3390"/>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392"/>
      <c r="S179" s="3393"/>
      <c r="T179" s="3393"/>
      <c r="U179" s="3393"/>
      <c r="V179" s="3394"/>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5"/>
      <c r="H181" s="2645"/>
      <c r="I181" s="2645"/>
      <c r="J181" s="2645"/>
      <c r="K181" s="2645"/>
      <c r="L181" s="2645"/>
      <c r="M181" s="2645"/>
      <c r="N181" s="2645"/>
      <c r="O181" s="2645"/>
      <c r="P181" s="2645"/>
      <c r="Q181" s="873"/>
      <c r="R181" s="3383"/>
      <c r="S181" s="3384"/>
      <c r="T181" s="3384"/>
      <c r="U181" s="3384"/>
      <c r="V181" s="3385"/>
    </row>
    <row r="182" spans="2:22" ht="13.5" customHeight="1">
      <c r="B182" s="110" t="s">
        <v>741</v>
      </c>
      <c r="C182" s="3434"/>
      <c r="D182" s="3435"/>
      <c r="E182" s="3435"/>
      <c r="F182" s="3436"/>
      <c r="G182" s="2646"/>
      <c r="H182" s="2646"/>
      <c r="I182" s="2646"/>
      <c r="J182" s="2646"/>
      <c r="K182" s="2647"/>
      <c r="L182" s="2646"/>
      <c r="M182" s="2646"/>
      <c r="N182" s="2646"/>
      <c r="O182" s="2646"/>
      <c r="P182" s="2646"/>
      <c r="Q182" s="873"/>
      <c r="R182" s="3388"/>
      <c r="S182" s="3389"/>
      <c r="T182" s="3389"/>
      <c r="U182" s="3389"/>
      <c r="V182" s="3390"/>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392"/>
      <c r="S183" s="3393"/>
      <c r="T183" s="3393"/>
      <c r="U183" s="3393"/>
      <c r="V183" s="3394"/>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45"/>
      <c r="H186" s="2645"/>
      <c r="I186" s="2645"/>
      <c r="J186" s="2645"/>
      <c r="K186" s="2648"/>
      <c r="L186" s="2645"/>
      <c r="M186" s="2645"/>
      <c r="N186" s="2645"/>
      <c r="O186" s="2645"/>
      <c r="P186" s="2645"/>
      <c r="Q186" s="873"/>
      <c r="R186" s="3383"/>
      <c r="S186" s="3384"/>
      <c r="T186" s="3384"/>
      <c r="U186" s="3384"/>
      <c r="V186" s="3385"/>
    </row>
    <row r="187" spans="2:22" ht="13.5" customHeight="1">
      <c r="B187" s="110" t="s">
        <v>741</v>
      </c>
      <c r="C187" s="3434"/>
      <c r="D187" s="3435"/>
      <c r="E187" s="3435"/>
      <c r="F187" s="3436"/>
      <c r="G187" s="2646"/>
      <c r="H187" s="2646"/>
      <c r="I187" s="2646"/>
      <c r="J187" s="2646"/>
      <c r="K187" s="2647"/>
      <c r="L187" s="2646"/>
      <c r="M187" s="2646"/>
      <c r="N187" s="2646"/>
      <c r="O187" s="2646"/>
      <c r="P187" s="2646"/>
      <c r="Q187" s="873"/>
      <c r="R187" s="3388"/>
      <c r="S187" s="3389"/>
      <c r="T187" s="3389"/>
      <c r="U187" s="3389"/>
      <c r="V187" s="3390"/>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392"/>
      <c r="S188" s="3393"/>
      <c r="T188" s="3393"/>
      <c r="U188" s="3393"/>
      <c r="V188" s="3394"/>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5"/>
      <c r="H190" s="2645"/>
      <c r="I190" s="2645"/>
      <c r="J190" s="2645"/>
      <c r="K190" s="2648"/>
      <c r="L190" s="2645"/>
      <c r="M190" s="2645"/>
      <c r="N190" s="2645"/>
      <c r="O190" s="2645"/>
      <c r="P190" s="2645"/>
      <c r="Q190" s="873"/>
      <c r="R190" s="3383"/>
      <c r="S190" s="3384"/>
      <c r="T190" s="3384"/>
      <c r="U190" s="3384"/>
      <c r="V190" s="3385"/>
    </row>
    <row r="191" spans="2:22" ht="13.5" customHeight="1">
      <c r="B191" s="110" t="s">
        <v>741</v>
      </c>
      <c r="C191" s="3434"/>
      <c r="D191" s="3435"/>
      <c r="E191" s="3435"/>
      <c r="F191" s="3436"/>
      <c r="G191" s="2646"/>
      <c r="H191" s="2646"/>
      <c r="I191" s="2646"/>
      <c r="J191" s="2646"/>
      <c r="K191" s="2647"/>
      <c r="L191" s="2646"/>
      <c r="M191" s="2646"/>
      <c r="N191" s="2646"/>
      <c r="O191" s="2646"/>
      <c r="P191" s="2646"/>
      <c r="Q191" s="873"/>
      <c r="R191" s="3388"/>
      <c r="S191" s="3389"/>
      <c r="T191" s="3389"/>
      <c r="U191" s="3389"/>
      <c r="V191" s="3390"/>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392"/>
      <c r="S192" s="3393"/>
      <c r="T192" s="3393"/>
      <c r="U192" s="3393"/>
      <c r="V192" s="3394"/>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45"/>
      <c r="H195" s="2645"/>
      <c r="I195" s="2645"/>
      <c r="J195" s="2645"/>
      <c r="K195" s="2648"/>
      <c r="L195" s="2645"/>
      <c r="M195" s="2645"/>
      <c r="N195" s="2645"/>
      <c r="O195" s="2645"/>
      <c r="P195" s="2645"/>
      <c r="Q195" s="873"/>
      <c r="R195" s="3383"/>
      <c r="S195" s="3384"/>
      <c r="T195" s="3384"/>
      <c r="U195" s="3384"/>
      <c r="V195" s="3385"/>
    </row>
    <row r="196" spans="2:22" ht="13.5" customHeight="1">
      <c r="B196" s="110" t="s">
        <v>741</v>
      </c>
      <c r="C196" s="3434"/>
      <c r="D196" s="3435"/>
      <c r="E196" s="3435"/>
      <c r="F196" s="3436"/>
      <c r="G196" s="2646"/>
      <c r="H196" s="2646"/>
      <c r="I196" s="2646"/>
      <c r="J196" s="2646"/>
      <c r="K196" s="2647"/>
      <c r="L196" s="2646"/>
      <c r="M196" s="2646"/>
      <c r="N196" s="2646"/>
      <c r="O196" s="2646"/>
      <c r="P196" s="2646"/>
      <c r="Q196" s="873"/>
      <c r="R196" s="3388"/>
      <c r="S196" s="3389"/>
      <c r="T196" s="3389"/>
      <c r="U196" s="3389"/>
      <c r="V196" s="3390"/>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392"/>
      <c r="S197" s="3393"/>
      <c r="T197" s="3393"/>
      <c r="U197" s="3393"/>
      <c r="V197" s="3394"/>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5"/>
      <c r="H199" s="2645"/>
      <c r="I199" s="2645"/>
      <c r="J199" s="2645"/>
      <c r="K199" s="2648"/>
      <c r="L199" s="2645"/>
      <c r="M199" s="2645"/>
      <c r="N199" s="2645"/>
      <c r="O199" s="2645"/>
      <c r="P199" s="2645"/>
      <c r="Q199" s="873"/>
      <c r="R199" s="3383"/>
      <c r="S199" s="3384"/>
      <c r="T199" s="3384"/>
      <c r="U199" s="3384"/>
      <c r="V199" s="3385"/>
    </row>
    <row r="200" spans="2:22" ht="13.5" customHeight="1">
      <c r="B200" s="110" t="s">
        <v>741</v>
      </c>
      <c r="C200" s="3434"/>
      <c r="D200" s="3435"/>
      <c r="E200" s="3435"/>
      <c r="F200" s="3436"/>
      <c r="G200" s="2646"/>
      <c r="H200" s="2646"/>
      <c r="I200" s="2646"/>
      <c r="J200" s="2646"/>
      <c r="K200" s="2647"/>
      <c r="L200" s="2646"/>
      <c r="M200" s="2646"/>
      <c r="N200" s="2646"/>
      <c r="O200" s="2646"/>
      <c r="P200" s="2646"/>
      <c r="Q200" s="873"/>
      <c r="R200" s="3388"/>
      <c r="S200" s="3389"/>
      <c r="T200" s="3389"/>
      <c r="U200" s="3389"/>
      <c r="V200" s="3390"/>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392"/>
      <c r="S201" s="3393"/>
      <c r="T201" s="3393"/>
      <c r="U201" s="3393"/>
      <c r="V201" s="3394"/>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45"/>
      <c r="H204" s="2645"/>
      <c r="I204" s="2645"/>
      <c r="J204" s="2645"/>
      <c r="K204" s="2648"/>
      <c r="L204" s="89"/>
      <c r="M204" s="89"/>
      <c r="N204" s="89"/>
      <c r="O204" s="89"/>
      <c r="P204" s="89"/>
      <c r="Q204" s="7"/>
      <c r="R204" s="3383"/>
      <c r="S204" s="3384"/>
      <c r="T204" s="3384"/>
      <c r="U204" s="3384"/>
      <c r="V204" s="3385"/>
    </row>
    <row r="205" spans="2:22" ht="13.5" customHeight="1">
      <c r="B205" s="110" t="s">
        <v>741</v>
      </c>
      <c r="C205" s="3434"/>
      <c r="D205" s="3435"/>
      <c r="E205" s="3435"/>
      <c r="F205" s="3436"/>
      <c r="G205" s="2646"/>
      <c r="H205" s="2646"/>
      <c r="I205" s="2646"/>
      <c r="J205" s="2646"/>
      <c r="K205" s="2647"/>
      <c r="L205" s="89"/>
      <c r="M205" s="89"/>
      <c r="N205" s="89"/>
      <c r="O205" s="89"/>
      <c r="P205" s="89"/>
      <c r="Q205" s="7"/>
      <c r="R205" s="3388"/>
      <c r="S205" s="3389"/>
      <c r="T205" s="3389"/>
      <c r="U205" s="3389"/>
      <c r="V205" s="3390"/>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392"/>
      <c r="S206" s="3393"/>
      <c r="T206" s="3393"/>
      <c r="U206" s="3393"/>
      <c r="V206" s="3394"/>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5"/>
      <c r="H208" s="2645"/>
      <c r="I208" s="2645"/>
      <c r="J208" s="2645"/>
      <c r="K208" s="2648"/>
      <c r="L208" s="89"/>
      <c r="M208" s="89"/>
      <c r="N208" s="89"/>
      <c r="O208" s="89"/>
      <c r="P208" s="89"/>
      <c r="Q208" s="7"/>
      <c r="R208" s="3383"/>
      <c r="S208" s="3384"/>
      <c r="T208" s="3384"/>
      <c r="U208" s="3384"/>
      <c r="V208" s="3385"/>
    </row>
    <row r="209" spans="1:492" ht="13.5" customHeight="1">
      <c r="B209" s="110" t="s">
        <v>741</v>
      </c>
      <c r="C209" s="3434"/>
      <c r="D209" s="3435"/>
      <c r="E209" s="3435"/>
      <c r="F209" s="3436"/>
      <c r="G209" s="2646"/>
      <c r="H209" s="2646"/>
      <c r="I209" s="2646"/>
      <c r="J209" s="2646"/>
      <c r="K209" s="2647"/>
      <c r="L209" s="89"/>
      <c r="M209" s="89"/>
      <c r="N209" s="89"/>
      <c r="O209" s="89"/>
      <c r="P209" s="89"/>
      <c r="Q209" s="7"/>
      <c r="R209" s="3388"/>
      <c r="S209" s="3389"/>
      <c r="T209" s="3389"/>
      <c r="U209" s="3389"/>
      <c r="V209" s="3390"/>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392"/>
      <c r="S210" s="3393"/>
      <c r="T210" s="3393"/>
      <c r="U210" s="3393"/>
      <c r="V210" s="3394"/>
    </row>
    <row r="211" spans="1:492" ht="2.25" customHeight="1">
      <c r="B211" s="12"/>
      <c r="F211" s="33"/>
      <c r="G211" s="33"/>
      <c r="J211" s="15"/>
      <c r="P211" s="7"/>
      <c r="Q211" s="7"/>
    </row>
    <row r="212" spans="1:492" s="90" customFormat="1" ht="11.25" customHeight="1">
      <c r="A212" s="3" t="s">
        <v>1792</v>
      </c>
      <c r="B212" s="2294" t="s">
        <v>1019</v>
      </c>
      <c r="C212" s="2294"/>
      <c r="D212" s="2294"/>
      <c r="E212" s="2294"/>
      <c r="F212" s="2294"/>
      <c r="G212" s="2294"/>
      <c r="H212" s="2294"/>
      <c r="I212" s="2294"/>
      <c r="J212" s="2294"/>
      <c r="K212" s="229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4"/>
      <c r="C213" s="2294"/>
      <c r="D213" s="2294"/>
      <c r="E213" s="2294"/>
      <c r="F213" s="2294"/>
      <c r="G213" s="2294"/>
      <c r="H213" s="2294"/>
      <c r="I213" s="2294"/>
      <c r="J213" s="2294"/>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83"/>
      <c r="S214" s="3384"/>
      <c r="T214" s="3384"/>
      <c r="U214" s="3384"/>
      <c r="V214" s="3385"/>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37">
        <v>55587</v>
      </c>
      <c r="G215" s="3438"/>
      <c r="H215" s="1"/>
      <c r="I215" s="1" t="s">
        <v>1378</v>
      </c>
      <c r="J215" s="1"/>
      <c r="K215" s="3437"/>
      <c r="L215" s="3438"/>
      <c r="M215" s="1"/>
      <c r="N215" s="1" t="s">
        <v>929</v>
      </c>
      <c r="O215" s="1"/>
      <c r="P215" s="2649">
        <v>57600</v>
      </c>
      <c r="Q215" s="873"/>
      <c r="R215" s="3388"/>
      <c r="S215" s="3389"/>
      <c r="T215" s="3389"/>
      <c r="U215" s="3389"/>
      <c r="V215" s="3390"/>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4">
        <v>40020</v>
      </c>
      <c r="G216" s="3405"/>
      <c r="H216" s="1"/>
      <c r="I216" s="1" t="s">
        <v>1379</v>
      </c>
      <c r="J216" s="1"/>
      <c r="K216" s="3409">
        <v>600</v>
      </c>
      <c r="L216" s="3410"/>
      <c r="M216" s="1"/>
      <c r="N216" s="1" t="s">
        <v>147</v>
      </c>
      <c r="O216" s="1"/>
      <c r="P216" s="2650">
        <v>28700</v>
      </c>
      <c r="Q216" s="873"/>
      <c r="R216" s="3388"/>
      <c r="S216" s="3389"/>
      <c r="T216" s="3389"/>
      <c r="U216" s="3389"/>
      <c r="V216" s="3390"/>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4"/>
      <c r="G217" s="3405"/>
      <c r="H217" s="1"/>
      <c r="I217" s="1"/>
      <c r="J217" s="122" t="s">
        <v>191</v>
      </c>
      <c r="K217" s="3417">
        <f>SUM(K215:L216)</f>
        <v>600</v>
      </c>
      <c r="L217" s="3418"/>
      <c r="M217" s="1"/>
      <c r="N217" s="3427" t="s">
        <v>5186</v>
      </c>
      <c r="O217" s="3428"/>
      <c r="P217" s="2651">
        <v>500</v>
      </c>
      <c r="Q217" s="873"/>
      <c r="R217" s="3388"/>
      <c r="S217" s="3389"/>
      <c r="T217" s="3389"/>
      <c r="U217" s="3389"/>
      <c r="V217" s="3390"/>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6" t="s">
        <v>5185</v>
      </c>
      <c r="C218" s="3407"/>
      <c r="D218" s="3407"/>
      <c r="E218" s="3408"/>
      <c r="F218" s="3409">
        <v>12000</v>
      </c>
      <c r="G218" s="3410"/>
      <c r="H218" s="1"/>
      <c r="I218" s="1"/>
      <c r="J218" s="1"/>
      <c r="K218" s="1"/>
      <c r="L218" s="1"/>
      <c r="M218" s="1"/>
      <c r="N218" s="10" t="s">
        <v>191</v>
      </c>
      <c r="O218" s="1"/>
      <c r="P218" s="405">
        <f>SUM(P215:P217)</f>
        <v>86800</v>
      </c>
      <c r="Q218" s="873"/>
      <c r="R218" s="3388"/>
      <c r="S218" s="3389"/>
      <c r="T218" s="3389"/>
      <c r="U218" s="3389"/>
      <c r="V218" s="3390"/>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17">
        <f>SUM(F215:G218)</f>
        <v>107607</v>
      </c>
      <c r="G219" s="3418"/>
      <c r="H219" s="1"/>
      <c r="I219" s="1"/>
      <c r="J219" s="11"/>
      <c r="K219" s="1"/>
      <c r="L219" s="1"/>
      <c r="M219" s="1"/>
      <c r="N219" s="1"/>
      <c r="O219" s="1"/>
      <c r="P219" s="1"/>
      <c r="Q219" s="1"/>
      <c r="R219" s="3388"/>
      <c r="S219" s="3389"/>
      <c r="T219" s="3389"/>
      <c r="U219" s="3389"/>
      <c r="V219" s="3390"/>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88"/>
      <c r="S220" s="3389"/>
      <c r="T220" s="3389"/>
      <c r="U220" s="3389"/>
      <c r="V220" s="3390"/>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34560</v>
      </c>
      <c r="Q221" s="874"/>
      <c r="R221" s="3388"/>
      <c r="S221" s="3389"/>
      <c r="T221" s="3389"/>
      <c r="U221" s="3389"/>
      <c r="V221" s="3390"/>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37">
        <v>2500</v>
      </c>
      <c r="G222" s="3438"/>
      <c r="H222" s="1"/>
      <c r="I222" s="1" t="s">
        <v>1602</v>
      </c>
      <c r="J222" s="1"/>
      <c r="K222" s="3421">
        <v>1200</v>
      </c>
      <c r="L222" s="3422"/>
      <c r="M222" s="1"/>
      <c r="N222" s="393">
        <f>+P221/(O67*0.93)</f>
        <v>516.1290322580644</v>
      </c>
      <c r="O222" s="66" t="s">
        <v>2756</v>
      </c>
      <c r="P222" s="1"/>
      <c r="Q222" s="1"/>
      <c r="R222" s="3388"/>
      <c r="S222" s="3389"/>
      <c r="T222" s="3389"/>
      <c r="U222" s="3389"/>
      <c r="V222" s="3390"/>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4">
        <v>2000</v>
      </c>
      <c r="G223" s="3405"/>
      <c r="H223" s="1"/>
      <c r="I223" s="1" t="s">
        <v>2049</v>
      </c>
      <c r="J223" s="1"/>
      <c r="K223" s="3425">
        <v>7000</v>
      </c>
      <c r="L223" s="3426"/>
      <c r="M223" s="1"/>
      <c r="N223" s="393">
        <f>+P221/(O67*0.93)/12</f>
        <v>43.010752688172033</v>
      </c>
      <c r="O223" s="66" t="s">
        <v>2757</v>
      </c>
      <c r="P223" s="1"/>
      <c r="Q223" s="1"/>
      <c r="R223" s="3388"/>
      <c r="S223" s="3389"/>
      <c r="T223" s="3389"/>
      <c r="U223" s="3389"/>
      <c r="V223" s="3390"/>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4"/>
      <c r="G224" s="3405"/>
      <c r="H224" s="1"/>
      <c r="I224" s="1" t="s">
        <v>1603</v>
      </c>
      <c r="J224" s="1"/>
      <c r="K224" s="3425">
        <v>2000</v>
      </c>
      <c r="L224" s="3426"/>
      <c r="M224" s="1"/>
      <c r="N224" s="35" t="s">
        <v>3726</v>
      </c>
      <c r="O224" s="972"/>
      <c r="P224" s="972"/>
      <c r="Q224" s="2306"/>
      <c r="R224" s="3388"/>
      <c r="S224" s="3389"/>
      <c r="T224" s="3389"/>
      <c r="U224" s="3389"/>
      <c r="V224" s="3390"/>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04"/>
      <c r="G225" s="3405"/>
      <c r="H225" s="1"/>
      <c r="I225" s="3427" t="s">
        <v>51</v>
      </c>
      <c r="J225" s="3428"/>
      <c r="K225" s="3429"/>
      <c r="L225" s="3430"/>
      <c r="M225" s="1"/>
      <c r="N225" s="972"/>
      <c r="O225" s="972"/>
      <c r="P225" s="972"/>
      <c r="Q225" s="2306"/>
      <c r="R225" s="3388"/>
      <c r="S225" s="3389"/>
      <c r="T225" s="3389"/>
      <c r="U225" s="3389"/>
      <c r="V225" s="3390"/>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4">
        <v>4500</v>
      </c>
      <c r="G226" s="3405"/>
      <c r="H226" s="1"/>
      <c r="I226" s="9"/>
      <c r="J226" s="10" t="s">
        <v>191</v>
      </c>
      <c r="K226" s="3431">
        <f>SUM(K222:K225)</f>
        <v>10200</v>
      </c>
      <c r="L226" s="3432"/>
      <c r="M226" s="3433" t="str">
        <f>IF(P228="","",IF(P226&lt;P228, "WARNING! OE below required minimum.",""))</f>
        <v/>
      </c>
      <c r="N226" s="9" t="s">
        <v>2186</v>
      </c>
      <c r="O226" s="4"/>
      <c r="P226" s="403">
        <f>F219+F228+F239+K217+K226+K236+P218+P221</f>
        <v>358517</v>
      </c>
      <c r="R226" s="3388"/>
      <c r="S226" s="3389"/>
      <c r="T226" s="3389"/>
      <c r="U226" s="3389"/>
      <c r="V226" s="3390"/>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6" t="s">
        <v>5183</v>
      </c>
      <c r="C227" s="3407"/>
      <c r="D227" s="3407"/>
      <c r="E227" s="3408"/>
      <c r="F227" s="3409">
        <v>7250</v>
      </c>
      <c r="G227" s="3410"/>
      <c r="H227" s="1"/>
      <c r="I227" s="1"/>
      <c r="J227" s="11"/>
      <c r="K227" s="1"/>
      <c r="L227" s="1"/>
      <c r="M227" s="3433"/>
      <c r="N227" s="66" t="s">
        <v>2758</v>
      </c>
      <c r="O227" s="393">
        <f>+P226/O67</f>
        <v>4979.4027777777774</v>
      </c>
      <c r="Q227" s="873"/>
      <c r="R227" s="3388"/>
      <c r="S227" s="3389"/>
      <c r="T227" s="3389"/>
      <c r="U227" s="3389"/>
      <c r="V227" s="3390"/>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17">
        <f>SUM(F222:G227)</f>
        <v>16250</v>
      </c>
      <c r="G228" s="3418"/>
      <c r="H228" s="1"/>
      <c r="I228" s="1"/>
      <c r="J228" s="11"/>
      <c r="K228" s="1"/>
      <c r="L228" s="1"/>
      <c r="M228" s="3433"/>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324000</v>
      </c>
      <c r="R228" s="3388"/>
      <c r="S228" s="3389"/>
      <c r="T228" s="3389"/>
      <c r="U228" s="3389"/>
      <c r="V228" s="3390"/>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3"/>
      <c r="N229" s="1"/>
      <c r="O229" s="1"/>
      <c r="P229" s="4"/>
      <c r="Q229" s="4"/>
      <c r="R229" s="3388"/>
      <c r="S229" s="3389"/>
      <c r="T229" s="3389"/>
      <c r="U229" s="3389"/>
      <c r="V229" s="3390"/>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8" t="s">
        <v>5009</v>
      </c>
      <c r="K230" s="1"/>
      <c r="L230" s="1"/>
      <c r="M230" s="1"/>
      <c r="N230" s="9" t="s">
        <v>3480</v>
      </c>
      <c r="O230" s="9"/>
      <c r="P230" s="2652">
        <f>P239</f>
        <v>18000</v>
      </c>
      <c r="Q230" s="874"/>
      <c r="R230" s="3388"/>
      <c r="S230" s="3389"/>
      <c r="T230" s="3389"/>
      <c r="U230" s="3389"/>
      <c r="V230" s="3390"/>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19">
        <v>14850</v>
      </c>
      <c r="G231" s="3420"/>
      <c r="H231" s="1"/>
      <c r="I231" s="1" t="s">
        <v>1368</v>
      </c>
      <c r="J231" s="460">
        <f>K231/12/O67</f>
        <v>13.888888888888889</v>
      </c>
      <c r="K231" s="3421">
        <v>12000</v>
      </c>
      <c r="L231" s="3422"/>
      <c r="M231" s="3413" t="str">
        <f>IF(P230&lt;P239, "WARNING! RR proposed is below the DCA required minimum.","")</f>
        <v/>
      </c>
      <c r="N231" s="995" t="s">
        <v>5008</v>
      </c>
      <c r="O231" s="990"/>
      <c r="P231" s="996">
        <f>P230/O239</f>
        <v>250</v>
      </c>
      <c r="Q231" s="2653"/>
      <c r="R231" s="3388"/>
      <c r="S231" s="3389"/>
      <c r="T231" s="3389"/>
      <c r="U231" s="3389"/>
      <c r="V231" s="3390"/>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3">
        <v>14850</v>
      </c>
      <c r="G232" s="3424"/>
      <c r="H232" s="1"/>
      <c r="I232" s="1" t="s">
        <v>1369</v>
      </c>
      <c r="J232" s="460">
        <f>K232/12/O67</f>
        <v>0</v>
      </c>
      <c r="K232" s="3425"/>
      <c r="L232" s="3426"/>
      <c r="M232" s="3413"/>
      <c r="N232" s="3414" t="s">
        <v>3734</v>
      </c>
      <c r="O232" s="3415"/>
      <c r="P232" s="3416"/>
      <c r="R232" s="3388"/>
      <c r="S232" s="3389"/>
      <c r="T232" s="3389"/>
      <c r="U232" s="3389"/>
      <c r="V232" s="3390"/>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3">
        <v>15000</v>
      </c>
      <c r="G233" s="3424"/>
      <c r="H233" s="1"/>
      <c r="I233" s="1" t="s">
        <v>2352</v>
      </c>
      <c r="J233" s="460">
        <f>K233/12/O67</f>
        <v>37.5</v>
      </c>
      <c r="K233" s="3425">
        <v>32400</v>
      </c>
      <c r="L233" s="3426"/>
      <c r="M233" s="3413"/>
      <c r="N233" s="989" t="s">
        <v>2714</v>
      </c>
      <c r="O233" s="870" t="s">
        <v>3844</v>
      </c>
      <c r="P233" s="991" t="s">
        <v>3437</v>
      </c>
      <c r="Q233" s="870"/>
      <c r="R233" s="3388"/>
      <c r="S233" s="3389"/>
      <c r="T233" s="3389"/>
      <c r="U233" s="3389"/>
      <c r="V233" s="3390"/>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4">
        <v>4000</v>
      </c>
      <c r="G234" s="3405"/>
      <c r="H234" s="1"/>
      <c r="I234" s="1" t="s">
        <v>1371</v>
      </c>
      <c r="J234" s="1"/>
      <c r="K234" s="3425">
        <v>5000</v>
      </c>
      <c r="L234" s="3426"/>
      <c r="M234" s="3413"/>
      <c r="N234" s="627" t="s">
        <v>39</v>
      </c>
      <c r="O234" s="628"/>
      <c r="P234" s="629"/>
      <c r="Q234" s="628"/>
      <c r="R234" s="3388"/>
      <c r="S234" s="3389"/>
      <c r="T234" s="3389"/>
      <c r="U234" s="3389"/>
      <c r="V234" s="3390"/>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4">
        <v>1200</v>
      </c>
      <c r="G235" s="3405"/>
      <c r="H235" s="1"/>
      <c r="I235" s="3427" t="s">
        <v>5184</v>
      </c>
      <c r="J235" s="3428"/>
      <c r="K235" s="3429">
        <v>1200</v>
      </c>
      <c r="L235" s="3430"/>
      <c r="M235" s="3413"/>
      <c r="N235" s="492" t="s">
        <v>3429</v>
      </c>
      <c r="O235" s="876" t="str">
        <f>CONCATENATE(SUM(ME48:MI48)," units x $",'DCA Underwriting Assumptions'!$Q$64," =")</f>
        <v>0 units x $350 =</v>
      </c>
      <c r="P235" s="630">
        <f>SUM(ME48:MI48)*'DCA Underwriting Assumptions'!$Q$64</f>
        <v>0</v>
      </c>
      <c r="Q235" s="876"/>
      <c r="R235" s="3388"/>
      <c r="S235" s="3389"/>
      <c r="T235" s="3389"/>
      <c r="U235" s="3389"/>
      <c r="V235" s="3390"/>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4"/>
      <c r="G236" s="3405"/>
      <c r="H236" s="1"/>
      <c r="I236" s="1"/>
      <c r="J236" s="10" t="s">
        <v>191</v>
      </c>
      <c r="K236" s="3431">
        <f>SUM(K231:K235)</f>
        <v>50600</v>
      </c>
      <c r="L236" s="3432"/>
      <c r="M236" s="3413"/>
      <c r="N236" s="492" t="s">
        <v>3428</v>
      </c>
      <c r="O236" s="876" t="str">
        <f>CONCATENATE(SUM(MJ48:MN48)," units x $",'DCA Underwriting Assumptions'!$Q$65," =")</f>
        <v>72 units x $250 =</v>
      </c>
      <c r="P236" s="630">
        <f>SUM(MJ48:MN48)*'DCA Underwriting Assumptions'!$Q$65</f>
        <v>18000</v>
      </c>
      <c r="Q236" s="876"/>
      <c r="R236" s="3388"/>
      <c r="S236" s="3389"/>
      <c r="T236" s="3389"/>
      <c r="U236" s="3389"/>
      <c r="V236" s="3390"/>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4">
        <v>2000</v>
      </c>
      <c r="G237" s="3405"/>
      <c r="H237" s="1"/>
      <c r="I237" s="1"/>
      <c r="J237" s="11"/>
      <c r="K237" s="1"/>
      <c r="L237" s="1"/>
      <c r="M237" s="3413"/>
      <c r="N237" s="631" t="s">
        <v>3432</v>
      </c>
      <c r="O237" s="876" t="str">
        <f>CONCATENATE(SUM(MO48:MS48)," units x $",'DCA Underwriting Assumptions'!$Q$66," =")</f>
        <v>0 units x $420 =</v>
      </c>
      <c r="P237" s="630">
        <f>SUM(MO48:MS48)*'DCA Underwriting Assumptions'!$Q$66</f>
        <v>0</v>
      </c>
      <c r="Q237" s="876"/>
      <c r="R237" s="3388"/>
      <c r="S237" s="3389"/>
      <c r="T237" s="3389"/>
      <c r="U237" s="3389"/>
      <c r="V237" s="3390"/>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6" t="s">
        <v>51</v>
      </c>
      <c r="C238" s="3407"/>
      <c r="D238" s="3407"/>
      <c r="E238" s="3408"/>
      <c r="F238" s="3409"/>
      <c r="G238" s="3410"/>
      <c r="H238" s="1"/>
      <c r="I238" s="1"/>
      <c r="J238" s="11"/>
      <c r="K238" s="1"/>
      <c r="L238" s="1"/>
      <c r="M238" s="1"/>
      <c r="N238" s="631" t="s">
        <v>3427</v>
      </c>
      <c r="O238" s="876" t="str">
        <f>CONCATENATE(O113," units x $",'DCA Underwriting Assumptions'!$Q$66," =")</f>
        <v>0 units x $420 =</v>
      </c>
      <c r="P238" s="630">
        <f>O113*'DCA Underwriting Assumptions'!$Q$66</f>
        <v>0</v>
      </c>
      <c r="Q238" s="876"/>
      <c r="R238" s="3388"/>
      <c r="S238" s="3389"/>
      <c r="T238" s="3389"/>
      <c r="U238" s="3389"/>
      <c r="V238" s="3390"/>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1">
        <f>SUM(F231:G238)</f>
        <v>51900</v>
      </c>
      <c r="G239" s="3412"/>
      <c r="H239" s="1"/>
      <c r="I239" s="1"/>
      <c r="J239" s="11"/>
      <c r="K239" s="1"/>
      <c r="L239" s="1"/>
      <c r="M239" s="1"/>
      <c r="N239" s="992" t="s">
        <v>2717</v>
      </c>
      <c r="O239" s="993">
        <f>SUM(ME48:MI48)+SUM(MJ48:MN48)+SUM(MO48:MS48)+O113</f>
        <v>72</v>
      </c>
      <c r="P239" s="994">
        <f>SUM(P235:P238)</f>
        <v>18000</v>
      </c>
      <c r="Q239" s="876"/>
      <c r="R239" s="3392"/>
      <c r="S239" s="3393"/>
      <c r="T239" s="3393"/>
      <c r="U239" s="3393"/>
      <c r="V239" s="3394"/>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376517</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63" t="s">
        <v>4995</v>
      </c>
      <c r="G243" s="11"/>
      <c r="H243" s="3463"/>
      <c r="I243" s="3464"/>
      <c r="J243" s="2248" t="s">
        <v>5070</v>
      </c>
      <c r="K243" s="2654"/>
      <c r="N243" s="9" t="s">
        <v>4998</v>
      </c>
      <c r="O243" s="1"/>
      <c r="P243" s="2655">
        <f>H243*K243</f>
        <v>0</v>
      </c>
      <c r="Q243" s="873"/>
      <c r="R243" s="3379"/>
      <c r="S243" s="3380"/>
      <c r="T243" s="3380"/>
      <c r="U243" s="3380"/>
      <c r="V243" s="3381"/>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2581" t="s">
        <v>1771</v>
      </c>
      <c r="J245" s="2163" t="s">
        <v>5073</v>
      </c>
      <c r="K245" s="2581" t="s">
        <v>1771</v>
      </c>
      <c r="L245" s="72" t="s">
        <v>5074</v>
      </c>
      <c r="M245" s="2654"/>
      <c r="N245" s="469" t="s">
        <v>5072</v>
      </c>
      <c r="O245" s="1"/>
      <c r="P245" s="2656"/>
      <c r="Q245" s="873"/>
      <c r="R245" s="3379"/>
      <c r="S245" s="3380"/>
      <c r="T245" s="3380"/>
      <c r="U245" s="3380"/>
      <c r="V245" s="3381"/>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4993</v>
      </c>
      <c r="N247" s="12"/>
    </row>
    <row r="248" spans="1:492" ht="408.75" customHeight="1">
      <c r="A248" s="3065" t="s">
        <v>5287</v>
      </c>
      <c r="B248" s="3065"/>
      <c r="C248" s="3065"/>
      <c r="D248" s="3065"/>
      <c r="E248" s="3065"/>
      <c r="F248" s="3065"/>
      <c r="G248" s="3065"/>
      <c r="H248" s="3065"/>
      <c r="I248" s="3065"/>
      <c r="J248" s="3065"/>
      <c r="K248" s="3065"/>
      <c r="L248" s="3065"/>
      <c r="M248" s="3064"/>
      <c r="N248" s="3064"/>
      <c r="O248" s="3064"/>
      <c r="P248" s="3064"/>
      <c r="Q248" s="3401" t="s">
        <v>4099</v>
      </c>
      <c r="R248" s="2765"/>
      <c r="S248" s="2765"/>
      <c r="T248" s="2765"/>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oQ6A9W9Nx+nrNT4ANCOxIH9LBiLahgJjvQNbvU9VeFyFfazGDrZqaMOFtY3NwJLuMf9yL41/4gat1qV7/jucBQ==" saltValue="tiYaM6BvrH9iRiIV3MQHVw=="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xWindow="1169" yWindow="475"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79" t="str">
        <f>CONCATENATE("PART SEVEN - OPERATING PRO FORMA","  -  ",'Part I-Project Information'!$O$6," ",'Part I-Project Information'!$F$34,", ",'Part I-Project Information'!F38,", ",'Part I-Project Information'!J39," County")</f>
        <v>PART SEVEN - OPERATING PRO FORMA  -  2019-042 Brennan Place, Columbus, Muscogee County</v>
      </c>
      <c r="B1" s="3480"/>
      <c r="C1" s="3480"/>
      <c r="D1" s="3480"/>
      <c r="E1" s="3480"/>
      <c r="F1" s="3480"/>
      <c r="G1" s="3480"/>
      <c r="H1" s="3480"/>
      <c r="I1" s="3480"/>
      <c r="J1" s="3480"/>
      <c r="K1" s="3481"/>
      <c r="L1" s="9"/>
      <c r="M1" s="9"/>
      <c r="N1" s="3482" t="str">
        <f>A1</f>
        <v>PART SEVEN - OPERATING PRO FORMA  -  2019-042 Brennan Place, Columbus, Muscogee County</v>
      </c>
      <c r="O1" s="3482"/>
      <c r="P1" s="9"/>
    </row>
    <row r="2" spans="1:19" ht="13.5" customHeight="1">
      <c r="A2" s="489"/>
      <c r="B2" s="489"/>
      <c r="C2" s="489"/>
      <c r="D2" s="489"/>
      <c r="E2" s="489"/>
      <c r="F2" s="489"/>
      <c r="G2" s="489"/>
      <c r="H2" s="489"/>
      <c r="I2" s="489"/>
      <c r="J2" s="489"/>
      <c r="K2" s="489"/>
      <c r="N2" s="3483" t="s">
        <v>1845</v>
      </c>
      <c r="O2" s="3483"/>
    </row>
    <row r="3" spans="1:19" ht="13.5" customHeight="1">
      <c r="A3" s="12" t="s">
        <v>90</v>
      </c>
      <c r="C3" s="3484" t="str">
        <f>'Part I-Project Information'!$B$6</f>
        <v>April 2019 Final</v>
      </c>
      <c r="D3" s="1220" t="s">
        <v>80</v>
      </c>
      <c r="E3" s="217"/>
      <c r="F3" s="1221" t="s">
        <v>4175</v>
      </c>
      <c r="N3" s="12" t="str">
        <f>A3</f>
        <v>I.  OPERATING ASSUMPTIONS</v>
      </c>
      <c r="O3" s="30"/>
    </row>
    <row r="4" spans="1:19" ht="2.7" customHeight="1">
      <c r="A4" s="15"/>
      <c r="B4" s="15"/>
      <c r="C4" s="3484"/>
      <c r="H4" s="15"/>
      <c r="I4" s="15"/>
    </row>
    <row r="5" spans="1:19" ht="13.5" customHeight="1">
      <c r="A5" s="15" t="s">
        <v>2188</v>
      </c>
      <c r="B5" s="77">
        <v>0.02</v>
      </c>
      <c r="C5" s="3484"/>
      <c r="D5" s="3386" t="s">
        <v>4176</v>
      </c>
      <c r="E5" s="3386"/>
      <c r="F5" s="3386"/>
      <c r="G5" s="2657">
        <v>5000</v>
      </c>
      <c r="H5" s="96" t="s">
        <v>1907</v>
      </c>
      <c r="K5" s="101">
        <f>IF(($B$14+$B$15+$B$16+$B$17)=0,"",B30/($B$14+$B$15+$B$16+$B$17))</f>
        <v>-9.2497693658806415E-3</v>
      </c>
      <c r="N5" s="3383"/>
      <c r="O5" s="3385"/>
    </row>
    <row r="6" spans="1:19">
      <c r="A6" s="15" t="s">
        <v>2189</v>
      </c>
      <c r="B6" s="77">
        <v>0.03</v>
      </c>
      <c r="C6" s="3484"/>
      <c r="D6" s="3386"/>
      <c r="E6" s="3386"/>
      <c r="F6" s="3386"/>
      <c r="G6" s="1222">
        <f>IF(OR('Part III-Sources of Funds'!E5="Yes",'Part III-Sources of Funds'!H5&gt;0),'DCA Underwriting Assumptions'!$Q$96,0)</f>
        <v>0</v>
      </c>
      <c r="H6" s="15"/>
      <c r="I6" s="15"/>
      <c r="J6" s="15"/>
      <c r="K6" s="15"/>
      <c r="N6" s="3388"/>
      <c r="O6" s="3390"/>
    </row>
    <row r="7" spans="1:19">
      <c r="A7" s="15" t="s">
        <v>2191</v>
      </c>
      <c r="B7" s="77">
        <v>0.03</v>
      </c>
      <c r="C7" s="3484"/>
      <c r="D7" s="79" t="s">
        <v>270</v>
      </c>
      <c r="G7" s="81"/>
      <c r="H7" s="96" t="s">
        <v>2374</v>
      </c>
      <c r="K7" s="101">
        <f>IF(($B$14+$B$15+$B$16+$B$17)=0,"",-B21/($B$14+$B$15+$B$16+$B$17))</f>
        <v>6.3934405856966997E-2</v>
      </c>
      <c r="N7" s="3388"/>
      <c r="O7" s="3390"/>
    </row>
    <row r="8" spans="1:19" ht="13.2" customHeight="1">
      <c r="A8" s="15" t="s">
        <v>2190</v>
      </c>
      <c r="B8" s="2658">
        <v>7.0000000000000007E-2</v>
      </c>
      <c r="C8" s="2154" t="str">
        <f>IF(B8&lt;0.07, "Must be &gt;= 7%!","")</f>
        <v/>
      </c>
      <c r="D8" s="78" t="s">
        <v>2508</v>
      </c>
      <c r="G8" s="2659" t="s">
        <v>2989</v>
      </c>
      <c r="H8" s="163" t="s">
        <v>1444</v>
      </c>
      <c r="K8" s="2660">
        <v>34560</v>
      </c>
      <c r="N8" s="3388"/>
      <c r="O8" s="3390"/>
    </row>
    <row r="9" spans="1:19">
      <c r="A9" s="15" t="s">
        <v>1418</v>
      </c>
      <c r="B9" s="77">
        <v>0.02</v>
      </c>
      <c r="D9" s="78" t="s">
        <v>1718</v>
      </c>
      <c r="G9" s="2661"/>
      <c r="H9" s="163" t="s">
        <v>2356</v>
      </c>
      <c r="K9" s="2662"/>
      <c r="N9" s="3392"/>
      <c r="O9" s="3394"/>
    </row>
    <row r="10" spans="1:19" ht="9" customHeight="1"/>
    <row r="11" spans="1:19">
      <c r="A11" s="12" t="s">
        <v>91</v>
      </c>
      <c r="D11" s="108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7" t="s">
        <v>2624</v>
      </c>
      <c r="O13" s="3107"/>
    </row>
    <row r="14" spans="1:19" ht="13.2" customHeight="1">
      <c r="A14" s="17" t="s">
        <v>2404</v>
      </c>
      <c r="B14" s="18">
        <f>'Part VI-Revenues &amp; Expenses'!$L$49</f>
        <v>569844</v>
      </c>
      <c r="C14" s="18">
        <f t="shared" ref="C14:K14" si="1">$B$14*(1+$B$5)^(C13-1)</f>
        <v>581240.88</v>
      </c>
      <c r="D14" s="18">
        <f t="shared" si="1"/>
        <v>592865.69759999996</v>
      </c>
      <c r="E14" s="18">
        <f t="shared" si="1"/>
        <v>604723.01155199995</v>
      </c>
      <c r="F14" s="18">
        <f t="shared" si="1"/>
        <v>616817.47178303997</v>
      </c>
      <c r="G14" s="18">
        <f t="shared" si="1"/>
        <v>629153.82121870085</v>
      </c>
      <c r="H14" s="18">
        <f t="shared" si="1"/>
        <v>641736.89764307486</v>
      </c>
      <c r="I14" s="18">
        <f t="shared" si="1"/>
        <v>654571.63559593621</v>
      </c>
      <c r="J14" s="18">
        <f t="shared" si="1"/>
        <v>667663.06830785505</v>
      </c>
      <c r="K14" s="19">
        <f t="shared" si="1"/>
        <v>681016.32967401214</v>
      </c>
      <c r="N14" s="3383"/>
      <c r="O14" s="3385"/>
      <c r="S14" s="3475" t="s">
        <v>4181</v>
      </c>
    </row>
    <row r="15" spans="1:19" ht="13.2" customHeight="1">
      <c r="A15" s="20" t="s">
        <v>1016</v>
      </c>
      <c r="B15" s="21">
        <f>MIN(B14*B9,'Part VI-Revenues &amp; Expenses'!$H$173)</f>
        <v>11396.880000000001</v>
      </c>
      <c r="C15" s="21">
        <f t="shared" ref="C15:K15" si="2">$B$15*(1+$B$5)^(C13-1)</f>
        <v>11624.817600000002</v>
      </c>
      <c r="D15" s="21">
        <f t="shared" si="2"/>
        <v>11857.313952</v>
      </c>
      <c r="E15" s="21">
        <f t="shared" si="2"/>
        <v>12094.460231040001</v>
      </c>
      <c r="F15" s="21">
        <f t="shared" si="2"/>
        <v>12336.349435660801</v>
      </c>
      <c r="G15" s="21">
        <f t="shared" si="2"/>
        <v>12583.076424374018</v>
      </c>
      <c r="H15" s="21">
        <f t="shared" si="2"/>
        <v>12834.737952861498</v>
      </c>
      <c r="I15" s="21">
        <f t="shared" si="2"/>
        <v>13091.432711918726</v>
      </c>
      <c r="J15" s="21">
        <f t="shared" si="2"/>
        <v>13353.261366157101</v>
      </c>
      <c r="K15" s="22">
        <f t="shared" si="2"/>
        <v>13620.326593480244</v>
      </c>
      <c r="N15" s="3388"/>
      <c r="O15" s="3390"/>
      <c r="S15" s="3476"/>
    </row>
    <row r="16" spans="1:19" ht="13.2" customHeight="1">
      <c r="A16" s="20" t="s">
        <v>2405</v>
      </c>
      <c r="B16" s="21">
        <f t="shared" ref="B16:K16" si="3">-(B14+B15)*$B$8</f>
        <v>-40686.861600000004</v>
      </c>
      <c r="C16" s="21">
        <f t="shared" si="3"/>
        <v>-41500.598832000003</v>
      </c>
      <c r="D16" s="21">
        <f t="shared" si="3"/>
        <v>-42330.610808639998</v>
      </c>
      <c r="E16" s="21">
        <f t="shared" si="3"/>
        <v>-43177.223024812803</v>
      </c>
      <c r="F16" s="21">
        <f t="shared" si="3"/>
        <v>-44040.767485309058</v>
      </c>
      <c r="G16" s="21">
        <f t="shared" si="3"/>
        <v>-44921.582835015244</v>
      </c>
      <c r="H16" s="21">
        <f t="shared" si="3"/>
        <v>-45820.014491715549</v>
      </c>
      <c r="I16" s="21">
        <f t="shared" si="3"/>
        <v>-46736.414781549851</v>
      </c>
      <c r="J16" s="21">
        <f t="shared" si="3"/>
        <v>-47671.143077180852</v>
      </c>
      <c r="K16" s="22">
        <f t="shared" si="3"/>
        <v>-48624.565938724467</v>
      </c>
      <c r="N16" s="3388"/>
      <c r="O16" s="3390"/>
      <c r="Q16" s="3478" t="s">
        <v>3877</v>
      </c>
      <c r="R16" s="3478" t="s">
        <v>4180</v>
      </c>
      <c r="S16" s="3476"/>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88"/>
      <c r="O17" s="3390"/>
      <c r="Q17" s="3478"/>
      <c r="R17" s="3478"/>
      <c r="S17" s="3477"/>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88"/>
      <c r="O18" s="3390"/>
    </row>
    <row r="19" spans="1:19" ht="13.2" customHeight="1">
      <c r="A19" s="420" t="s">
        <v>4935</v>
      </c>
      <c r="B19" s="21">
        <f>SUM(B14:B18)</f>
        <v>540554.01839999994</v>
      </c>
      <c r="C19" s="21">
        <f t="shared" ref="C19:K19" si="4">SUM(C14:C18)</f>
        <v>551365.09876799991</v>
      </c>
      <c r="D19" s="21">
        <f t="shared" si="4"/>
        <v>562392.40074335993</v>
      </c>
      <c r="E19" s="21">
        <f t="shared" si="4"/>
        <v>573640.24875822722</v>
      </c>
      <c r="F19" s="21">
        <f t="shared" si="4"/>
        <v>585113.05373339169</v>
      </c>
      <c r="G19" s="21">
        <f t="shared" si="4"/>
        <v>596815.3148080596</v>
      </c>
      <c r="H19" s="21">
        <f t="shared" si="4"/>
        <v>608751.62110422074</v>
      </c>
      <c r="I19" s="21">
        <f t="shared" si="4"/>
        <v>620926.6535263051</v>
      </c>
      <c r="J19" s="21">
        <f t="shared" si="4"/>
        <v>633345.18659683131</v>
      </c>
      <c r="K19" s="22">
        <f t="shared" si="4"/>
        <v>646012.0903287679</v>
      </c>
      <c r="N19" s="3388"/>
      <c r="O19" s="3390"/>
    </row>
    <row r="20" spans="1:19" ht="13.2" customHeight="1">
      <c r="A20" s="20" t="s">
        <v>614</v>
      </c>
      <c r="B20" s="21">
        <f>-('Part VI-Revenues &amp; Expenses'!$P$226-'Part VI-Revenues &amp; Expenses'!$P$221)</f>
        <v>-323957</v>
      </c>
      <c r="C20" s="21">
        <f t="shared" ref="C20:K20" si="5">$B$20*(1+$B$6)^(C13-1)</f>
        <v>-333675.71000000002</v>
      </c>
      <c r="D20" s="21">
        <f t="shared" si="5"/>
        <v>-343685.98129999998</v>
      </c>
      <c r="E20" s="21">
        <f t="shared" si="5"/>
        <v>-353996.56073899998</v>
      </c>
      <c r="F20" s="21">
        <f t="shared" si="5"/>
        <v>-364616.45756116998</v>
      </c>
      <c r="G20" s="21">
        <f t="shared" si="5"/>
        <v>-375554.95128800505</v>
      </c>
      <c r="H20" s="21">
        <f t="shared" si="5"/>
        <v>-386821.59982664522</v>
      </c>
      <c r="I20" s="21">
        <f t="shared" si="5"/>
        <v>-398426.24782144459</v>
      </c>
      <c r="J20" s="21">
        <f t="shared" si="5"/>
        <v>-410379.0352560879</v>
      </c>
      <c r="K20" s="22">
        <f t="shared" si="5"/>
        <v>-422690.40631377057</v>
      </c>
      <c r="N20" s="3388"/>
      <c r="O20" s="3390"/>
      <c r="Q20" s="61">
        <v>1</v>
      </c>
      <c r="R20" s="1092">
        <f>-B31</f>
        <v>39273</v>
      </c>
      <c r="S20" s="1092">
        <f>B32+R20</f>
        <v>39273.416486227681</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-34560</v>
      </c>
      <c r="C21" s="21">
        <f>IF(AND('Part VII-Pro Forma'!$G$8="Yes",'Part VII-Pro Forma'!$G$9="Yes"),"Choose One!",IF('Part VII-Pro Forma'!$G$8="Yes",ROUND((-$K$8*(1+'Part VII-Pro Forma'!$B$6)^('Part VII-Pro Forma'!C13-1)),),IF('Part VII-Pro Forma'!$G$9="Yes",ROUND((-(SUM(C14:C17)*'Part VII-Pro Forma'!$K$9)),),"Choose mgt fee")))</f>
        <v>-35597</v>
      </c>
      <c r="D21" s="21">
        <f>IF(AND('Part VII-Pro Forma'!$G$8="Yes",'Part VII-Pro Forma'!$G$9="Yes"),"Choose One!",IF('Part VII-Pro Forma'!$G$8="Yes",ROUND((-$K$8*(1+'Part VII-Pro Forma'!$B$6)^('Part VII-Pro Forma'!D13-1)),),IF('Part VII-Pro Forma'!$G$9="Yes",ROUND((-(SUM(D14:D17)*'Part VII-Pro Forma'!$K$9)),),"Choose mgt fee")))</f>
        <v>-36665</v>
      </c>
      <c r="E21" s="21">
        <f>IF(AND('Part VII-Pro Forma'!$G$8="Yes",'Part VII-Pro Forma'!$G$9="Yes"),"Choose One!",IF('Part VII-Pro Forma'!$G$8="Yes",ROUND((-$K$8*(1+'Part VII-Pro Forma'!$B$6)^('Part VII-Pro Forma'!E13-1)),),IF('Part VII-Pro Forma'!$G$9="Yes",ROUND((-(SUM(E14:E17)*'Part VII-Pro Forma'!$K$9)),),"Choose mgt fee")))</f>
        <v>-37765</v>
      </c>
      <c r="F21" s="21">
        <f>IF(AND('Part VII-Pro Forma'!$G$8="Yes",'Part VII-Pro Forma'!$G$9="Yes"),"Choose One!",IF('Part VII-Pro Forma'!$G$8="Yes",ROUND((-$K$8*(1+'Part VII-Pro Forma'!$B$6)^('Part VII-Pro Forma'!F13-1)),),IF('Part VII-Pro Forma'!$G$9="Yes",ROUND((-(SUM(F14:F17)*'Part VII-Pro Forma'!$K$9)),),"Choose mgt fee")))</f>
        <v>-38898</v>
      </c>
      <c r="G21" s="21">
        <f>IF(AND('Part VII-Pro Forma'!$G$8="Yes",'Part VII-Pro Forma'!$G$9="Yes"),"Choose One!",IF('Part VII-Pro Forma'!$G$8="Yes",ROUND((-$K$8*(1+'Part VII-Pro Forma'!$B$6)^('Part VII-Pro Forma'!G13-1)),),IF('Part VII-Pro Forma'!$G$9="Yes",ROUND((-(SUM(G14:G17)*'Part VII-Pro Forma'!$K$9)),),"Choose mgt fee")))</f>
        <v>-40065</v>
      </c>
      <c r="H21" s="21">
        <f>IF(AND('Part VII-Pro Forma'!$G$8="Yes",'Part VII-Pro Forma'!$G$9="Yes"),"Choose One!",IF('Part VII-Pro Forma'!$G$8="Yes",ROUND((-$K$8*(1+'Part VII-Pro Forma'!$B$6)^('Part VII-Pro Forma'!H13-1)),),IF('Part VII-Pro Forma'!$G$9="Yes",ROUND((-(SUM(H14:H17)*'Part VII-Pro Forma'!$K$9)),),"Choose mgt fee")))</f>
        <v>-41266</v>
      </c>
      <c r="I21" s="21">
        <f>IF(AND('Part VII-Pro Forma'!$G$8="Yes",'Part VII-Pro Forma'!$G$9="Yes"),"Choose One!",IF('Part VII-Pro Forma'!$G$8="Yes",ROUND((-$K$8*(1+'Part VII-Pro Forma'!$B$6)^('Part VII-Pro Forma'!I13-1)),),IF('Part VII-Pro Forma'!$G$9="Yes",ROUND((-(SUM(I14:I17)*'Part VII-Pro Forma'!$K$9)),),"Choose mgt fee")))</f>
        <v>-42504</v>
      </c>
      <c r="J21" s="21">
        <f>IF(AND('Part VII-Pro Forma'!$G$8="Yes",'Part VII-Pro Forma'!$G$9="Yes"),"Choose One!",IF('Part VII-Pro Forma'!$G$8="Yes",ROUND((-$K$8*(1+'Part VII-Pro Forma'!$B$6)^('Part VII-Pro Forma'!J13-1)),),IF('Part VII-Pro Forma'!$G$9="Yes",ROUND((-(SUM(J14:J17)*'Part VII-Pro Forma'!$K$9)),),"Choose mgt fee")))</f>
        <v>-43780</v>
      </c>
      <c r="K21" s="22">
        <f>IF(AND('Part VII-Pro Forma'!$G$8="Yes",'Part VII-Pro Forma'!$G$9="Yes"),"Choose One!",IF('Part VII-Pro Forma'!$G$8="Yes",ROUND((-$K$8*(1+'Part VII-Pro Forma'!$B$6)^('Part VII-Pro Forma'!K13-1)),),IF('Part VII-Pro Forma'!$G$9="Yes",ROUND((-(SUM(K14:K17)*'Part VII-Pro Forma'!$K$9)),),"Choose mgt fee")))</f>
        <v>-45093</v>
      </c>
      <c r="N21" s="3388"/>
      <c r="O21" s="3390"/>
      <c r="Q21" s="61">
        <v>2</v>
      </c>
      <c r="R21" s="1092">
        <f>-SUM(B31:C31)</f>
        <v>77655</v>
      </c>
      <c r="S21" s="1092">
        <f>SUM(B32:C32)+R21</f>
        <v>78062.203340455308</v>
      </c>
    </row>
    <row r="22" spans="1:19" ht="13.2" customHeight="1">
      <c r="A22" s="20" t="s">
        <v>1202</v>
      </c>
      <c r="B22" s="21">
        <f>-('Part VI-Revenues &amp; Expenses'!$P$230)</f>
        <v>-18000</v>
      </c>
      <c r="C22" s="21">
        <f t="shared" ref="C22:K22" si="6">$B$22*(1+$B$7)^(C13-1)</f>
        <v>-18540</v>
      </c>
      <c r="D22" s="21">
        <f t="shared" si="6"/>
        <v>-19096.2</v>
      </c>
      <c r="E22" s="21">
        <f t="shared" si="6"/>
        <v>-19669.085999999999</v>
      </c>
      <c r="F22" s="21">
        <f t="shared" si="6"/>
        <v>-20259.158579999999</v>
      </c>
      <c r="G22" s="21">
        <f t="shared" si="6"/>
        <v>-20866.933337399998</v>
      </c>
      <c r="H22" s="21">
        <f t="shared" si="6"/>
        <v>-21492.941337521999</v>
      </c>
      <c r="I22" s="21">
        <f t="shared" si="6"/>
        <v>-22137.72957764766</v>
      </c>
      <c r="J22" s="21">
        <f t="shared" si="6"/>
        <v>-22801.861464977086</v>
      </c>
      <c r="K22" s="22">
        <f t="shared" si="6"/>
        <v>-23485.9173089264</v>
      </c>
      <c r="N22" s="3388"/>
      <c r="O22" s="3390"/>
      <c r="Q22" s="61">
        <v>3</v>
      </c>
      <c r="R22" s="1092">
        <f>-SUM(B31:D31)</f>
        <v>77655</v>
      </c>
      <c r="S22" s="1092">
        <f>SUM(B32:D32)+R22</f>
        <v>116243.82087004298</v>
      </c>
    </row>
    <row r="23" spans="1:19" ht="13.2" customHeight="1">
      <c r="A23" s="420" t="s">
        <v>4934</v>
      </c>
      <c r="B23" s="2663">
        <f>IF(B13&lt;=+'Part VI-Revenues &amp; Expenses'!$K$243,-'Part VI-Revenues &amp; Expenses'!$H$243,0)</f>
        <v>0</v>
      </c>
      <c r="C23" s="2663">
        <f>IF(C13&lt;=+'Part VI-Revenues &amp; Expenses'!$K$243,-'Part VI-Revenues &amp; Expenses'!$H$243,0)</f>
        <v>0</v>
      </c>
      <c r="D23" s="2663">
        <f>IF(D13&lt;=+'Part VI-Revenues &amp; Expenses'!$K$243,-'Part VI-Revenues &amp; Expenses'!$H$243,0)</f>
        <v>0</v>
      </c>
      <c r="E23" s="2663">
        <f>IF(E13&lt;=+'Part VI-Revenues &amp; Expenses'!$K$243,-'Part VI-Revenues &amp; Expenses'!$H$243,0)</f>
        <v>0</v>
      </c>
      <c r="F23" s="2663">
        <f>IF(F13&lt;=+'Part VI-Revenues &amp; Expenses'!$K$243,-'Part VI-Revenues &amp; Expenses'!$H$243,0)</f>
        <v>0</v>
      </c>
      <c r="G23" s="2663">
        <f>IF(G13&lt;=+'Part VI-Revenues &amp; Expenses'!$K$243,-'Part VI-Revenues &amp; Expenses'!$H$243,0)</f>
        <v>0</v>
      </c>
      <c r="H23" s="2663">
        <f>IF(H13&lt;=+'Part VI-Revenues &amp; Expenses'!$K$243,-'Part VI-Revenues &amp; Expenses'!$H$243,0)</f>
        <v>0</v>
      </c>
      <c r="I23" s="2663">
        <f>IF(I13&lt;=+'Part VI-Revenues &amp; Expenses'!$K$243,-'Part VI-Revenues &amp; Expenses'!$H$243,0)</f>
        <v>0</v>
      </c>
      <c r="J23" s="2663">
        <f>IF(J13&lt;=+'Part VI-Revenues &amp; Expenses'!$K$243,-'Part VI-Revenues &amp; Expenses'!$H$243,0)</f>
        <v>0</v>
      </c>
      <c r="K23" s="2663">
        <f>IF(K13&lt;=+'Part VI-Revenues &amp; Expenses'!$K$243,-'Part VI-Revenues &amp; Expenses'!$H$243,0)</f>
        <v>0</v>
      </c>
      <c r="N23" s="3388"/>
      <c r="O23" s="3390"/>
      <c r="Q23" s="971">
        <v>10</v>
      </c>
      <c r="R23" s="1092">
        <f>-SUM(B28:K28)</f>
        <v>0</v>
      </c>
      <c r="S23" s="1092">
        <f>SUM(B29:K29)+R23</f>
        <v>0</v>
      </c>
    </row>
    <row r="24" spans="1:19" ht="13.2" customHeight="1">
      <c r="A24" s="20" t="s">
        <v>1203</v>
      </c>
      <c r="B24" s="21">
        <f>SUM(B19:B23)</f>
        <v>164037.01839999994</v>
      </c>
      <c r="C24" s="21">
        <f t="shared" ref="C24:J24" si="7">SUM(C19:C23)</f>
        <v>163552.38876799989</v>
      </c>
      <c r="D24" s="21">
        <f t="shared" si="7"/>
        <v>162945.21944335994</v>
      </c>
      <c r="E24" s="21">
        <f t="shared" si="7"/>
        <v>162209.60201922723</v>
      </c>
      <c r="F24" s="21">
        <f t="shared" si="7"/>
        <v>161339.43759222172</v>
      </c>
      <c r="G24" s="21">
        <f t="shared" si="7"/>
        <v>160328.43018265456</v>
      </c>
      <c r="H24" s="21">
        <f t="shared" si="7"/>
        <v>159171.07994005352</v>
      </c>
      <c r="I24" s="21">
        <f t="shared" si="7"/>
        <v>157858.67612721285</v>
      </c>
      <c r="J24" s="21">
        <f t="shared" si="7"/>
        <v>156384.28987576632</v>
      </c>
      <c r="K24" s="2156">
        <f>SUM(K19:K23)</f>
        <v>154742.76670607092</v>
      </c>
      <c r="N24" s="3388"/>
      <c r="O24" s="3390"/>
      <c r="Q24" s="971">
        <v>4</v>
      </c>
      <c r="R24" s="1092">
        <f>-SUM(B31:E31)</f>
        <v>77655</v>
      </c>
      <c r="S24" s="1092">
        <f>SUM(B32:E32)+R24</f>
        <v>153689.82097549795</v>
      </c>
    </row>
    <row r="25" spans="1:19" ht="13.2" customHeight="1">
      <c r="A25" s="420" t="s">
        <v>1591</v>
      </c>
      <c r="B25" s="2664">
        <f>IF('Part III-Sources of Funds'!$P$38="", 0,-'Part III-Sources of Funds'!$P$38)</f>
        <v>-119763.60191377226</v>
      </c>
      <c r="C25" s="2664">
        <f>IF('Part III-Sources of Funds'!$P$38="", 0,-'Part III-Sources of Funds'!$P$38)</f>
        <v>-119763.60191377226</v>
      </c>
      <c r="D25" s="2664">
        <f>IF('Part III-Sources of Funds'!$P$38="", 0,-'Part III-Sources of Funds'!$P$38)</f>
        <v>-119763.60191377226</v>
      </c>
      <c r="E25" s="2664">
        <f>IF('Part III-Sources of Funds'!$P$38="", 0,-'Part III-Sources of Funds'!$P$38)</f>
        <v>-119763.60191377226</v>
      </c>
      <c r="F25" s="2664">
        <f>IF('Part III-Sources of Funds'!$P$38="", 0,-'Part III-Sources of Funds'!$P$38)</f>
        <v>-119763.60191377226</v>
      </c>
      <c r="G25" s="2664">
        <f>IF('Part III-Sources of Funds'!$P$38="", 0,-'Part III-Sources of Funds'!$P$38)</f>
        <v>-119763.60191377226</v>
      </c>
      <c r="H25" s="2664">
        <f>IF('Part III-Sources of Funds'!$P$38="", 0,-'Part III-Sources of Funds'!$P$38)</f>
        <v>-119763.60191377226</v>
      </c>
      <c r="I25" s="2664">
        <f>IF('Part III-Sources of Funds'!$P$38="", 0,-'Part III-Sources of Funds'!$P$38)</f>
        <v>-119763.60191377226</v>
      </c>
      <c r="J25" s="2664">
        <f>IF('Part III-Sources of Funds'!$P$38="", 0,-'Part III-Sources of Funds'!$P$38)</f>
        <v>-119763.60191377226</v>
      </c>
      <c r="K25" s="2664">
        <f>IF('Part III-Sources of Funds'!$P$38="", 0,-'Part III-Sources of Funds'!$P$38)</f>
        <v>-119763.60191377226</v>
      </c>
      <c r="N25" s="3388"/>
      <c r="O25" s="3390"/>
      <c r="Q25" s="971">
        <v>5</v>
      </c>
      <c r="R25" s="1092">
        <f>-SUM(B31:F31)</f>
        <v>77655</v>
      </c>
      <c r="S25" s="1092">
        <f>SUM(B32:F32)+R25</f>
        <v>190265.6566539474</v>
      </c>
    </row>
    <row r="26" spans="1:19" ht="13.2" customHeight="1">
      <c r="A26" s="420" t="s">
        <v>1592</v>
      </c>
      <c r="B26" s="2665">
        <f>IF('Part III-Sources of Funds'!$P$39="", 0,-'Part III-Sources of Funds'!$P$39)</f>
        <v>0</v>
      </c>
      <c r="C26" s="2665">
        <f>IF('Part III-Sources of Funds'!$P$39="", 0,-'Part III-Sources of Funds'!$P$39)</f>
        <v>0</v>
      </c>
      <c r="D26" s="2665">
        <f>IF('Part III-Sources of Funds'!$P$39="", 0,-'Part III-Sources of Funds'!$P$39)</f>
        <v>0</v>
      </c>
      <c r="E26" s="2665">
        <f>IF('Part III-Sources of Funds'!$P$39="", 0,-'Part III-Sources of Funds'!$P$39)</f>
        <v>0</v>
      </c>
      <c r="F26" s="2665">
        <f>IF('Part III-Sources of Funds'!$P$39="", 0,-'Part III-Sources of Funds'!$P$39)</f>
        <v>0</v>
      </c>
      <c r="G26" s="2665">
        <f>IF('Part III-Sources of Funds'!$P$39="", 0,-'Part III-Sources of Funds'!$P$39)</f>
        <v>0</v>
      </c>
      <c r="H26" s="2665">
        <f>IF('Part III-Sources of Funds'!$P$39="", 0,-'Part III-Sources of Funds'!$P$39)</f>
        <v>0</v>
      </c>
      <c r="I26" s="2665">
        <f>IF('Part III-Sources of Funds'!$P$39="", 0,-'Part III-Sources of Funds'!$P$39)</f>
        <v>0</v>
      </c>
      <c r="J26" s="2665">
        <f>IF('Part III-Sources of Funds'!$P$39="", 0,-'Part III-Sources of Funds'!$P$39)</f>
        <v>0</v>
      </c>
      <c r="K26" s="2665">
        <f>IF('Part III-Sources of Funds'!$P$39="", 0,-'Part III-Sources of Funds'!$P$39)</f>
        <v>0</v>
      </c>
      <c r="N26" s="3388"/>
      <c r="O26" s="3390"/>
      <c r="Q26" s="971">
        <v>6</v>
      </c>
      <c r="R26" s="1092">
        <f>-SUM(B31:G31)</f>
        <v>77655</v>
      </c>
      <c r="S26" s="1092">
        <f>SUM(B32:G32)+R26</f>
        <v>225830.4849228297</v>
      </c>
    </row>
    <row r="27" spans="1:19" ht="13.2" customHeight="1">
      <c r="A27" s="420" t="s">
        <v>1593</v>
      </c>
      <c r="B27" s="2665">
        <f>IF('Part III-Sources of Funds'!$P$40="", 0,-'Part III-Sources of Funds'!$P$40)</f>
        <v>0</v>
      </c>
      <c r="C27" s="2665">
        <f>IF('Part III-Sources of Funds'!$P$40="", 0,-'Part III-Sources of Funds'!$P$40)</f>
        <v>0</v>
      </c>
      <c r="D27" s="2665">
        <f>IF('Part III-Sources of Funds'!$P$40="", 0,-'Part III-Sources of Funds'!$P$40)</f>
        <v>0</v>
      </c>
      <c r="E27" s="2665">
        <f>IF('Part III-Sources of Funds'!$P$40="", 0,-'Part III-Sources of Funds'!$P$40)</f>
        <v>0</v>
      </c>
      <c r="F27" s="2665">
        <f>IF('Part III-Sources of Funds'!$P$40="", 0,-'Part III-Sources of Funds'!$P$40)</f>
        <v>0</v>
      </c>
      <c r="G27" s="2665">
        <f>IF('Part III-Sources of Funds'!$P$40="", 0,-'Part III-Sources of Funds'!$P$40)</f>
        <v>0</v>
      </c>
      <c r="H27" s="2665">
        <f>IF('Part III-Sources of Funds'!$P$40="", 0,-'Part III-Sources of Funds'!$P$40)</f>
        <v>0</v>
      </c>
      <c r="I27" s="2665">
        <f>IF('Part III-Sources of Funds'!$P$40="", 0,-'Part III-Sources of Funds'!$P$40)</f>
        <v>0</v>
      </c>
      <c r="J27" s="2665">
        <f>IF('Part III-Sources of Funds'!$P$40="", 0,-'Part III-Sources of Funds'!$P$40)</f>
        <v>0</v>
      </c>
      <c r="K27" s="2665">
        <f>IF('Part III-Sources of Funds'!$P$40="", 0,-'Part III-Sources of Funds'!$P$40)</f>
        <v>0</v>
      </c>
      <c r="N27" s="3388"/>
      <c r="O27" s="3390"/>
      <c r="Q27" s="971">
        <v>7</v>
      </c>
      <c r="R27" s="1092">
        <f>-SUM(B31:H31)</f>
        <v>77655</v>
      </c>
      <c r="S27" s="1092">
        <f>SUM(B32:H32)+R27</f>
        <v>260237.96294911095</v>
      </c>
    </row>
    <row r="28" spans="1:19" ht="13.2" customHeight="1">
      <c r="A28" s="420" t="s">
        <v>3847</v>
      </c>
      <c r="B28" s="2665">
        <f>IF('Part III-Sources of Funds'!$P$41="", 0,-'Part III-Sources of Funds'!$P$41)</f>
        <v>0</v>
      </c>
      <c r="C28" s="2665">
        <f>IF('Part III-Sources of Funds'!$P$41="", 0,-'Part III-Sources of Funds'!$P$41)</f>
        <v>0</v>
      </c>
      <c r="D28" s="2665">
        <f>IF('Part III-Sources of Funds'!$P$41="", 0,-'Part III-Sources of Funds'!$P$41)</f>
        <v>0</v>
      </c>
      <c r="E28" s="2665">
        <f>IF('Part III-Sources of Funds'!$P$41="", 0,-'Part III-Sources of Funds'!$P$41)</f>
        <v>0</v>
      </c>
      <c r="F28" s="2665">
        <f>IF('Part III-Sources of Funds'!$P$41="", 0,-'Part III-Sources of Funds'!$P$41)</f>
        <v>0</v>
      </c>
      <c r="G28" s="2665">
        <f>IF('Part III-Sources of Funds'!$P$41="", 0,-'Part III-Sources of Funds'!$P$41)</f>
        <v>0</v>
      </c>
      <c r="H28" s="2665">
        <f>IF('Part III-Sources of Funds'!$P$41="", 0,-'Part III-Sources of Funds'!$P$41)</f>
        <v>0</v>
      </c>
      <c r="I28" s="2665">
        <f>IF('Part III-Sources of Funds'!$P$41="", 0,-'Part III-Sources of Funds'!$P$41)</f>
        <v>0</v>
      </c>
      <c r="J28" s="2665">
        <f>IF('Part III-Sources of Funds'!$P$41="", 0,-'Part III-Sources of Funds'!$P$41)</f>
        <v>0</v>
      </c>
      <c r="K28" s="2665">
        <f>IF('Part III-Sources of Funds'!$P$41="", 0,-'Part III-Sources of Funds'!$P$41)</f>
        <v>0</v>
      </c>
      <c r="N28" s="3388"/>
      <c r="O28" s="3390"/>
      <c r="Q28" s="971">
        <v>8</v>
      </c>
      <c r="R28" s="1092">
        <f>-SUM(B31:I31)</f>
        <v>77655</v>
      </c>
      <c r="S28" s="1092">
        <f>SUM(B32:I32)+R28</f>
        <v>293333.03716255154</v>
      </c>
    </row>
    <row r="29" spans="1:19" ht="13.2" customHeight="1">
      <c r="A29" s="20" t="s">
        <v>763</v>
      </c>
      <c r="B29" s="2666"/>
      <c r="C29" s="2666"/>
      <c r="D29" s="2666"/>
      <c r="E29" s="2666"/>
      <c r="F29" s="2666"/>
      <c r="G29" s="2666"/>
      <c r="H29" s="2666"/>
      <c r="I29" s="2666"/>
      <c r="J29" s="2666"/>
      <c r="K29" s="2666"/>
      <c r="N29" s="3388"/>
      <c r="O29" s="3390"/>
      <c r="Q29" s="971">
        <v>9</v>
      </c>
      <c r="R29" s="1092">
        <f>-SUM(B31:J31)</f>
        <v>77655</v>
      </c>
      <c r="S29" s="1092">
        <f>SUM(B32:J32)+R29</f>
        <v>324953.72512454563</v>
      </c>
    </row>
    <row r="30" spans="1:19" ht="13.2" customHeight="1">
      <c r="A30" s="420" t="s">
        <v>1163</v>
      </c>
      <c r="B30" s="2667">
        <f>-$G$5</f>
        <v>-5000</v>
      </c>
      <c r="C30" s="2667">
        <f t="shared" ref="C30:K30" si="8">+B30</f>
        <v>-5000</v>
      </c>
      <c r="D30" s="2667">
        <f t="shared" si="8"/>
        <v>-5000</v>
      </c>
      <c r="E30" s="2667">
        <f t="shared" si="8"/>
        <v>-5000</v>
      </c>
      <c r="F30" s="2667">
        <f t="shared" si="8"/>
        <v>-5000</v>
      </c>
      <c r="G30" s="2667">
        <f t="shared" si="8"/>
        <v>-5000</v>
      </c>
      <c r="H30" s="2667">
        <f t="shared" si="8"/>
        <v>-5000</v>
      </c>
      <c r="I30" s="2667">
        <f t="shared" si="8"/>
        <v>-5000</v>
      </c>
      <c r="J30" s="2667">
        <f t="shared" si="8"/>
        <v>-5000</v>
      </c>
      <c r="K30" s="2667">
        <f t="shared" si="8"/>
        <v>-5000</v>
      </c>
      <c r="N30" s="3388"/>
      <c r="O30" s="3390"/>
      <c r="Q30" s="971">
        <v>10</v>
      </c>
      <c r="R30" s="1092">
        <f>-SUM(B31:K31)</f>
        <v>77655</v>
      </c>
      <c r="S30" s="1092">
        <f>SUM(B32:K32)+R30</f>
        <v>354932.88991684426</v>
      </c>
    </row>
    <row r="31" spans="1:19" ht="13.2" customHeight="1">
      <c r="A31" s="420" t="s">
        <v>4078</v>
      </c>
      <c r="B31" s="2668">
        <v>-39273</v>
      </c>
      <c r="C31" s="2668">
        <v>-38382</v>
      </c>
      <c r="D31" s="2668">
        <f>IF('Part III-Sources of Funds'!$P$43="", 0,-'Part III-Sources of Funds'!$P$43)</f>
        <v>0</v>
      </c>
      <c r="E31" s="2668">
        <f>IF('Part III-Sources of Funds'!$P$43="", 0,-'Part III-Sources of Funds'!$P$43)</f>
        <v>0</v>
      </c>
      <c r="F31" s="2668">
        <f>IF('Part III-Sources of Funds'!$P$43="", 0,-'Part III-Sources of Funds'!$P$43)</f>
        <v>0</v>
      </c>
      <c r="G31" s="2668">
        <f>IF('Part III-Sources of Funds'!$P$43="", 0,-'Part III-Sources of Funds'!$P$43)</f>
        <v>0</v>
      </c>
      <c r="H31" s="2668">
        <f>IF('Part III-Sources of Funds'!$P$43="", 0,-'Part III-Sources of Funds'!$P$43)</f>
        <v>0</v>
      </c>
      <c r="I31" s="2668">
        <f>IF('Part III-Sources of Funds'!$P$43="", 0,-'Part III-Sources of Funds'!$P$43)</f>
        <v>0</v>
      </c>
      <c r="J31" s="2668">
        <f>IF('Part III-Sources of Funds'!$P$43="", 0,-'Part III-Sources of Funds'!$P$43)</f>
        <v>0</v>
      </c>
      <c r="K31" s="2668">
        <f>IF('Part III-Sources of Funds'!$P$43="", 0,-'Part III-Sources of Funds'!$P$43)</f>
        <v>0</v>
      </c>
      <c r="N31" s="3388"/>
      <c r="O31" s="3390"/>
      <c r="Q31" s="971">
        <v>11</v>
      </c>
      <c r="R31" s="1092">
        <f>-SUM(B31:K31)-B63</f>
        <v>77655</v>
      </c>
      <c r="S31" s="1092">
        <f>SUM(B32:K32)+B64+R31</f>
        <v>383094.0068070374</v>
      </c>
    </row>
    <row r="32" spans="1:19" ht="13.2" customHeight="1">
      <c r="A32" s="20" t="s">
        <v>1164</v>
      </c>
      <c r="B32" s="21">
        <f t="shared" ref="B32:K32" si="9">SUM(B24:B31)</f>
        <v>0.41648622768116184</v>
      </c>
      <c r="C32" s="21">
        <f t="shared" si="9"/>
        <v>406.78685422762646</v>
      </c>
      <c r="D32" s="21">
        <f t="shared" si="9"/>
        <v>38181.617529587675</v>
      </c>
      <c r="E32" s="21">
        <f t="shared" si="9"/>
        <v>37446.000105454965</v>
      </c>
      <c r="F32" s="21">
        <f t="shared" si="9"/>
        <v>36575.835678449454</v>
      </c>
      <c r="G32" s="21">
        <f t="shared" si="9"/>
        <v>35564.828268882295</v>
      </c>
      <c r="H32" s="21">
        <f t="shared" si="9"/>
        <v>34407.478026281256</v>
      </c>
      <c r="I32" s="21">
        <f t="shared" si="9"/>
        <v>33095.074213440588</v>
      </c>
      <c r="J32" s="21">
        <f t="shared" si="9"/>
        <v>31620.687961994059</v>
      </c>
      <c r="K32" s="22">
        <f t="shared" si="9"/>
        <v>29979.164792298659</v>
      </c>
      <c r="N32" s="3388"/>
      <c r="O32" s="3390"/>
      <c r="Q32" s="971">
        <v>12</v>
      </c>
      <c r="R32" s="1092">
        <f>-SUM(B31:K31) - SUM(B63:C63)</f>
        <v>77655</v>
      </c>
      <c r="S32" s="1092">
        <f>SUM(B32:K32) + SUM(B64:C64)+R32</f>
        <v>409253.92193999584</v>
      </c>
    </row>
    <row r="33" spans="1:19" ht="13.2" customHeight="1">
      <c r="A33" s="20" t="str">
        <f>IF('Part III-Sources of Funds'!$E$38 = "Neither", "", "DCR Mortgage A")</f>
        <v>DCR Mortgage A</v>
      </c>
      <c r="B33" s="23">
        <f t="shared" ref="B33:K33" si="10">IF(B25=0,"",-B24/B25)</f>
        <v>1.3696733880641281</v>
      </c>
      <c r="C33" s="23">
        <f t="shared" si="10"/>
        <v>1.3656268361547343</v>
      </c>
      <c r="D33" s="23">
        <f t="shared" si="10"/>
        <v>1.360557104492212</v>
      </c>
      <c r="E33" s="23">
        <f t="shared" si="10"/>
        <v>1.3544148591657703</v>
      </c>
      <c r="F33" s="23">
        <f t="shared" si="10"/>
        <v>1.347149175660092</v>
      </c>
      <c r="G33" s="23">
        <f t="shared" si="10"/>
        <v>1.3387074839155912</v>
      </c>
      <c r="H33" s="23">
        <f t="shared" si="10"/>
        <v>1.3290438613783007</v>
      </c>
      <c r="I33" s="23">
        <f t="shared" si="10"/>
        <v>1.3180855752891298</v>
      </c>
      <c r="J33" s="23">
        <f t="shared" si="10"/>
        <v>1.305774771105835</v>
      </c>
      <c r="K33" s="24">
        <f t="shared" si="10"/>
        <v>1.2920684100456752</v>
      </c>
      <c r="N33" s="3388"/>
      <c r="O33" s="3390"/>
      <c r="Q33" s="971">
        <v>13</v>
      </c>
      <c r="R33" s="1092">
        <f>-SUM(B31:K31) - SUM(B63:D63)</f>
        <v>77655</v>
      </c>
      <c r="S33" s="1092">
        <f>SUM(B32:K32) + SUM(B64:D64)+R33</f>
        <v>433220.60279657599</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88"/>
      <c r="O34" s="3390"/>
      <c r="Q34" s="971">
        <v>14</v>
      </c>
      <c r="R34" s="1092">
        <f>-SUM(B31:K31) - SUM(B63:E63)</f>
        <v>77655</v>
      </c>
      <c r="S34" s="1092">
        <f>SUM(B32:K32) + SUM(B64:E64)+R34</f>
        <v>454792.88015273056</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88"/>
      <c r="O35" s="3390"/>
      <c r="Q35" s="971">
        <v>15</v>
      </c>
      <c r="R35" s="1092">
        <f>-SUM(B31:K31) - SUM(B63:F63)</f>
        <v>77655</v>
      </c>
      <c r="S35" s="1092">
        <f>SUM(B32:K32) + SUM(B64:F64)+R35</f>
        <v>473763.18126377609</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88"/>
      <c r="O36" s="3390"/>
      <c r="Q36" s="61">
        <v>16</v>
      </c>
      <c r="R36" s="1092">
        <f>-SUM(B31:K31) - SUM(B63:G63)</f>
        <v>77655</v>
      </c>
      <c r="S36" s="1092">
        <f>SUM(B32:K32) + SUM(B64:G64)+R36</f>
        <v>489913.25398989499</v>
      </c>
    </row>
    <row r="37" spans="1:19" ht="13.2" customHeight="1">
      <c r="A37" s="420" t="s">
        <v>3710</v>
      </c>
      <c r="B37" s="23">
        <f t="shared" ref="B37:K37" si="14">IF(AND(B25=0,B26=0,B27=0,B28=0),"",-B24/(B25+B26+B27+B28))</f>
        <v>1.3696733880641281</v>
      </c>
      <c r="C37" s="23">
        <f t="shared" si="14"/>
        <v>1.3656268361547343</v>
      </c>
      <c r="D37" s="23">
        <f t="shared" si="14"/>
        <v>1.360557104492212</v>
      </c>
      <c r="E37" s="23">
        <f t="shared" si="14"/>
        <v>1.3544148591657703</v>
      </c>
      <c r="F37" s="23">
        <f t="shared" si="14"/>
        <v>1.347149175660092</v>
      </c>
      <c r="G37" s="23">
        <f t="shared" si="14"/>
        <v>1.3387074839155912</v>
      </c>
      <c r="H37" s="23">
        <f t="shared" si="14"/>
        <v>1.3290438613783007</v>
      </c>
      <c r="I37" s="23">
        <f t="shared" si="14"/>
        <v>1.3180855752891298</v>
      </c>
      <c r="J37" s="23">
        <f t="shared" si="14"/>
        <v>1.305774771105835</v>
      </c>
      <c r="K37" s="24">
        <f t="shared" si="14"/>
        <v>1.2920684100456752</v>
      </c>
      <c r="N37" s="3388"/>
      <c r="O37" s="3390"/>
      <c r="Q37" s="61">
        <v>17</v>
      </c>
      <c r="R37" s="1092">
        <f>-SUM(B31:K31) - SUM(B63:H63)</f>
        <v>77655</v>
      </c>
      <c r="S37" s="1092">
        <f>SUM(B32:K32) + SUM(B64:H64)+R37</f>
        <v>503014.88157002639</v>
      </c>
    </row>
    <row r="38" spans="1:19" ht="13.2" customHeight="1">
      <c r="A38" s="20" t="s">
        <v>770</v>
      </c>
      <c r="B38" s="266">
        <f t="shared" ref="B38:K38" si="15">IF(OR(B21="Choose mgt fee",B21="Choose One!"),"",(B14+B15+B16+B17+B18) / -(B20+B21+B22))</f>
        <v>1.4356696202296308</v>
      </c>
      <c r="C38" s="266">
        <f t="shared" si="15"/>
        <v>1.4217303470224065</v>
      </c>
      <c r="D38" s="266">
        <f t="shared" si="15"/>
        <v>1.4079268225477397</v>
      </c>
      <c r="E38" s="266">
        <f t="shared" si="15"/>
        <v>1.3942574606556435</v>
      </c>
      <c r="F38" s="266">
        <f t="shared" si="15"/>
        <v>1.3807208175472523</v>
      </c>
      <c r="G38" s="266">
        <f t="shared" si="15"/>
        <v>1.3673155731133801</v>
      </c>
      <c r="H38" s="266">
        <f t="shared" si="15"/>
        <v>1.3540435258338532</v>
      </c>
      <c r="I38" s="266">
        <f t="shared" si="15"/>
        <v>1.3408974142713466</v>
      </c>
      <c r="J38" s="266">
        <f t="shared" si="15"/>
        <v>1.3278765428169315</v>
      </c>
      <c r="K38" s="267">
        <f t="shared" si="15"/>
        <v>1.3149856082300713</v>
      </c>
      <c r="N38" s="3388"/>
      <c r="O38" s="3390"/>
      <c r="Q38" s="61">
        <v>18</v>
      </c>
      <c r="R38" s="1092">
        <f>-SUM(B31:K31) - SUM(B63:I63)</f>
        <v>77655</v>
      </c>
      <c r="S38" s="1092">
        <f>SUM(B32:K32) + SUM(B64:I64)+R38</f>
        <v>512832.58774208708</v>
      </c>
    </row>
    <row r="39" spans="1:19" ht="13.2" customHeight="1">
      <c r="A39" s="420" t="s">
        <v>2617</v>
      </c>
      <c r="B39" s="2669">
        <f>IF('Part III-Sources of Funds'!$I$38="","",-FV('Part III-Sources of Funds'!$K$38/12,12,B25/12,'Part III-Sources of Funds'!$I$38))</f>
        <v>1686092.4896486134</v>
      </c>
      <c r="C39" s="2669">
        <f>IF('Part III-Sources of Funds'!$I$38="","",-FV('Part III-Sources of Funds'!$K$38/12,12,C25/12,B39))</f>
        <v>1671290.4229947689</v>
      </c>
      <c r="D39" s="2669">
        <f>IF('Part III-Sources of Funds'!$I$38="","",-FV('Part III-Sources of Funds'!$K$38/12,12,D25/12,C39))</f>
        <v>1655536.2605538252</v>
      </c>
      <c r="E39" s="2669">
        <f>IF('Part III-Sources of Funds'!$I$38="","",-FV('Part III-Sources of Funds'!$K$38/12,12,E25/12,D39))</f>
        <v>1638768.7617970766</v>
      </c>
      <c r="F39" s="2669">
        <f>IF('Part III-Sources of Funds'!$I$38="","",-FV('Part III-Sources of Funds'!$K$38/12,12,F25/12,E39))</f>
        <v>1620922.7470938843</v>
      </c>
      <c r="G39" s="2669">
        <f>IF('Part III-Sources of Funds'!$I$38="","",-FV('Part III-Sources of Funds'!$K$38/12,12,G25/12,F39))</f>
        <v>1601928.8443414911</v>
      </c>
      <c r="H39" s="2669">
        <f>IF('Part III-Sources of Funds'!$I$38="","",-FV('Part III-Sources of Funds'!$K$38/12,12,H25/12,G39))</f>
        <v>1581713.2192976074</v>
      </c>
      <c r="I39" s="2669">
        <f>IF('Part III-Sources of Funds'!$I$38="","",-FV('Part III-Sources of Funds'!$K$38/12,12,I25/12,H39))</f>
        <v>1560197.2885674995</v>
      </c>
      <c r="J39" s="2669">
        <f>IF('Part III-Sources of Funds'!$I$38="","",-FV('Part III-Sources of Funds'!$K$38/12,12,J25/12,I39))</f>
        <v>1537297.4141298865</v>
      </c>
      <c r="K39" s="2669">
        <f>IF('Part III-Sources of Funds'!$I$38="","",-FV('Part III-Sources of Funds'!$K$38/12,12,K25/12,J39))</f>
        <v>1512924.5782141888</v>
      </c>
      <c r="N39" s="3388"/>
      <c r="O39" s="3390"/>
      <c r="Q39" s="971">
        <v>19</v>
      </c>
      <c r="R39" s="1092">
        <f>-SUM(B31:K31) - SUM(B63:J63)</f>
        <v>77655</v>
      </c>
      <c r="S39" s="1092">
        <f>SUM(B32:K32) + SUM(B64:J64)+R39</f>
        <v>519118.33189797675</v>
      </c>
    </row>
    <row r="40" spans="1:19" ht="13.2" customHeight="1">
      <c r="A40" s="420" t="s">
        <v>2618</v>
      </c>
      <c r="B40" s="2665" t="str">
        <f>IF('Part III-Sources of Funds'!$I$39="","",-FV('Part III-Sources of Funds'!$K$39/12,12,B26/12,'Part III-Sources of Funds'!$I$39))</f>
        <v/>
      </c>
      <c r="C40" s="2665" t="str">
        <f>IF('Part III-Sources of Funds'!$I$39="","",-FV('Part III-Sources of Funds'!$K$39/12,12,C26/12,B40))</f>
        <v/>
      </c>
      <c r="D40" s="2665" t="str">
        <f>IF('Part III-Sources of Funds'!$I$39="","",-FV('Part III-Sources of Funds'!$K$39/12,12,D26/12,C40))</f>
        <v/>
      </c>
      <c r="E40" s="2665" t="str">
        <f>IF('Part III-Sources of Funds'!$I$39="","",-FV('Part III-Sources of Funds'!$K$39/12,12,E26/12,D40))</f>
        <v/>
      </c>
      <c r="F40" s="2665" t="str">
        <f>IF('Part III-Sources of Funds'!$I$39="","",-FV('Part III-Sources of Funds'!$K$39/12,12,F26/12,E40))</f>
        <v/>
      </c>
      <c r="G40" s="2665" t="str">
        <f>IF('Part III-Sources of Funds'!$I$39="","",-FV('Part III-Sources of Funds'!$K$39/12,12,G26/12,F40))</f>
        <v/>
      </c>
      <c r="H40" s="2665" t="str">
        <f>IF('Part III-Sources of Funds'!$I$39="","",-FV('Part III-Sources of Funds'!$K$39/12,12,H26/12,G40))</f>
        <v/>
      </c>
      <c r="I40" s="2665" t="str">
        <f>IF('Part III-Sources of Funds'!$I$39="","",-FV('Part III-Sources of Funds'!$K$39/12,12,I26/12,H40))</f>
        <v/>
      </c>
      <c r="J40" s="2665" t="str">
        <f>IF('Part III-Sources of Funds'!$I$39="","",-FV('Part III-Sources of Funds'!$K$39/12,12,J26/12,I40))</f>
        <v/>
      </c>
      <c r="K40" s="2665" t="str">
        <f>IF('Part III-Sources of Funds'!$I$39="","",-FV('Part III-Sources of Funds'!$K$39/12,12,K26/12,J40))</f>
        <v/>
      </c>
      <c r="N40" s="3388"/>
      <c r="O40" s="3390"/>
      <c r="Q40" s="971">
        <v>20</v>
      </c>
      <c r="R40" s="1092">
        <f>-SUM(B31:K31) - SUM(B63:K63)</f>
        <v>77655</v>
      </c>
      <c r="S40" s="1092">
        <f>SUM(B32:K32) + SUM(B64:K64)+R40</f>
        <v>521615.19395203551</v>
      </c>
    </row>
    <row r="41" spans="1:19" ht="13.2" customHeight="1">
      <c r="A41" s="420" t="s">
        <v>2619</v>
      </c>
      <c r="B41" s="2665" t="str">
        <f>IF('Part III-Sources of Funds'!$I$40="","",-FV('Part III-Sources of Funds'!$K$40/12,12,B27/12,'Part III-Sources of Funds'!$I$40))</f>
        <v/>
      </c>
      <c r="C41" s="2665" t="str">
        <f>IF('Part III-Sources of Funds'!$I$40="","",-FV('Part III-Sources of Funds'!$K$40/12,12,C27/12,B41))</f>
        <v/>
      </c>
      <c r="D41" s="2665" t="str">
        <f>IF('Part III-Sources of Funds'!$I$40="","",-FV('Part III-Sources of Funds'!$K$40/12,12,D27/12,C41))</f>
        <v/>
      </c>
      <c r="E41" s="2665" t="str">
        <f>IF('Part III-Sources of Funds'!$I$40="","",-FV('Part III-Sources of Funds'!$K$40/12,12,E27/12,D41))</f>
        <v/>
      </c>
      <c r="F41" s="2665" t="str">
        <f>IF('Part III-Sources of Funds'!$I$40="","",-FV('Part III-Sources of Funds'!$K$40/12,12,F27/12,E41))</f>
        <v/>
      </c>
      <c r="G41" s="2665" t="str">
        <f>IF('Part III-Sources of Funds'!$I$40="","",-FV('Part III-Sources of Funds'!$K$40/12,12,G27/12,F41))</f>
        <v/>
      </c>
      <c r="H41" s="2665" t="str">
        <f>IF('Part III-Sources of Funds'!$I$40="","",-FV('Part III-Sources of Funds'!$K$40/12,12,H27/12,G41))</f>
        <v/>
      </c>
      <c r="I41" s="2665" t="str">
        <f>IF('Part III-Sources of Funds'!$I$40="","",-FV('Part III-Sources of Funds'!$K$40/12,12,I27/12,H41))</f>
        <v/>
      </c>
      <c r="J41" s="2665" t="str">
        <f>IF('Part III-Sources of Funds'!$I$40="","",-FV('Part III-Sources of Funds'!$K$40/12,12,J27/12,I41))</f>
        <v/>
      </c>
      <c r="K41" s="2665" t="str">
        <f>IF('Part III-Sources of Funds'!$I$40="","",-FV('Part III-Sources of Funds'!$K$40/12,12,K27/12,J41))</f>
        <v/>
      </c>
      <c r="N41" s="3388"/>
      <c r="O41" s="3390"/>
    </row>
    <row r="42" spans="1:19" ht="13.2" customHeight="1">
      <c r="A42" s="20" t="s">
        <v>784</v>
      </c>
      <c r="B42" s="2665" t="str">
        <f>IF('Part III-Sources of Funds'!$I$41="","",-FV('Part III-Sources of Funds'!$K$41/12,12,B28/12,'Part III-Sources of Funds'!$I$41))</f>
        <v/>
      </c>
      <c r="C42" s="2665" t="str">
        <f>IF('Part III-Sources of Funds'!$I$41="","",-FV('Part III-Sources of Funds'!$K$41/12,12,C28/12,B42))</f>
        <v/>
      </c>
      <c r="D42" s="2665" t="str">
        <f>IF('Part III-Sources of Funds'!$I$41="","",-FV('Part III-Sources of Funds'!$K$41/12,12,D28/12,C42))</f>
        <v/>
      </c>
      <c r="E42" s="2665" t="str">
        <f>IF('Part III-Sources of Funds'!$I$41="","",-FV('Part III-Sources of Funds'!$K$41/12,12,E28/12,D42))</f>
        <v/>
      </c>
      <c r="F42" s="2665" t="str">
        <f>IF('Part III-Sources of Funds'!$I$41="","",-FV('Part III-Sources of Funds'!$K$41/12,12,F28/12,E42))</f>
        <v/>
      </c>
      <c r="G42" s="2665" t="str">
        <f>IF('Part III-Sources of Funds'!$I$41="","",-FV('Part III-Sources of Funds'!$K$41/12,12,G28/12,F42))</f>
        <v/>
      </c>
      <c r="H42" s="2665" t="str">
        <f>IF('Part III-Sources of Funds'!$I$41="","",-FV('Part III-Sources of Funds'!$K$41/12,12,H28/12,G42))</f>
        <v/>
      </c>
      <c r="I42" s="2665" t="str">
        <f>IF('Part III-Sources of Funds'!$I$41="","",-FV('Part III-Sources of Funds'!$K$41/12,12,I28/12,H42))</f>
        <v/>
      </c>
      <c r="J42" s="2665" t="str">
        <f>IF('Part III-Sources of Funds'!$I$41="","",-FV('Part III-Sources of Funds'!$K$41/12,12,J28/12,I42))</f>
        <v/>
      </c>
      <c r="K42" s="2665" t="str">
        <f>IF('Part III-Sources of Funds'!$I$41="","",-FV('Part III-Sources of Funds'!$K$41/12,12,K28/12,J42))</f>
        <v/>
      </c>
      <c r="N42" s="3388"/>
      <c r="O42" s="3390"/>
    </row>
    <row r="43" spans="1:19" ht="13.2" customHeight="1">
      <c r="A43" s="420" t="s">
        <v>4079</v>
      </c>
      <c r="B43" s="2668">
        <f>IF('Part III-Sources of Funds'!$I$43="","",-FV('Part III-Sources of Funds'!$K$43/12,12,B31/12,'Part III-Sources of Funds'!$I$43))</f>
        <v>38382</v>
      </c>
      <c r="C43" s="2668">
        <f>IF('Part III-Sources of Funds'!$I$43="","",IF(-FV('Part III-Sources of Funds'!$K$43/12,12,C31/12,B43)&gt;0,-FV('Part III-Sources of Funds'!$K$43/12,12,C31/12,B43),0))</f>
        <v>0</v>
      </c>
      <c r="D43" s="2668">
        <f>IF('Part III-Sources of Funds'!$I$43="","",IF(-FV('Part III-Sources of Funds'!$K$43/12,12,D31/12,C43)&gt;0,-FV('Part III-Sources of Funds'!$K$43/12,12,D31/12,C43),0))</f>
        <v>0</v>
      </c>
      <c r="E43" s="2668">
        <f>IF('Part III-Sources of Funds'!$I$43="","",IF(-FV('Part III-Sources of Funds'!$K$43/12,12,E31/12,D43)&gt;0,-FV('Part III-Sources of Funds'!$K$43/12,12,E31/12,D43),0))</f>
        <v>0</v>
      </c>
      <c r="F43" s="2668">
        <f>IF('Part III-Sources of Funds'!$I$43="","",IF(-FV('Part III-Sources of Funds'!$K$43/12,12,F31/12,E43)&gt;0,-FV('Part III-Sources of Funds'!$K$43/12,12,F31/12,E43),0))</f>
        <v>0</v>
      </c>
      <c r="G43" s="2668">
        <f>IF('Part III-Sources of Funds'!$I$43="","",IF(-FV('Part III-Sources of Funds'!$K$43/12,12,G31/12,F43)&gt;0,-FV('Part III-Sources of Funds'!$K$43/12,12,G31/12,F43),0))</f>
        <v>0</v>
      </c>
      <c r="H43" s="2668">
        <f>IF('Part III-Sources of Funds'!$I$43="","",IF(-FV('Part III-Sources of Funds'!$K$43/12,12,H31/12,G43)&gt;0,-FV('Part III-Sources of Funds'!$K$43/12,12,H31/12,G43),0))</f>
        <v>0</v>
      </c>
      <c r="I43" s="2668">
        <f>IF('Part III-Sources of Funds'!$I$43="","",IF(-FV('Part III-Sources of Funds'!$K$43/12,12,I31/12,H43)&gt;0,-FV('Part III-Sources of Funds'!$K$43/12,12,I31/12,H43),0))</f>
        <v>0</v>
      </c>
      <c r="J43" s="2668">
        <f>IF('Part III-Sources of Funds'!$I$43="","",IF(-FV('Part III-Sources of Funds'!$K$43/12,12,J31/12,I43)&gt;0,-FV('Part III-Sources of Funds'!$K$43/12,12,J31/12,I43),0))</f>
        <v>0</v>
      </c>
      <c r="K43" s="2668">
        <f>IF('Part III-Sources of Funds'!$I$43="","",IF(-FV('Part III-Sources of Funds'!$K$43/12,12,K31/12,J43)&gt;0,-FV('Part III-Sources of Funds'!$K$43/12,12,K31/12,J43),0))</f>
        <v>0</v>
      </c>
      <c r="N43" s="3392"/>
      <c r="O43" s="3394"/>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7" t="s">
        <v>2622</v>
      </c>
      <c r="O45" s="3107"/>
    </row>
    <row r="46" spans="1:19" ht="13.2" customHeight="1">
      <c r="A46" s="17" t="s">
        <v>2404</v>
      </c>
      <c r="B46" s="18">
        <f t="shared" ref="B46:K46" si="17">$B$14*(1+$B$5)^(B45-1)</f>
        <v>694636.65626749233</v>
      </c>
      <c r="C46" s="18">
        <f t="shared" si="17"/>
        <v>708529.38939284207</v>
      </c>
      <c r="D46" s="18">
        <f t="shared" si="17"/>
        <v>722699.977180699</v>
      </c>
      <c r="E46" s="18">
        <f t="shared" si="17"/>
        <v>737153.97672431299</v>
      </c>
      <c r="F46" s="18">
        <f t="shared" si="17"/>
        <v>751897.05625879928</v>
      </c>
      <c r="G46" s="18">
        <f t="shared" si="17"/>
        <v>766934.99738397507</v>
      </c>
      <c r="H46" s="18">
        <f t="shared" si="17"/>
        <v>782273.69733165472</v>
      </c>
      <c r="I46" s="18">
        <f t="shared" si="17"/>
        <v>797919.17127828789</v>
      </c>
      <c r="J46" s="18">
        <f t="shared" si="17"/>
        <v>813877.55470385356</v>
      </c>
      <c r="K46" s="19">
        <f t="shared" si="17"/>
        <v>830155.10579793062</v>
      </c>
      <c r="N46" s="3383"/>
      <c r="O46" s="3385"/>
    </row>
    <row r="47" spans="1:19" ht="13.2" customHeight="1">
      <c r="A47" s="20" t="s">
        <v>1016</v>
      </c>
      <c r="B47" s="21">
        <f t="shared" ref="B47:K47" si="18">$B$15*(1+$B$5)^(B45-1)</f>
        <v>13892.733125349849</v>
      </c>
      <c r="C47" s="21">
        <f t="shared" si="18"/>
        <v>14170.587787856843</v>
      </c>
      <c r="D47" s="21">
        <f t="shared" si="18"/>
        <v>14453.999543613982</v>
      </c>
      <c r="E47" s="21">
        <f t="shared" si="18"/>
        <v>14743.079534486262</v>
      </c>
      <c r="F47" s="21">
        <f t="shared" si="18"/>
        <v>15037.941125175988</v>
      </c>
      <c r="G47" s="21">
        <f t="shared" si="18"/>
        <v>15338.699947679503</v>
      </c>
      <c r="H47" s="21">
        <f t="shared" si="18"/>
        <v>15645.473946633096</v>
      </c>
      <c r="I47" s="21">
        <f t="shared" si="18"/>
        <v>15958.383425565758</v>
      </c>
      <c r="J47" s="21">
        <f t="shared" si="18"/>
        <v>16277.551094077073</v>
      </c>
      <c r="K47" s="22">
        <f t="shared" si="18"/>
        <v>16603.102115958613</v>
      </c>
      <c r="N47" s="3388"/>
      <c r="O47" s="3390"/>
    </row>
    <row r="48" spans="1:19" ht="13.2" customHeight="1">
      <c r="A48" s="20" t="s">
        <v>2405</v>
      </c>
      <c r="B48" s="21">
        <f t="shared" ref="B48:K48" si="19">-(B46+B47)*$B$8</f>
        <v>-49597.057257498956</v>
      </c>
      <c r="C48" s="21">
        <f t="shared" si="19"/>
        <v>-50588.998402648926</v>
      </c>
      <c r="D48" s="21">
        <f t="shared" si="19"/>
        <v>-51600.778370701912</v>
      </c>
      <c r="E48" s="21">
        <f t="shared" si="19"/>
        <v>-52632.793938115952</v>
      </c>
      <c r="F48" s="21">
        <f t="shared" si="19"/>
        <v>-53685.449816878274</v>
      </c>
      <c r="G48" s="21">
        <f t="shared" si="19"/>
        <v>-54759.158813215829</v>
      </c>
      <c r="H48" s="21">
        <f t="shared" si="19"/>
        <v>-55854.341989480148</v>
      </c>
      <c r="I48" s="21">
        <f t="shared" si="19"/>
        <v>-56971.42882926976</v>
      </c>
      <c r="J48" s="21">
        <f t="shared" si="19"/>
        <v>-58110.857405855146</v>
      </c>
      <c r="K48" s="22">
        <f t="shared" si="19"/>
        <v>-59273.074553972248</v>
      </c>
      <c r="N48" s="3388"/>
      <c r="O48" s="3390"/>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88"/>
      <c r="O49" s="3390"/>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88"/>
      <c r="O50" s="3390"/>
    </row>
    <row r="51" spans="1:19" ht="13.2" customHeight="1">
      <c r="A51" s="420" t="s">
        <v>4935</v>
      </c>
      <c r="B51" s="21">
        <f t="shared" ref="B51:K51" si="20">SUM(B46:B50)</f>
        <v>658932.33213534323</v>
      </c>
      <c r="C51" s="21">
        <f t="shared" si="20"/>
        <v>672110.97877804993</v>
      </c>
      <c r="D51" s="21">
        <f t="shared" si="20"/>
        <v>685553.19835361105</v>
      </c>
      <c r="E51" s="21">
        <f t="shared" si="20"/>
        <v>699264.26232068334</v>
      </c>
      <c r="F51" s="21">
        <f t="shared" si="20"/>
        <v>713249.547567097</v>
      </c>
      <c r="G51" s="21">
        <f t="shared" si="20"/>
        <v>727514.53851843881</v>
      </c>
      <c r="H51" s="21">
        <f t="shared" si="20"/>
        <v>742064.82928880758</v>
      </c>
      <c r="I51" s="21">
        <f t="shared" si="20"/>
        <v>756906.12587458396</v>
      </c>
      <c r="J51" s="21">
        <f t="shared" si="20"/>
        <v>772044.24839207553</v>
      </c>
      <c r="K51" s="22">
        <f t="shared" si="20"/>
        <v>787485.13335991697</v>
      </c>
      <c r="N51" s="3388"/>
      <c r="O51" s="3390"/>
    </row>
    <row r="52" spans="1:19" ht="13.2" customHeight="1">
      <c r="A52" s="20" t="s">
        <v>614</v>
      </c>
      <c r="B52" s="21">
        <f t="shared" ref="B52:K52" si="21">$B$20*(1+$B$6)^(B45-1)</f>
        <v>-435371.11850318365</v>
      </c>
      <c r="C52" s="21">
        <f t="shared" si="21"/>
        <v>-448432.25205827918</v>
      </c>
      <c r="D52" s="21">
        <f t="shared" si="21"/>
        <v>-461885.21962002746</v>
      </c>
      <c r="E52" s="21">
        <f t="shared" si="21"/>
        <v>-475741.77620862832</v>
      </c>
      <c r="F52" s="21">
        <f t="shared" si="21"/>
        <v>-490014.02949488722</v>
      </c>
      <c r="G52" s="21">
        <f t="shared" si="21"/>
        <v>-504714.45037973387</v>
      </c>
      <c r="H52" s="21">
        <f t="shared" si="21"/>
        <v>-519855.88389112579</v>
      </c>
      <c r="I52" s="21">
        <f t="shared" si="21"/>
        <v>-535451.56040785951</v>
      </c>
      <c r="J52" s="21">
        <f t="shared" si="21"/>
        <v>-551515.10722009535</v>
      </c>
      <c r="K52" s="22">
        <f t="shared" si="21"/>
        <v>-568060.56043669814</v>
      </c>
      <c r="N52" s="3388"/>
      <c r="O52" s="3390"/>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-46446</v>
      </c>
      <c r="C53" s="21">
        <f>IF(AND('Part VII-Pro Forma'!$G$8="Yes",'Part VII-Pro Forma'!$G$9="Yes"),"Choose One!",IF('Part VII-Pro Forma'!$G$8="Yes",ROUND((-$K$8*(1+'Part VII-Pro Forma'!$B$6)^('Part VII-Pro Forma'!C45-1)),),IF('Part VII-Pro Forma'!$G$9="Yes",ROUND((-(SUM(C46:C49)*'Part VII-Pro Forma'!$K$9)),),"Choose mgt fee")))</f>
        <v>-47839</v>
      </c>
      <c r="D53" s="21">
        <f>IF(AND('Part VII-Pro Forma'!$G$8="Yes",'Part VII-Pro Forma'!$G$9="Yes"),"Choose One!",IF('Part VII-Pro Forma'!$G$8="Yes",ROUND((-$K$8*(1+'Part VII-Pro Forma'!$B$6)^('Part VII-Pro Forma'!D45-1)),),IF('Part VII-Pro Forma'!$G$9="Yes",ROUND((-(SUM(D46:D49)*'Part VII-Pro Forma'!$K$9)),),"Choose mgt fee")))</f>
        <v>-49274</v>
      </c>
      <c r="E53" s="21">
        <f>IF(AND('Part VII-Pro Forma'!$G$8="Yes",'Part VII-Pro Forma'!$G$9="Yes"),"Choose One!",IF('Part VII-Pro Forma'!$G$8="Yes",ROUND((-$K$8*(1+'Part VII-Pro Forma'!$B$6)^('Part VII-Pro Forma'!E45-1)),),IF('Part VII-Pro Forma'!$G$9="Yes",ROUND((-(SUM(E46:E49)*'Part VII-Pro Forma'!$K$9)),),"Choose mgt fee")))</f>
        <v>-50753</v>
      </c>
      <c r="F53" s="21">
        <f>IF(AND('Part VII-Pro Forma'!$G$8="Yes",'Part VII-Pro Forma'!$G$9="Yes"),"Choose One!",IF('Part VII-Pro Forma'!$G$8="Yes",ROUND((-$K$8*(1+'Part VII-Pro Forma'!$B$6)^('Part VII-Pro Forma'!F45-1)),),IF('Part VII-Pro Forma'!$G$9="Yes",ROUND((-(SUM(F46:F49)*'Part VII-Pro Forma'!$K$9)),),"Choose mgt fee")))</f>
        <v>-52275</v>
      </c>
      <c r="G53" s="21">
        <f>IF(AND('Part VII-Pro Forma'!$G$8="Yes",'Part VII-Pro Forma'!$G$9="Yes"),"Choose One!",IF('Part VII-Pro Forma'!$G$8="Yes",ROUND((-$K$8*(1+'Part VII-Pro Forma'!$B$6)^('Part VII-Pro Forma'!G45-1)),),IF('Part VII-Pro Forma'!$G$9="Yes",ROUND((-(SUM(G46:G49)*'Part VII-Pro Forma'!$K$9)),),"Choose mgt fee")))</f>
        <v>-53843</v>
      </c>
      <c r="H53" s="21">
        <f>IF(AND('Part VII-Pro Forma'!$G$8="Yes",'Part VII-Pro Forma'!$G$9="Yes"),"Choose One!",IF('Part VII-Pro Forma'!$G$8="Yes",ROUND((-$K$8*(1+'Part VII-Pro Forma'!$B$6)^('Part VII-Pro Forma'!H45-1)),),IF('Part VII-Pro Forma'!$G$9="Yes",ROUND((-(SUM(H46:H49)*'Part VII-Pro Forma'!$K$9)),),"Choose mgt fee")))</f>
        <v>-55459</v>
      </c>
      <c r="I53" s="21">
        <f>IF(AND('Part VII-Pro Forma'!$G$8="Yes",'Part VII-Pro Forma'!$G$9="Yes"),"Choose One!",IF('Part VII-Pro Forma'!$G$8="Yes",ROUND((-$K$8*(1+'Part VII-Pro Forma'!$B$6)^('Part VII-Pro Forma'!I45-1)),),IF('Part VII-Pro Forma'!$G$9="Yes",ROUND((-(SUM(I46:I49)*'Part VII-Pro Forma'!$K$9)),),"Choose mgt fee")))</f>
        <v>-57122</v>
      </c>
      <c r="J53" s="21">
        <f>IF(AND('Part VII-Pro Forma'!$G$8="Yes",'Part VII-Pro Forma'!$G$9="Yes"),"Choose One!",IF('Part VII-Pro Forma'!$G$8="Yes",ROUND((-$K$8*(1+'Part VII-Pro Forma'!$B$6)^('Part VII-Pro Forma'!J45-1)),),IF('Part VII-Pro Forma'!$G$9="Yes",ROUND((-(SUM(J46:J49)*'Part VII-Pro Forma'!$K$9)),),"Choose mgt fee")))</f>
        <v>-58836</v>
      </c>
      <c r="K53" s="22">
        <f>IF(AND('Part VII-Pro Forma'!$G$8="Yes",'Part VII-Pro Forma'!$G$9="Yes"),"Choose One!",IF('Part VII-Pro Forma'!$G$8="Yes",ROUND((-$K$8*(1+'Part VII-Pro Forma'!$B$6)^('Part VII-Pro Forma'!K45-1)),),IF('Part VII-Pro Forma'!$G$9="Yes",ROUND((-(SUM(K46:K49)*'Part VII-Pro Forma'!$K$9)),),"Choose mgt fee")))</f>
        <v>-60601</v>
      </c>
      <c r="N53" s="3388"/>
      <c r="O53" s="3390"/>
    </row>
    <row r="54" spans="1:19" ht="13.2" customHeight="1">
      <c r="A54" s="20" t="s">
        <v>1202</v>
      </c>
      <c r="B54" s="21">
        <f t="shared" ref="B54:K54" si="22">$B$22*(1+$B$7)^(B45-1)</f>
        <v>-24190.494828194191</v>
      </c>
      <c r="C54" s="21">
        <f t="shared" si="22"/>
        <v>-24916.209673040019</v>
      </c>
      <c r="D54" s="21">
        <f t="shared" si="22"/>
        <v>-25663.695963231214</v>
      </c>
      <c r="E54" s="21">
        <f t="shared" si="22"/>
        <v>-26433.606842128149</v>
      </c>
      <c r="F54" s="21">
        <f t="shared" si="22"/>
        <v>-27226.615047391999</v>
      </c>
      <c r="G54" s="21">
        <f t="shared" si="22"/>
        <v>-28043.413498813759</v>
      </c>
      <c r="H54" s="21">
        <f t="shared" si="22"/>
        <v>-28884.715903778168</v>
      </c>
      <c r="I54" s="21">
        <f t="shared" si="22"/>
        <v>-29751.257380891511</v>
      </c>
      <c r="J54" s="21">
        <f t="shared" si="22"/>
        <v>-30643.795102318258</v>
      </c>
      <c r="K54" s="22">
        <f t="shared" si="22"/>
        <v>-31563.108955387805</v>
      </c>
      <c r="N54" s="3388"/>
      <c r="O54" s="3390"/>
    </row>
    <row r="55" spans="1:19" ht="13.2" customHeight="1">
      <c r="A55" s="420" t="s">
        <v>4934</v>
      </c>
      <c r="B55" s="2663">
        <f>IF(B45&lt;=+'Part VI-Revenues &amp; Expenses'!$K$243,-'Part VI-Revenues &amp; Expenses'!$H$243,0)</f>
        <v>0</v>
      </c>
      <c r="C55" s="2663">
        <f>IF(C45&lt;=+'Part VI-Revenues &amp; Expenses'!$K$243,-'Part VI-Revenues &amp; Expenses'!$H$243,0)</f>
        <v>0</v>
      </c>
      <c r="D55" s="2663">
        <f>IF(D45&lt;=+'Part VI-Revenues &amp; Expenses'!$K$243,-'Part VI-Revenues &amp; Expenses'!$H$243,0)</f>
        <v>0</v>
      </c>
      <c r="E55" s="2663">
        <f>IF(E45&lt;=+'Part VI-Revenues &amp; Expenses'!$K$243,-'Part VI-Revenues &amp; Expenses'!$H$243,0)</f>
        <v>0</v>
      </c>
      <c r="F55" s="2663">
        <f>IF(F45&lt;=+'Part VI-Revenues &amp; Expenses'!$K$243,-'Part VI-Revenues &amp; Expenses'!$H$243,0)</f>
        <v>0</v>
      </c>
      <c r="G55" s="2663">
        <f>IF(G45&lt;=+'Part VI-Revenues &amp; Expenses'!$K$243,-'Part VI-Revenues &amp; Expenses'!$H$243,0)</f>
        <v>0</v>
      </c>
      <c r="H55" s="2663">
        <f>IF(H45&lt;=+'Part VI-Revenues &amp; Expenses'!$K$243,-'Part VI-Revenues &amp; Expenses'!$H$243,0)</f>
        <v>0</v>
      </c>
      <c r="I55" s="2663">
        <f>IF(I45&lt;=+'Part VI-Revenues &amp; Expenses'!$K$243,-'Part VI-Revenues &amp; Expenses'!$H$243,0)</f>
        <v>0</v>
      </c>
      <c r="J55" s="2663">
        <f>IF(J45&lt;=+'Part VI-Revenues &amp; Expenses'!$K$243,-'Part VI-Revenues &amp; Expenses'!$H$243,0)</f>
        <v>0</v>
      </c>
      <c r="K55" s="2663">
        <f>IF(K45&lt;=+'Part VI-Revenues &amp; Expenses'!$K$243,-'Part VI-Revenues &amp; Expenses'!$H$243,0)</f>
        <v>0</v>
      </c>
      <c r="N55" s="3388"/>
      <c r="O55" s="3390"/>
      <c r="Q55" s="971">
        <v>10</v>
      </c>
      <c r="R55" s="1092">
        <f>-SUM(B60:K60)</f>
        <v>0</v>
      </c>
      <c r="S55" s="1092">
        <f>SUM(B61:K61)+R55</f>
        <v>0</v>
      </c>
    </row>
    <row r="56" spans="1:19" ht="13.2" customHeight="1">
      <c r="A56" s="20" t="s">
        <v>1203</v>
      </c>
      <c r="B56" s="21">
        <f>SUM(B51:B55)</f>
        <v>152924.71880396537</v>
      </c>
      <c r="C56" s="21">
        <f t="shared" ref="C56" si="23">SUM(C51:C55)</f>
        <v>150923.51704673073</v>
      </c>
      <c r="D56" s="21">
        <f t="shared" ref="D56" si="24">SUM(D51:D55)</f>
        <v>148730.28277035238</v>
      </c>
      <c r="E56" s="21">
        <f t="shared" ref="E56" si="25">SUM(E51:E55)</f>
        <v>146335.87926992687</v>
      </c>
      <c r="F56" s="21">
        <f t="shared" ref="F56" si="26">SUM(F51:F55)</f>
        <v>143733.90302481779</v>
      </c>
      <c r="G56" s="21">
        <f t="shared" ref="G56" si="27">SUM(G51:G55)</f>
        <v>140913.67463989119</v>
      </c>
      <c r="H56" s="21">
        <f t="shared" ref="H56" si="28">SUM(H51:H55)</f>
        <v>137865.22949390364</v>
      </c>
      <c r="I56" s="21">
        <f t="shared" ref="I56" si="29">SUM(I51:I55)</f>
        <v>134581.30808583295</v>
      </c>
      <c r="J56" s="21">
        <f t="shared" ref="J56" si="30">SUM(J51:J55)</f>
        <v>131049.34606966193</v>
      </c>
      <c r="K56" s="2156">
        <f>SUM(K51:K55)</f>
        <v>127260.46396783102</v>
      </c>
      <c r="N56" s="3388"/>
      <c r="O56" s="3390"/>
    </row>
    <row r="57" spans="1:19" ht="13.2" customHeight="1">
      <c r="A57" s="20" t="str">
        <f>$A25</f>
        <v>Mortgage A</v>
      </c>
      <c r="B57" s="2664">
        <f>IF('Part III-Sources of Funds'!$P$38="", 0,-'Part III-Sources of Funds'!$P$38)</f>
        <v>-119763.60191377226</v>
      </c>
      <c r="C57" s="2664">
        <f>IF('Part III-Sources of Funds'!$P$38="", 0,-'Part III-Sources of Funds'!$P$38)</f>
        <v>-119763.60191377226</v>
      </c>
      <c r="D57" s="2664">
        <f>IF('Part III-Sources of Funds'!$P$38="", 0,-'Part III-Sources of Funds'!$P$38)</f>
        <v>-119763.60191377226</v>
      </c>
      <c r="E57" s="2664">
        <f>IF('Part III-Sources of Funds'!$P$38="", 0,-'Part III-Sources of Funds'!$P$38)</f>
        <v>-119763.60191377226</v>
      </c>
      <c r="F57" s="2664">
        <f>IF('Part III-Sources of Funds'!$P$38="", 0,-'Part III-Sources of Funds'!$P$38)</f>
        <v>-119763.60191377226</v>
      </c>
      <c r="G57" s="2664">
        <f>IF('Part III-Sources of Funds'!$P$38="", 0,-'Part III-Sources of Funds'!$P$38)</f>
        <v>-119763.60191377226</v>
      </c>
      <c r="H57" s="2664">
        <f>IF('Part III-Sources of Funds'!$P$38="", 0,-'Part III-Sources of Funds'!$P$38)</f>
        <v>-119763.60191377226</v>
      </c>
      <c r="I57" s="2664">
        <f>IF('Part III-Sources of Funds'!$P$38="", 0,-'Part III-Sources of Funds'!$P$38)</f>
        <v>-119763.60191377226</v>
      </c>
      <c r="J57" s="2664">
        <f>IF('Part III-Sources of Funds'!$P$38="", 0,-'Part III-Sources of Funds'!$P$38)</f>
        <v>-119763.60191377226</v>
      </c>
      <c r="K57" s="2664">
        <f>IF('Part III-Sources of Funds'!$P$38="", 0,-'Part III-Sources of Funds'!$P$38)</f>
        <v>-119763.60191377226</v>
      </c>
      <c r="N57" s="3388"/>
      <c r="O57" s="3390"/>
    </row>
    <row r="58" spans="1:19" ht="13.2" customHeight="1">
      <c r="A58" s="20" t="str">
        <f>$A26</f>
        <v>Mortgage B</v>
      </c>
      <c r="B58" s="2665">
        <f>IF('Part III-Sources of Funds'!$P$39="", 0,-'Part III-Sources of Funds'!$P$39)</f>
        <v>0</v>
      </c>
      <c r="C58" s="2665">
        <f>IF('Part III-Sources of Funds'!$P$39="", 0,-'Part III-Sources of Funds'!$P$39)</f>
        <v>0</v>
      </c>
      <c r="D58" s="2665">
        <f>IF('Part III-Sources of Funds'!$P$39="", 0,-'Part III-Sources of Funds'!$P$39)</f>
        <v>0</v>
      </c>
      <c r="E58" s="2665">
        <f>IF('Part III-Sources of Funds'!$P$39="", 0,-'Part III-Sources of Funds'!$P$39)</f>
        <v>0</v>
      </c>
      <c r="F58" s="2665">
        <f>IF('Part III-Sources of Funds'!$P$39="", 0,-'Part III-Sources of Funds'!$P$39)</f>
        <v>0</v>
      </c>
      <c r="G58" s="2665">
        <f>IF('Part III-Sources of Funds'!$P$39="", 0,-'Part III-Sources of Funds'!$P$39)</f>
        <v>0</v>
      </c>
      <c r="H58" s="2665">
        <f>IF('Part III-Sources of Funds'!$P$39="", 0,-'Part III-Sources of Funds'!$P$39)</f>
        <v>0</v>
      </c>
      <c r="I58" s="2665">
        <f>IF('Part III-Sources of Funds'!$P$39="", 0,-'Part III-Sources of Funds'!$P$39)</f>
        <v>0</v>
      </c>
      <c r="J58" s="2665">
        <f>IF('Part III-Sources of Funds'!$P$39="", 0,-'Part III-Sources of Funds'!$P$39)</f>
        <v>0</v>
      </c>
      <c r="K58" s="2665">
        <f>IF('Part III-Sources of Funds'!$P$39="", 0,-'Part III-Sources of Funds'!$P$39)</f>
        <v>0</v>
      </c>
      <c r="N58" s="3388"/>
      <c r="O58" s="3390"/>
    </row>
    <row r="59" spans="1:19" ht="13.2" customHeight="1">
      <c r="A59" s="20" t="str">
        <f>$A27</f>
        <v>Mortgage C</v>
      </c>
      <c r="B59" s="2665">
        <f>IF('Part III-Sources of Funds'!$P$40="", 0,-'Part III-Sources of Funds'!$P$40)</f>
        <v>0</v>
      </c>
      <c r="C59" s="2665">
        <f>IF('Part III-Sources of Funds'!$P$40="", 0,-'Part III-Sources of Funds'!$P$40)</f>
        <v>0</v>
      </c>
      <c r="D59" s="2665">
        <f>IF('Part III-Sources of Funds'!$P$40="", 0,-'Part III-Sources of Funds'!$P$40)</f>
        <v>0</v>
      </c>
      <c r="E59" s="2665">
        <f>IF('Part III-Sources of Funds'!$P$40="", 0,-'Part III-Sources of Funds'!$P$40)</f>
        <v>0</v>
      </c>
      <c r="F59" s="2665">
        <f>IF('Part III-Sources of Funds'!$P$40="", 0,-'Part III-Sources of Funds'!$P$40)</f>
        <v>0</v>
      </c>
      <c r="G59" s="2665">
        <f>IF('Part III-Sources of Funds'!$P$40="", 0,-'Part III-Sources of Funds'!$P$40)</f>
        <v>0</v>
      </c>
      <c r="H59" s="2665">
        <f>IF('Part III-Sources of Funds'!$P$40="", 0,-'Part III-Sources of Funds'!$P$40)</f>
        <v>0</v>
      </c>
      <c r="I59" s="2665">
        <f>IF('Part III-Sources of Funds'!$P$40="", 0,-'Part III-Sources of Funds'!$P$40)</f>
        <v>0</v>
      </c>
      <c r="J59" s="2665">
        <f>IF('Part III-Sources of Funds'!$P$40="", 0,-'Part III-Sources of Funds'!$P$40)</f>
        <v>0</v>
      </c>
      <c r="K59" s="2665">
        <f>IF('Part III-Sources of Funds'!$P$40="", 0,-'Part III-Sources of Funds'!$P$40)</f>
        <v>0</v>
      </c>
      <c r="N59" s="3388"/>
      <c r="O59" s="3390"/>
    </row>
    <row r="60" spans="1:19" ht="13.2" customHeight="1">
      <c r="A60" s="20" t="str">
        <f>$A28</f>
        <v>D/S Other Source,not DDF</v>
      </c>
      <c r="B60" s="2665">
        <f>IF('Part III-Sources of Funds'!$P$41="", 0,-'Part III-Sources of Funds'!$P$41)</f>
        <v>0</v>
      </c>
      <c r="C60" s="2665">
        <f>IF('Part III-Sources of Funds'!$P$41="", 0,-'Part III-Sources of Funds'!$P$41)</f>
        <v>0</v>
      </c>
      <c r="D60" s="2665">
        <f>IF('Part III-Sources of Funds'!$P$41="", 0,-'Part III-Sources of Funds'!$P$41)</f>
        <v>0</v>
      </c>
      <c r="E60" s="2665">
        <f>IF('Part III-Sources of Funds'!$P$41="", 0,-'Part III-Sources of Funds'!$P$41)</f>
        <v>0</v>
      </c>
      <c r="F60" s="2665">
        <f>IF('Part III-Sources of Funds'!$P$41="", 0,-'Part III-Sources of Funds'!$P$41)</f>
        <v>0</v>
      </c>
      <c r="G60" s="2665">
        <f>IF('Part III-Sources of Funds'!$P$41="", 0,-'Part III-Sources of Funds'!$P$41)</f>
        <v>0</v>
      </c>
      <c r="H60" s="2665">
        <f>IF('Part III-Sources of Funds'!$P$41="", 0,-'Part III-Sources of Funds'!$P$41)</f>
        <v>0</v>
      </c>
      <c r="I60" s="2665">
        <f>IF('Part III-Sources of Funds'!$P$41="", 0,-'Part III-Sources of Funds'!$P$41)</f>
        <v>0</v>
      </c>
      <c r="J60" s="2665">
        <f>IF('Part III-Sources of Funds'!$P$41="", 0,-'Part III-Sources of Funds'!$P$41)</f>
        <v>0</v>
      </c>
      <c r="K60" s="2665">
        <f>IF('Part III-Sources of Funds'!$P$41="", 0,-'Part III-Sources of Funds'!$P$41)</f>
        <v>0</v>
      </c>
      <c r="N60" s="3388"/>
      <c r="O60" s="3390"/>
    </row>
    <row r="61" spans="1:19" ht="13.2" customHeight="1">
      <c r="A61" s="20" t="s">
        <v>763</v>
      </c>
      <c r="B61" s="2666"/>
      <c r="C61" s="2666"/>
      <c r="D61" s="2666"/>
      <c r="E61" s="2666"/>
      <c r="F61" s="2666"/>
      <c r="G61" s="2666"/>
      <c r="H61" s="2666"/>
      <c r="I61" s="2666"/>
      <c r="J61" s="2666"/>
      <c r="K61" s="2666"/>
      <c r="N61" s="3388"/>
      <c r="O61" s="3390"/>
    </row>
    <row r="62" spans="1:19" ht="13.2" customHeight="1">
      <c r="A62" s="420" t="s">
        <v>1163</v>
      </c>
      <c r="B62" s="2665">
        <f>+K30</f>
        <v>-5000</v>
      </c>
      <c r="C62" s="2665">
        <f t="shared" ref="C62:K62" si="31">+B62</f>
        <v>-5000</v>
      </c>
      <c r="D62" s="2665">
        <f t="shared" si="31"/>
        <v>-5000</v>
      </c>
      <c r="E62" s="2665">
        <f t="shared" si="31"/>
        <v>-5000</v>
      </c>
      <c r="F62" s="2665">
        <f t="shared" si="31"/>
        <v>-5000</v>
      </c>
      <c r="G62" s="2665">
        <f t="shared" si="31"/>
        <v>-5000</v>
      </c>
      <c r="H62" s="2665">
        <f t="shared" si="31"/>
        <v>-5000</v>
      </c>
      <c r="I62" s="2665">
        <f t="shared" si="31"/>
        <v>-5000</v>
      </c>
      <c r="J62" s="2665">
        <f t="shared" si="31"/>
        <v>-5000</v>
      </c>
      <c r="K62" s="2665">
        <f t="shared" si="31"/>
        <v>-5000</v>
      </c>
      <c r="N62" s="3388"/>
      <c r="O62" s="3390"/>
      <c r="Q62" s="971"/>
      <c r="R62" s="1092"/>
    </row>
    <row r="63" spans="1:19" ht="13.2" customHeight="1">
      <c r="A63" s="420" t="s">
        <v>4078</v>
      </c>
      <c r="B63" s="2668">
        <f>IF('Part III-Sources of Funds'!$P$43="", 0,-'Part III-Sources of Funds'!$P$43)</f>
        <v>0</v>
      </c>
      <c r="C63" s="2668">
        <f>IF('Part III-Sources of Funds'!$P$43="", 0,-'Part III-Sources of Funds'!$P$43)</f>
        <v>0</v>
      </c>
      <c r="D63" s="2668">
        <f>IF('Part III-Sources of Funds'!$P$43="", 0,-'Part III-Sources of Funds'!$P$43)</f>
        <v>0</v>
      </c>
      <c r="E63" s="2668">
        <f>IF('Part III-Sources of Funds'!$P$43="", 0,-'Part III-Sources of Funds'!$P$43)</f>
        <v>0</v>
      </c>
      <c r="F63" s="2668">
        <f>IF('Part III-Sources of Funds'!$P$43="", 0,-'Part III-Sources of Funds'!$P$43)</f>
        <v>0</v>
      </c>
      <c r="G63" s="2668"/>
      <c r="H63" s="2668"/>
      <c r="I63" s="2668"/>
      <c r="J63" s="2668"/>
      <c r="K63" s="2668"/>
      <c r="N63" s="3388"/>
      <c r="O63" s="3390"/>
    </row>
    <row r="64" spans="1:19" ht="13.2" customHeight="1">
      <c r="A64" s="20" t="s">
        <v>1164</v>
      </c>
      <c r="B64" s="21">
        <f t="shared" ref="B64:K64" si="32">SUM(B56:B63)</f>
        <v>28161.116890193109</v>
      </c>
      <c r="C64" s="21">
        <f t="shared" si="32"/>
        <v>26159.915132958471</v>
      </c>
      <c r="D64" s="21">
        <f t="shared" si="32"/>
        <v>23966.680856580118</v>
      </c>
      <c r="E64" s="21">
        <f t="shared" si="32"/>
        <v>21572.277356154606</v>
      </c>
      <c r="F64" s="21">
        <f t="shared" si="32"/>
        <v>18970.301111045526</v>
      </c>
      <c r="G64" s="21">
        <f t="shared" si="32"/>
        <v>16150.072726118931</v>
      </c>
      <c r="H64" s="21">
        <f t="shared" si="32"/>
        <v>13101.627580131375</v>
      </c>
      <c r="I64" s="21">
        <f t="shared" si="32"/>
        <v>9817.7061720606871</v>
      </c>
      <c r="J64" s="21">
        <f t="shared" si="32"/>
        <v>6285.744155889668</v>
      </c>
      <c r="K64" s="625">
        <f t="shared" si="32"/>
        <v>2496.8620540587581</v>
      </c>
      <c r="N64" s="3388"/>
      <c r="O64" s="3390"/>
    </row>
    <row r="65" spans="1:15" ht="13.2" customHeight="1">
      <c r="A65" s="20" t="str">
        <f>$A33</f>
        <v>DCR Mortgage A</v>
      </c>
      <c r="B65" s="23">
        <f t="shared" ref="B65:K65" si="33">IF(B57=0,"",-B56/B57)</f>
        <v>1.276888105904401</v>
      </c>
      <c r="C65" s="23">
        <f t="shared" si="33"/>
        <v>1.2601785069506599</v>
      </c>
      <c r="D65" s="23">
        <f t="shared" si="33"/>
        <v>1.2418654782730703</v>
      </c>
      <c r="E65" s="23">
        <f t="shared" si="33"/>
        <v>1.2218727303750114</v>
      </c>
      <c r="F65" s="23">
        <f t="shared" si="33"/>
        <v>1.2001467952534004</v>
      </c>
      <c r="G65" s="23">
        <f t="shared" si="33"/>
        <v>1.1765985022840797</v>
      </c>
      <c r="H65" s="23">
        <f t="shared" si="33"/>
        <v>1.1511446490492514</v>
      </c>
      <c r="I65" s="23">
        <f t="shared" si="33"/>
        <v>1.1237246202959825</v>
      </c>
      <c r="J65" s="23">
        <f t="shared" si="33"/>
        <v>1.0942335064706488</v>
      </c>
      <c r="K65" s="24">
        <f t="shared" si="33"/>
        <v>1.0625971658689455</v>
      </c>
      <c r="N65" s="3388"/>
      <c r="O65" s="3390"/>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88"/>
      <c r="O66" s="3390"/>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88"/>
      <c r="O67" s="3390"/>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88"/>
      <c r="O68" s="3390"/>
    </row>
    <row r="69" spans="1:15" ht="13.2" customHeight="1">
      <c r="A69" s="420" t="s">
        <v>3710</v>
      </c>
      <c r="B69" s="23">
        <f t="shared" ref="B69:K69" si="37">IF(AND(B57=0,B58=0,B59=0,B60=0),"",-B56/(B57+B58+B59+B60))</f>
        <v>1.276888105904401</v>
      </c>
      <c r="C69" s="23">
        <f t="shared" si="37"/>
        <v>1.2601785069506599</v>
      </c>
      <c r="D69" s="23">
        <f t="shared" si="37"/>
        <v>1.2418654782730703</v>
      </c>
      <c r="E69" s="23">
        <f t="shared" si="37"/>
        <v>1.2218727303750114</v>
      </c>
      <c r="F69" s="23">
        <f t="shared" si="37"/>
        <v>1.2001467952534004</v>
      </c>
      <c r="G69" s="23">
        <f t="shared" si="37"/>
        <v>1.1765985022840797</v>
      </c>
      <c r="H69" s="23">
        <f t="shared" si="37"/>
        <v>1.1511446490492514</v>
      </c>
      <c r="I69" s="23">
        <f t="shared" si="37"/>
        <v>1.1237246202959825</v>
      </c>
      <c r="J69" s="23">
        <f t="shared" si="37"/>
        <v>1.0942335064706488</v>
      </c>
      <c r="K69" s="24">
        <f t="shared" si="37"/>
        <v>1.0625971658689455</v>
      </c>
      <c r="N69" s="3388"/>
      <c r="O69" s="3390"/>
    </row>
    <row r="70" spans="1:15" ht="13.2" customHeight="1">
      <c r="A70" s="20" t="s">
        <v>770</v>
      </c>
      <c r="B70" s="266">
        <f t="shared" ref="B70:K70" si="38">IF(OR(B53="Choose mgt fee",B53="Choose One!"),"",(B46+B47+B48+B49+B50) / -(B52+B53+B54))</f>
        <v>1.3022182172263423</v>
      </c>
      <c r="C70" s="266">
        <f t="shared" si="38"/>
        <v>1.2895762621483291</v>
      </c>
      <c r="D70" s="266">
        <f t="shared" si="38"/>
        <v>1.2770565086789498</v>
      </c>
      <c r="E70" s="266">
        <f t="shared" si="38"/>
        <v>1.2646561177824251</v>
      </c>
      <c r="F70" s="266">
        <f t="shared" si="38"/>
        <v>1.2523792004701417</v>
      </c>
      <c r="G70" s="266">
        <f t="shared" si="38"/>
        <v>1.2402207076685563</v>
      </c>
      <c r="H70" s="266">
        <f t="shared" si="38"/>
        <v>1.2281782866799349</v>
      </c>
      <c r="I70" s="266">
        <f t="shared" si="38"/>
        <v>1.2162557305106814</v>
      </c>
      <c r="J70" s="266">
        <f t="shared" si="38"/>
        <v>1.2044467835779222</v>
      </c>
      <c r="K70" s="267">
        <f t="shared" si="38"/>
        <v>1.192753270011871</v>
      </c>
      <c r="N70" s="3388"/>
      <c r="O70" s="3390"/>
    </row>
    <row r="71" spans="1:15" ht="13.2" customHeight="1">
      <c r="A71" s="420" t="s">
        <v>2617</v>
      </c>
      <c r="B71" s="2669">
        <f>IF('Part III-Sources of Funds'!$I$38="","",-FV('Part III-Sources of Funds'!$K$38/12,12,B57/12,K39))</f>
        <v>1486984.0372652905</v>
      </c>
      <c r="C71" s="2669">
        <f>IF('Part III-Sources of Funds'!$I$38="","",-FV('Part III-Sources of Funds'!$K$38/12,12,C57/12,B71))</f>
        <v>1459374.953650689</v>
      </c>
      <c r="D71" s="2669">
        <f>IF('Part III-Sources of Funds'!$I$38="","",-FV('Part III-Sources of Funds'!$K$38/12,12,D57/12,C71))</f>
        <v>1429990.0036783777</v>
      </c>
      <c r="E71" s="2669">
        <f>IF('Part III-Sources of Funds'!$I$38="","",-FV('Part III-Sources of Funds'!$K$38/12,12,E57/12,D71))</f>
        <v>1398714.9604017306</v>
      </c>
      <c r="F71" s="2669">
        <f>IF('Part III-Sources of Funds'!$I$38="","",-FV('Part III-Sources of Funds'!$K$38/12,12,F57/12,E71))</f>
        <v>1365428.2495896374</v>
      </c>
      <c r="G71" s="2669">
        <f>IF('Part III-Sources of Funds'!$I$38="","",-FV('Part III-Sources of Funds'!$K$38/12,12,G57/12,F71))</f>
        <v>1330000.4771358336</v>
      </c>
      <c r="H71" s="2669">
        <f>IF('Part III-Sources of Funds'!$I$38="","",-FV('Part III-Sources of Funds'!$K$38/12,12,H57/12,G71))</f>
        <v>1292293.9260703404</v>
      </c>
      <c r="I71" s="2669">
        <f>IF('Part III-Sources of Funds'!$I$38="","",-FV('Part III-Sources of Funds'!$K$38/12,12,I57/12,H71))</f>
        <v>1252162.0212177678</v>
      </c>
      <c r="J71" s="2669">
        <f>IF('Part III-Sources of Funds'!$I$38="","",-FV('Part III-Sources of Funds'!$K$38/12,12,J57/12,I71))</f>
        <v>1209448.7594214682</v>
      </c>
      <c r="K71" s="2669">
        <f>IF('Part III-Sources of Funds'!$I$38="","",-FV('Part III-Sources of Funds'!$K$38/12,12,K57/12,J71))</f>
        <v>1163988.1031186746</v>
      </c>
      <c r="N71" s="3388"/>
      <c r="O71" s="3390"/>
    </row>
    <row r="72" spans="1:15" ht="13.2" customHeight="1">
      <c r="A72" s="420" t="s">
        <v>2618</v>
      </c>
      <c r="B72" s="2665" t="str">
        <f>IF('Part III-Sources of Funds'!$I$39="","",-FV('Part III-Sources of Funds'!$K$39/12,12,B58/12,K40))</f>
        <v/>
      </c>
      <c r="C72" s="2665" t="str">
        <f>IF('Part III-Sources of Funds'!$I$39="","",-FV('Part III-Sources of Funds'!$K$39/12,12,C58/12,B72))</f>
        <v/>
      </c>
      <c r="D72" s="2665" t="str">
        <f>IF('Part III-Sources of Funds'!$I$39="","",-FV('Part III-Sources of Funds'!$K$39/12,12,D58/12,C72))</f>
        <v/>
      </c>
      <c r="E72" s="2665" t="str">
        <f>IF('Part III-Sources of Funds'!$I$39="","",-FV('Part III-Sources of Funds'!$K$39/12,12,E58/12,D72))</f>
        <v/>
      </c>
      <c r="F72" s="2665" t="str">
        <f>IF('Part III-Sources of Funds'!$I$39="","",-FV('Part III-Sources of Funds'!$K$39/12,12,F58/12,E72))</f>
        <v/>
      </c>
      <c r="G72" s="2665" t="str">
        <f>IF('Part III-Sources of Funds'!$I$39="","",-FV('Part III-Sources of Funds'!$K$39/12,12,G58/12,F72))</f>
        <v/>
      </c>
      <c r="H72" s="2665" t="str">
        <f>IF('Part III-Sources of Funds'!$I$39="","",-FV('Part III-Sources of Funds'!$K$39/12,12,H58/12,G72))</f>
        <v/>
      </c>
      <c r="I72" s="2665" t="str">
        <f>IF('Part III-Sources of Funds'!$I$39="","",-FV('Part III-Sources of Funds'!$K$39/12,12,I58/12,H72))</f>
        <v/>
      </c>
      <c r="J72" s="2665" t="str">
        <f>IF('Part III-Sources of Funds'!$I$39="","",-FV('Part III-Sources of Funds'!$K$39/12,12,J58/12,I72))</f>
        <v/>
      </c>
      <c r="K72" s="2665" t="str">
        <f>IF('Part III-Sources of Funds'!$I$39="","",-FV('Part III-Sources of Funds'!$K$39/12,12,K58/12,J72))</f>
        <v/>
      </c>
      <c r="N72" s="3388"/>
      <c r="O72" s="3390"/>
    </row>
    <row r="73" spans="1:15" ht="13.2" customHeight="1">
      <c r="A73" s="420" t="s">
        <v>2619</v>
      </c>
      <c r="B73" s="2665" t="str">
        <f>IF('Part III-Sources of Funds'!$I$40="","",-FV('Part III-Sources of Funds'!$K$40/12,12,B59/12,K41))</f>
        <v/>
      </c>
      <c r="C73" s="2665" t="str">
        <f>IF('Part III-Sources of Funds'!$I$40="","",-FV('Part III-Sources of Funds'!$K$40/12,12,C59/12,B73))</f>
        <v/>
      </c>
      <c r="D73" s="2665" t="str">
        <f>IF('Part III-Sources of Funds'!$I$40="","",-FV('Part III-Sources of Funds'!$K$40/12,12,D59/12,C73))</f>
        <v/>
      </c>
      <c r="E73" s="2665" t="str">
        <f>IF('Part III-Sources of Funds'!$I$40="","",-FV('Part III-Sources of Funds'!$K$40/12,12,E59/12,D73))</f>
        <v/>
      </c>
      <c r="F73" s="2665" t="str">
        <f>IF('Part III-Sources of Funds'!$I$40="","",-FV('Part III-Sources of Funds'!$K$40/12,12,F59/12,E73))</f>
        <v/>
      </c>
      <c r="G73" s="2665" t="str">
        <f>IF('Part III-Sources of Funds'!$I$40="","",-FV('Part III-Sources of Funds'!$K$40/12,12,G59/12,F73))</f>
        <v/>
      </c>
      <c r="H73" s="2665" t="str">
        <f>IF('Part III-Sources of Funds'!$I$40="","",-FV('Part III-Sources of Funds'!$K$40/12,12,H59/12,G73))</f>
        <v/>
      </c>
      <c r="I73" s="2665" t="str">
        <f>IF('Part III-Sources of Funds'!$I$40="","",-FV('Part III-Sources of Funds'!$K$40/12,12,I59/12,H73))</f>
        <v/>
      </c>
      <c r="J73" s="2665" t="str">
        <f>IF('Part III-Sources of Funds'!$I$40="","",-FV('Part III-Sources of Funds'!$K$40/12,12,J59/12,I73))</f>
        <v/>
      </c>
      <c r="K73" s="2665" t="str">
        <f>IF('Part III-Sources of Funds'!$I$40="","",-FV('Part III-Sources of Funds'!$K$40/12,12,K59/12,J73))</f>
        <v/>
      </c>
      <c r="N73" s="3388"/>
      <c r="O73" s="3390"/>
    </row>
    <row r="74" spans="1:15" ht="13.2" customHeight="1">
      <c r="A74" s="20" t="s">
        <v>784</v>
      </c>
      <c r="B74" s="2665" t="str">
        <f>IF('Part III-Sources of Funds'!$I$41="","",-FV('Part III-Sources of Funds'!$K$41/12,12,B60/12,K42))</f>
        <v/>
      </c>
      <c r="C74" s="2665" t="str">
        <f>IF('Part III-Sources of Funds'!$I$41="","",-FV('Part III-Sources of Funds'!$K$41/12,12,C60/12,B74))</f>
        <v/>
      </c>
      <c r="D74" s="2665" t="str">
        <f>IF('Part III-Sources of Funds'!$I$41="","",-FV('Part III-Sources of Funds'!$K$41/12,12,D60/12,C74))</f>
        <v/>
      </c>
      <c r="E74" s="2665" t="str">
        <f>IF('Part III-Sources of Funds'!$I$41="","",-FV('Part III-Sources of Funds'!$K$41/12,12,E60/12,D74))</f>
        <v/>
      </c>
      <c r="F74" s="2665" t="str">
        <f>IF('Part III-Sources of Funds'!$I$41="","",-FV('Part III-Sources of Funds'!$K$41/12,12,F60/12,E74))</f>
        <v/>
      </c>
      <c r="G74" s="2665" t="str">
        <f>IF('Part III-Sources of Funds'!$I$41="","",-FV('Part III-Sources of Funds'!$K$41/12,12,G60/12,F74))</f>
        <v/>
      </c>
      <c r="H74" s="2665" t="str">
        <f>IF('Part III-Sources of Funds'!$I$41="","",-FV('Part III-Sources of Funds'!$K$41/12,12,H60/12,G74))</f>
        <v/>
      </c>
      <c r="I74" s="2665" t="str">
        <f>IF('Part III-Sources of Funds'!$I$41="","",-FV('Part III-Sources of Funds'!$K$41/12,12,I60/12,H74))</f>
        <v/>
      </c>
      <c r="J74" s="2665" t="str">
        <f>IF('Part III-Sources of Funds'!$I$41="","",-FV('Part III-Sources of Funds'!$K$41/12,12,J60/12,I74))</f>
        <v/>
      </c>
      <c r="K74" s="2665" t="str">
        <f>IF('Part III-Sources of Funds'!$I$41="","",-FV('Part III-Sources of Funds'!$K$41/12,12,K60/12,J74))</f>
        <v/>
      </c>
      <c r="N74" s="3388"/>
      <c r="O74" s="3390"/>
    </row>
    <row r="75" spans="1:15" ht="13.2" customHeight="1">
      <c r="A75" s="420" t="s">
        <v>4079</v>
      </c>
      <c r="B75" s="2668">
        <f>IF('Part III-Sources of Funds'!$I$43="","",IF(-FV('Part III-Sources of Funds'!$K$43/12,12,B63/12,K43)&gt;0,-FV('Part III-Sources of Funds'!$K$43/12,12,B63/12,K43),0))</f>
        <v>0</v>
      </c>
      <c r="C75" s="2668">
        <f>IF('Part III-Sources of Funds'!$I$43="","",IF(-FV('Part III-Sources of Funds'!$K$43/12,12,C63/12,B75)&gt;0,-FV('Part III-Sources of Funds'!$K$43/12,12,C63/12,B75),0))</f>
        <v>0</v>
      </c>
      <c r="D75" s="2668">
        <f>IF('Part III-Sources of Funds'!$I$43="","",IF(-FV('Part III-Sources of Funds'!$K$43/12,12,D63/12,C75)&gt;0,-FV('Part III-Sources of Funds'!$K$43/12,12,D63/12,C75),0))</f>
        <v>0</v>
      </c>
      <c r="E75" s="2668">
        <f>IF('Part III-Sources of Funds'!$I$43="","",IF(-FV('Part III-Sources of Funds'!$K$43/12,12,E63/12,D75)&gt;0,-FV('Part III-Sources of Funds'!$K$43/12,12,E63/12,D75),0))</f>
        <v>0</v>
      </c>
      <c r="F75" s="2668">
        <f>IF('Part III-Sources of Funds'!$I$43="","",IF(-FV('Part III-Sources of Funds'!$K$43/12,12,F63/12,E75)&gt;0,-FV('Part III-Sources of Funds'!$K$43/12,12,F63/12,E75),0))</f>
        <v>0</v>
      </c>
      <c r="G75" s="2668">
        <f>IF('Part III-Sources of Funds'!$I$43="","",IF(-FV('Part III-Sources of Funds'!$K$43/12,12,G63/12,F75)&gt;0,-FV('Part III-Sources of Funds'!$K$43/12,12,G63/12,F75),0))</f>
        <v>0</v>
      </c>
      <c r="H75" s="2668" t="str">
        <f>IF('Part III-Sources of Funds'!$I$41="","",-FV('Part III-Sources of Funds'!$K$41/12,12,H61/12,G75))</f>
        <v/>
      </c>
      <c r="I75" s="2668" t="str">
        <f>IF('Part III-Sources of Funds'!$I$41="","",-FV('Part III-Sources of Funds'!$K$41/12,12,I61/12,H75))</f>
        <v/>
      </c>
      <c r="J75" s="2668" t="str">
        <f>IF('Part III-Sources of Funds'!$I$41="","",-FV('Part III-Sources of Funds'!$K$41/12,12,J61/12,I75))</f>
        <v/>
      </c>
      <c r="K75" s="2668" t="str">
        <f>IF('Part III-Sources of Funds'!$I$41="","",-FV('Part III-Sources of Funds'!$K$41/12,12,K61/12,J75))</f>
        <v/>
      </c>
      <c r="N75" s="3392"/>
      <c r="O75" s="3394"/>
    </row>
    <row r="76" spans="1:15" ht="4.2" customHeight="1">
      <c r="B76" s="16"/>
      <c r="C76" s="16"/>
      <c r="D76" s="16"/>
      <c r="E76" s="16"/>
      <c r="F76" s="16"/>
      <c r="G76" s="16"/>
      <c r="H76" s="16"/>
      <c r="I76" s="16"/>
      <c r="J76" s="16"/>
      <c r="K76" s="16"/>
    </row>
    <row r="77" spans="1:15" ht="14.7"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107" t="s">
        <v>2623</v>
      </c>
      <c r="O77" s="3107"/>
    </row>
    <row r="78" spans="1:15" ht="13.2" customHeight="1">
      <c r="A78" s="17" t="s">
        <v>2404</v>
      </c>
      <c r="B78" s="18">
        <f t="shared" ref="B78:K78" si="40">$B$14*(1+$B$5)^(B77-1)</f>
        <v>846758.20791388932</v>
      </c>
      <c r="C78" s="18">
        <f t="shared" si="40"/>
        <v>863693.372072167</v>
      </c>
      <c r="D78" s="18">
        <f t="shared" si="40"/>
        <v>880967.23951361037</v>
      </c>
      <c r="E78" s="18">
        <f t="shared" si="40"/>
        <v>898586.58430388244</v>
      </c>
      <c r="F78" s="18">
        <f t="shared" si="40"/>
        <v>916558.3159899601</v>
      </c>
      <c r="G78" s="18">
        <f t="shared" si="40"/>
        <v>934889.48230975936</v>
      </c>
      <c r="H78" s="18">
        <f t="shared" si="40"/>
        <v>953587.27195595461</v>
      </c>
      <c r="I78" s="18">
        <f t="shared" si="40"/>
        <v>972659.01739507355</v>
      </c>
      <c r="J78" s="18">
        <f t="shared" si="40"/>
        <v>992112.1977429752</v>
      </c>
      <c r="K78" s="19">
        <f t="shared" si="40"/>
        <v>1011954.4416978345</v>
      </c>
      <c r="N78" s="3383"/>
      <c r="O78" s="3385"/>
    </row>
    <row r="79" spans="1:15" ht="13.2" customHeight="1">
      <c r="A79" s="20" t="s">
        <v>1016</v>
      </c>
      <c r="B79" s="21">
        <f t="shared" ref="B79:K79" si="41">$B$15*(1+$B$5)^(B77-1)</f>
        <v>16935.164158277788</v>
      </c>
      <c r="C79" s="21">
        <f t="shared" si="41"/>
        <v>17273.867441443341</v>
      </c>
      <c r="D79" s="21">
        <f t="shared" si="41"/>
        <v>17619.344790272211</v>
      </c>
      <c r="E79" s="21">
        <f t="shared" si="41"/>
        <v>17971.731686077652</v>
      </c>
      <c r="F79" s="21">
        <f t="shared" si="41"/>
        <v>18331.166319799206</v>
      </c>
      <c r="G79" s="21">
        <f t="shared" si="41"/>
        <v>18697.78964619519</v>
      </c>
      <c r="H79" s="21">
        <f t="shared" si="41"/>
        <v>19071.745439119095</v>
      </c>
      <c r="I79" s="21">
        <f t="shared" si="41"/>
        <v>19453.180347901474</v>
      </c>
      <c r="J79" s="21">
        <f t="shared" si="41"/>
        <v>19842.243954859507</v>
      </c>
      <c r="K79" s="22">
        <f t="shared" si="41"/>
        <v>20239.088833956692</v>
      </c>
      <c r="N79" s="3388"/>
      <c r="O79" s="3390"/>
    </row>
    <row r="80" spans="1:15" ht="13.2" customHeight="1">
      <c r="A80" s="20" t="s">
        <v>2405</v>
      </c>
      <c r="B80" s="21">
        <f t="shared" ref="B80:K80" si="42">-(B78+B79)*$B$8</f>
        <v>-60458.536045051704</v>
      </c>
      <c r="C80" s="21">
        <f t="shared" si="42"/>
        <v>-61667.706765952731</v>
      </c>
      <c r="D80" s="21">
        <f t="shared" si="42"/>
        <v>-62901.060901271783</v>
      </c>
      <c r="E80" s="21">
        <f t="shared" si="42"/>
        <v>-64159.082119297214</v>
      </c>
      <c r="F80" s="21">
        <f t="shared" si="42"/>
        <v>-65442.263761683163</v>
      </c>
      <c r="G80" s="21">
        <f t="shared" si="42"/>
        <v>-66751.109036916823</v>
      </c>
      <c r="H80" s="21">
        <f t="shared" si="42"/>
        <v>-68086.131217655158</v>
      </c>
      <c r="I80" s="21">
        <f t="shared" si="42"/>
        <v>-69447.853842008248</v>
      </c>
      <c r="J80" s="21">
        <f t="shared" si="42"/>
        <v>-70836.810918848438</v>
      </c>
      <c r="K80" s="22">
        <f t="shared" si="42"/>
        <v>-72253.547137225396</v>
      </c>
      <c r="N80" s="3388"/>
      <c r="O80" s="3390"/>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88"/>
      <c r="O81" s="3390"/>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88"/>
      <c r="O82" s="3390"/>
    </row>
    <row r="83" spans="1:19" ht="13.2" customHeight="1">
      <c r="A83" s="420" t="s">
        <v>4935</v>
      </c>
      <c r="B83" s="21">
        <f t="shared" ref="B83:K83" si="43">SUM(B78:B82)</f>
        <v>803234.83602711535</v>
      </c>
      <c r="C83" s="21">
        <f t="shared" si="43"/>
        <v>819299.53274765762</v>
      </c>
      <c r="D83" s="21">
        <f t="shared" si="43"/>
        <v>835685.52340261079</v>
      </c>
      <c r="E83" s="21">
        <f t="shared" si="43"/>
        <v>852399.23387066287</v>
      </c>
      <c r="F83" s="21">
        <f t="shared" si="43"/>
        <v>869447.21854807623</v>
      </c>
      <c r="G83" s="21">
        <f t="shared" si="43"/>
        <v>886836.16291903774</v>
      </c>
      <c r="H83" s="21">
        <f t="shared" si="43"/>
        <v>904572.88617741852</v>
      </c>
      <c r="I83" s="21">
        <f t="shared" si="43"/>
        <v>922664.34390096669</v>
      </c>
      <c r="J83" s="21">
        <f t="shared" si="43"/>
        <v>941117.63077898626</v>
      </c>
      <c r="K83" s="22">
        <f t="shared" si="43"/>
        <v>959939.98339456588</v>
      </c>
      <c r="N83" s="3388"/>
      <c r="O83" s="3390"/>
    </row>
    <row r="84" spans="1:19" ht="13.2" customHeight="1">
      <c r="A84" s="20" t="s">
        <v>614</v>
      </c>
      <c r="B84" s="21">
        <f t="shared" ref="B84:K84" si="44">$B$20*(1+$B$6)^(B77-1)</f>
        <v>-585102.37724979909</v>
      </c>
      <c r="C84" s="21">
        <f t="shared" si="44"/>
        <v>-602655.448567293</v>
      </c>
      <c r="D84" s="21">
        <f t="shared" si="44"/>
        <v>-620735.11202431191</v>
      </c>
      <c r="E84" s="21">
        <f t="shared" si="44"/>
        <v>-639357.16538504127</v>
      </c>
      <c r="F84" s="21">
        <f t="shared" si="44"/>
        <v>-658537.8803465924</v>
      </c>
      <c r="G84" s="21">
        <f t="shared" si="44"/>
        <v>-678294.01675699011</v>
      </c>
      <c r="H84" s="21">
        <f t="shared" si="44"/>
        <v>-698642.83725969994</v>
      </c>
      <c r="I84" s="21">
        <f t="shared" si="44"/>
        <v>-719602.12237749086</v>
      </c>
      <c r="J84" s="21">
        <f t="shared" si="44"/>
        <v>-741190.18604881561</v>
      </c>
      <c r="K84" s="22">
        <f t="shared" si="44"/>
        <v>-763425.89163027995</v>
      </c>
      <c r="N84" s="3388"/>
      <c r="O84" s="3390"/>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-62419</v>
      </c>
      <c r="C85" s="21">
        <f>IF(AND('Part VII-Pro Forma'!$G$8="Yes",'Part VII-Pro Forma'!$G$9="Yes"),"Choose One!",IF('Part VII-Pro Forma'!$G$8="Yes",ROUND((-$K$8*(1+'Part VII-Pro Forma'!$B$6)^('Part VII-Pro Forma'!C77-1)),),IF('Part VII-Pro Forma'!$G$9="Yes",ROUND((-(SUM(C78:C81)*'Part VII-Pro Forma'!$K$9)),),"Choose mgt fee")))</f>
        <v>-64292</v>
      </c>
      <c r="D85" s="21">
        <f>IF(AND('Part VII-Pro Forma'!$G$8="Yes",'Part VII-Pro Forma'!$G$9="Yes"),"Choose One!",IF('Part VII-Pro Forma'!$G$8="Yes",ROUND((-$K$8*(1+'Part VII-Pro Forma'!$B$6)^('Part VII-Pro Forma'!D77-1)),),IF('Part VII-Pro Forma'!$G$9="Yes",ROUND((-(SUM(D78:D81)*'Part VII-Pro Forma'!$K$9)),),"Choose mgt fee")))</f>
        <v>-66221</v>
      </c>
      <c r="E85" s="21">
        <f>IF(AND('Part VII-Pro Forma'!$G$8="Yes",'Part VII-Pro Forma'!$G$9="Yes"),"Choose One!",IF('Part VII-Pro Forma'!$G$8="Yes",ROUND((-$K$8*(1+'Part VII-Pro Forma'!$B$6)^('Part VII-Pro Forma'!E77-1)),),IF('Part VII-Pro Forma'!$G$9="Yes",ROUND((-(SUM(E78:E81)*'Part VII-Pro Forma'!$K$9)),),"Choose mgt fee")))</f>
        <v>-68207</v>
      </c>
      <c r="F85" s="21">
        <f>IF(AND('Part VII-Pro Forma'!$G$8="Yes",'Part VII-Pro Forma'!$G$9="Yes"),"Choose One!",IF('Part VII-Pro Forma'!$G$8="Yes",ROUND((-$K$8*(1+'Part VII-Pro Forma'!$B$6)^('Part VII-Pro Forma'!F77-1)),),IF('Part VII-Pro Forma'!$G$9="Yes",ROUND((-(SUM(F78:F81)*'Part VII-Pro Forma'!$K$9)),),"Choose mgt fee")))</f>
        <v>-70253</v>
      </c>
      <c r="G85" s="21">
        <f>IF(AND('Part VII-Pro Forma'!$G$8="Yes",'Part VII-Pro Forma'!$G$9="Yes"),"Choose One!",IF('Part VII-Pro Forma'!$G$8="Yes",ROUND((-$K$8*(1+'Part VII-Pro Forma'!$B$6)^('Part VII-Pro Forma'!G77-1)),),IF('Part VII-Pro Forma'!$G$9="Yes",ROUND((-(SUM(G78:G81)*'Part VII-Pro Forma'!$K$9)),),"Choose mgt fee")))</f>
        <v>-72361</v>
      </c>
      <c r="H85" s="21">
        <f>IF(AND('Part VII-Pro Forma'!$G$8="Yes",'Part VII-Pro Forma'!$G$9="Yes"),"Choose One!",IF('Part VII-Pro Forma'!$G$8="Yes",ROUND((-$K$8*(1+'Part VII-Pro Forma'!$B$6)^('Part VII-Pro Forma'!H77-1)),),IF('Part VII-Pro Forma'!$G$9="Yes",ROUND((-(SUM(H78:H81)*'Part VII-Pro Forma'!$K$9)),),"Choose mgt fee")))</f>
        <v>-74532</v>
      </c>
      <c r="I85" s="21">
        <f>IF(AND('Part VII-Pro Forma'!$G$8="Yes",'Part VII-Pro Forma'!$G$9="Yes"),"Choose One!",IF('Part VII-Pro Forma'!$G$8="Yes",ROUND((-$K$8*(1+'Part VII-Pro Forma'!$B$6)^('Part VII-Pro Forma'!I77-1)),),IF('Part VII-Pro Forma'!$G$9="Yes",ROUND((-(SUM(I78:I81)*'Part VII-Pro Forma'!$K$9)),),"Choose mgt fee")))</f>
        <v>-76768</v>
      </c>
      <c r="J85" s="21">
        <f>IF(AND('Part VII-Pro Forma'!$G$8="Yes",'Part VII-Pro Forma'!$G$9="Yes"),"Choose One!",IF('Part VII-Pro Forma'!$G$8="Yes",ROUND((-$K$8*(1+'Part VII-Pro Forma'!$B$6)^('Part VII-Pro Forma'!J77-1)),),IF('Part VII-Pro Forma'!$G$9="Yes",ROUND((-(SUM(J78:J81)*'Part VII-Pro Forma'!$K$9)),),"Choose mgt fee")))</f>
        <v>-79071</v>
      </c>
      <c r="K85" s="22">
        <f>IF(AND('Part VII-Pro Forma'!$G$8="Yes",'Part VII-Pro Forma'!$G$9="Yes"),"Choose One!",IF('Part VII-Pro Forma'!$G$8="Yes",ROUND((-$K$8*(1+'Part VII-Pro Forma'!$B$6)^('Part VII-Pro Forma'!K77-1)),),IF('Part VII-Pro Forma'!$G$9="Yes",ROUND((-(SUM(K78:K81)*'Part VII-Pro Forma'!$K$9)),),"Choose mgt fee")))</f>
        <v>-81443</v>
      </c>
      <c r="N85" s="3388"/>
      <c r="O85" s="3390"/>
    </row>
    <row r="86" spans="1:19" ht="13.2" customHeight="1">
      <c r="A86" s="20" t="s">
        <v>1202</v>
      </c>
      <c r="B86" s="21">
        <f t="shared" ref="B86:K86" si="45">$B$22*(1+$B$7)^(B77-1)</f>
        <v>-32510.00222404944</v>
      </c>
      <c r="C86" s="21">
        <f t="shared" si="45"/>
        <v>-33485.302290770916</v>
      </c>
      <c r="D86" s="21">
        <f t="shared" si="45"/>
        <v>-34489.861359494047</v>
      </c>
      <c r="E86" s="21">
        <f t="shared" si="45"/>
        <v>-35524.557200278869</v>
      </c>
      <c r="F86" s="21">
        <f t="shared" si="45"/>
        <v>-36590.293916287235</v>
      </c>
      <c r="G86" s="21">
        <f t="shared" si="45"/>
        <v>-37688.002733775851</v>
      </c>
      <c r="H86" s="21">
        <f t="shared" si="45"/>
        <v>-38818.642815789128</v>
      </c>
      <c r="I86" s="21">
        <f t="shared" si="45"/>
        <v>-39983.202100262803</v>
      </c>
      <c r="J86" s="21">
        <f t="shared" si="45"/>
        <v>-41182.698163270681</v>
      </c>
      <c r="K86" s="22">
        <f t="shared" si="45"/>
        <v>-42418.179108168799</v>
      </c>
      <c r="N86" s="3388"/>
      <c r="O86" s="3390"/>
    </row>
    <row r="87" spans="1:19" ht="13.2" customHeight="1">
      <c r="A87" s="420" t="s">
        <v>4934</v>
      </c>
      <c r="B87" s="2663">
        <f>IF(B77&lt;=+'Part VI-Revenues &amp; Expenses'!$K$243,-'Part VI-Revenues &amp; Expenses'!$H$243,0)</f>
        <v>0</v>
      </c>
      <c r="C87" s="2663">
        <f>IF(C77&lt;=+'Part VI-Revenues &amp; Expenses'!$K$243,-'Part VI-Revenues &amp; Expenses'!$H$243,0)</f>
        <v>0</v>
      </c>
      <c r="D87" s="2663">
        <f>IF(D77&lt;=+'Part VI-Revenues &amp; Expenses'!$K$243,-'Part VI-Revenues &amp; Expenses'!$H$243,0)</f>
        <v>0</v>
      </c>
      <c r="E87" s="2663">
        <f>IF(E77&lt;=+'Part VI-Revenues &amp; Expenses'!$K$243,-'Part VI-Revenues &amp; Expenses'!$H$243,0)</f>
        <v>0</v>
      </c>
      <c r="F87" s="2663">
        <f>IF(F77&lt;=+'Part VI-Revenues &amp; Expenses'!$K$243,-'Part VI-Revenues &amp; Expenses'!$H$243,0)</f>
        <v>0</v>
      </c>
      <c r="G87" s="2663">
        <f>IF(G77&lt;=+'Part VI-Revenues &amp; Expenses'!$K$243,-'Part VI-Revenues &amp; Expenses'!$H$243,0)</f>
        <v>0</v>
      </c>
      <c r="H87" s="2663">
        <f>IF(H77&lt;=+'Part VI-Revenues &amp; Expenses'!$K$243,-'Part VI-Revenues &amp; Expenses'!$H$243,0)</f>
        <v>0</v>
      </c>
      <c r="I87" s="2663">
        <f>IF(I77&lt;=+'Part VI-Revenues &amp; Expenses'!$K$243,-'Part VI-Revenues &amp; Expenses'!$H$243,0)</f>
        <v>0</v>
      </c>
      <c r="J87" s="2663">
        <f>IF(J77&lt;=+'Part VI-Revenues &amp; Expenses'!$K$243,-'Part VI-Revenues &amp; Expenses'!$H$243,0)</f>
        <v>0</v>
      </c>
      <c r="K87" s="2663">
        <f>IF(K77&lt;=+'Part VI-Revenues &amp; Expenses'!$K$243,-'Part VI-Revenues &amp; Expenses'!$H$243,0)</f>
        <v>0</v>
      </c>
      <c r="N87" s="3388"/>
      <c r="O87" s="3390"/>
      <c r="Q87" s="971">
        <v>10</v>
      </c>
      <c r="R87" s="1092">
        <f>-SUM(B92:K92)</f>
        <v>0</v>
      </c>
      <c r="S87" s="1092">
        <f>SUM(B93:K93)+R87</f>
        <v>0</v>
      </c>
    </row>
    <row r="88" spans="1:19" ht="13.2" customHeight="1">
      <c r="A88" s="20" t="s">
        <v>1203</v>
      </c>
      <c r="B88" s="21">
        <f>SUM(B83:B87)</f>
        <v>123203.45655326682</v>
      </c>
      <c r="C88" s="21">
        <f t="shared" ref="C88" si="46">SUM(C83:C87)</f>
        <v>118866.78188959369</v>
      </c>
      <c r="D88" s="21">
        <f t="shared" ref="D88" si="47">SUM(D83:D87)</f>
        <v>114239.55001880485</v>
      </c>
      <c r="E88" s="21">
        <f t="shared" ref="E88" si="48">SUM(E83:E87)</f>
        <v>109310.51128534273</v>
      </c>
      <c r="F88" s="21">
        <f t="shared" ref="F88" si="49">SUM(F83:F87)</f>
        <v>104066.04428519659</v>
      </c>
      <c r="G88" s="21">
        <f t="shared" ref="G88" si="50">SUM(G83:G87)</f>
        <v>98493.143428271782</v>
      </c>
      <c r="H88" s="21">
        <f t="shared" ref="H88" si="51">SUM(H83:H87)</f>
        <v>92579.40610192946</v>
      </c>
      <c r="I88" s="21">
        <f t="shared" ref="I88" si="52">SUM(I83:I87)</f>
        <v>86311.019423213031</v>
      </c>
      <c r="J88" s="21">
        <f t="shared" ref="J88" si="53">SUM(J83:J87)</f>
        <v>79673.746566899965</v>
      </c>
      <c r="K88" s="2156">
        <f>SUM(K83:K87)</f>
        <v>72652.912656117129</v>
      </c>
      <c r="N88" s="3388"/>
      <c r="O88" s="3390"/>
    </row>
    <row r="89" spans="1:19" ht="13.2" customHeight="1">
      <c r="A89" s="20" t="str">
        <f>$A57</f>
        <v>Mortgage A</v>
      </c>
      <c r="B89" s="2664">
        <f>IF('Part III-Sources of Funds'!$P$38="", 0,-'Part III-Sources of Funds'!$P$38)</f>
        <v>-119763.60191377226</v>
      </c>
      <c r="C89" s="2664">
        <f>IF('Part III-Sources of Funds'!$P$38="", 0,-'Part III-Sources of Funds'!$P$38)</f>
        <v>-119763.60191377226</v>
      </c>
      <c r="D89" s="2664">
        <f>IF('Part III-Sources of Funds'!$P$38="", 0,-'Part III-Sources of Funds'!$P$38)</f>
        <v>-119763.60191377226</v>
      </c>
      <c r="E89" s="2664">
        <f>IF('Part III-Sources of Funds'!$P$38="", 0,-'Part III-Sources of Funds'!$P$38)</f>
        <v>-119763.60191377226</v>
      </c>
      <c r="F89" s="2664">
        <f>IF('Part III-Sources of Funds'!$P$38="", 0,-'Part III-Sources of Funds'!$P$38)</f>
        <v>-119763.60191377226</v>
      </c>
      <c r="G89" s="2664">
        <f>IF('Part III-Sources of Funds'!$P$38="", 0,-'Part III-Sources of Funds'!$P$38)</f>
        <v>-119763.60191377226</v>
      </c>
      <c r="H89" s="2664">
        <f>IF('Part III-Sources of Funds'!$P$38="", 0,-'Part III-Sources of Funds'!$P$38)</f>
        <v>-119763.60191377226</v>
      </c>
      <c r="I89" s="2664">
        <f>IF('Part III-Sources of Funds'!$P$38="", 0,-'Part III-Sources of Funds'!$P$38)</f>
        <v>-119763.60191377226</v>
      </c>
      <c r="J89" s="2664">
        <f>IF('Part III-Sources of Funds'!$P$38="", 0,-'Part III-Sources of Funds'!$P$38)</f>
        <v>-119763.60191377226</v>
      </c>
      <c r="K89" s="2664">
        <f>IF('Part III-Sources of Funds'!$P$38="", 0,-'Part III-Sources of Funds'!$P$38)</f>
        <v>-119763.60191377226</v>
      </c>
      <c r="N89" s="3388"/>
      <c r="O89" s="3390"/>
    </row>
    <row r="90" spans="1:19" ht="13.2" customHeight="1">
      <c r="A90" s="20" t="str">
        <f>$A58</f>
        <v>Mortgage B</v>
      </c>
      <c r="B90" s="2665">
        <f>IF('Part III-Sources of Funds'!$P$39="", 0,-'Part III-Sources of Funds'!$P$39)</f>
        <v>0</v>
      </c>
      <c r="C90" s="2665">
        <f>IF('Part III-Sources of Funds'!$P$39="", 0,-'Part III-Sources of Funds'!$P$39)</f>
        <v>0</v>
      </c>
      <c r="D90" s="2665">
        <f>IF('Part III-Sources of Funds'!$P$39="", 0,-'Part III-Sources of Funds'!$P$39)</f>
        <v>0</v>
      </c>
      <c r="E90" s="2665">
        <f>IF('Part III-Sources of Funds'!$P$39="", 0,-'Part III-Sources of Funds'!$P$39)</f>
        <v>0</v>
      </c>
      <c r="F90" s="2665">
        <f>IF('Part III-Sources of Funds'!$P$39="", 0,-'Part III-Sources of Funds'!$P$39)</f>
        <v>0</v>
      </c>
      <c r="G90" s="2665">
        <f>IF('Part III-Sources of Funds'!$P$39="", 0,-'Part III-Sources of Funds'!$P$39)</f>
        <v>0</v>
      </c>
      <c r="H90" s="2665">
        <f>IF('Part III-Sources of Funds'!$P$39="", 0,-'Part III-Sources of Funds'!$P$39)</f>
        <v>0</v>
      </c>
      <c r="I90" s="2665">
        <f>IF('Part III-Sources of Funds'!$P$39="", 0,-'Part III-Sources of Funds'!$P$39)</f>
        <v>0</v>
      </c>
      <c r="J90" s="2665">
        <f>IF('Part III-Sources of Funds'!$P$39="", 0,-'Part III-Sources of Funds'!$P$39)</f>
        <v>0</v>
      </c>
      <c r="K90" s="2665">
        <f>IF('Part III-Sources of Funds'!$P$39="", 0,-'Part III-Sources of Funds'!$P$39)</f>
        <v>0</v>
      </c>
      <c r="N90" s="3388"/>
      <c r="O90" s="3390"/>
    </row>
    <row r="91" spans="1:19" ht="13.2" customHeight="1">
      <c r="A91" s="20" t="str">
        <f>$A59</f>
        <v>Mortgage C</v>
      </c>
      <c r="B91" s="2665">
        <f>IF('Part III-Sources of Funds'!$P$40="", 0,-'Part III-Sources of Funds'!$P$40)</f>
        <v>0</v>
      </c>
      <c r="C91" s="2665">
        <f>IF('Part III-Sources of Funds'!$P$40="", 0,-'Part III-Sources of Funds'!$P$40)</f>
        <v>0</v>
      </c>
      <c r="D91" s="2665">
        <f>IF('Part III-Sources of Funds'!$P$40="", 0,-'Part III-Sources of Funds'!$P$40)</f>
        <v>0</v>
      </c>
      <c r="E91" s="2665">
        <f>IF('Part III-Sources of Funds'!$P$40="", 0,-'Part III-Sources of Funds'!$P$40)</f>
        <v>0</v>
      </c>
      <c r="F91" s="2665">
        <f>IF('Part III-Sources of Funds'!$P$40="", 0,-'Part III-Sources of Funds'!$P$40)</f>
        <v>0</v>
      </c>
      <c r="G91" s="2665">
        <f>IF('Part III-Sources of Funds'!$P$40="", 0,-'Part III-Sources of Funds'!$P$40)</f>
        <v>0</v>
      </c>
      <c r="H91" s="2665">
        <f>IF('Part III-Sources of Funds'!$P$40="", 0,-'Part III-Sources of Funds'!$P$40)</f>
        <v>0</v>
      </c>
      <c r="I91" s="2665">
        <f>IF('Part III-Sources of Funds'!$P$40="", 0,-'Part III-Sources of Funds'!$P$40)</f>
        <v>0</v>
      </c>
      <c r="J91" s="2665">
        <f>IF('Part III-Sources of Funds'!$P$40="", 0,-'Part III-Sources of Funds'!$P$40)</f>
        <v>0</v>
      </c>
      <c r="K91" s="2665">
        <f>IF('Part III-Sources of Funds'!$P$40="", 0,-'Part III-Sources of Funds'!$P$40)</f>
        <v>0</v>
      </c>
      <c r="N91" s="3388"/>
      <c r="O91" s="3390"/>
    </row>
    <row r="92" spans="1:19" ht="13.2" customHeight="1">
      <c r="A92" s="20" t="str">
        <f>$A60</f>
        <v>D/S Other Source,not DDF</v>
      </c>
      <c r="B92" s="2665">
        <f>IF('Part III-Sources of Funds'!$P$41="", 0,-'Part III-Sources of Funds'!$P$41)</f>
        <v>0</v>
      </c>
      <c r="C92" s="2665">
        <f>IF('Part III-Sources of Funds'!$P$41="", 0,-'Part III-Sources of Funds'!$P$41)</f>
        <v>0</v>
      </c>
      <c r="D92" s="2665">
        <f>IF('Part III-Sources of Funds'!$P$41="", 0,-'Part III-Sources of Funds'!$P$41)</f>
        <v>0</v>
      </c>
      <c r="E92" s="2665">
        <f>IF('Part III-Sources of Funds'!$P$41="", 0,-'Part III-Sources of Funds'!$P$41)</f>
        <v>0</v>
      </c>
      <c r="F92" s="2665">
        <f>IF('Part III-Sources of Funds'!$P$41="", 0,-'Part III-Sources of Funds'!$P$41)</f>
        <v>0</v>
      </c>
      <c r="G92" s="2665">
        <f>IF('Part III-Sources of Funds'!$P$41="", 0,-'Part III-Sources of Funds'!$P$41)</f>
        <v>0</v>
      </c>
      <c r="H92" s="2665">
        <f>IF('Part III-Sources of Funds'!$P$41="", 0,-'Part III-Sources of Funds'!$P$41)</f>
        <v>0</v>
      </c>
      <c r="I92" s="2665">
        <f>IF('Part III-Sources of Funds'!$P$41="", 0,-'Part III-Sources of Funds'!$P$41)</f>
        <v>0</v>
      </c>
      <c r="J92" s="2665">
        <f>IF('Part III-Sources of Funds'!$P$41="", 0,-'Part III-Sources of Funds'!$P$41)</f>
        <v>0</v>
      </c>
      <c r="K92" s="2665">
        <f>IF('Part III-Sources of Funds'!$P$41="", 0,-'Part III-Sources of Funds'!$P$41)</f>
        <v>0</v>
      </c>
      <c r="N92" s="3388"/>
      <c r="O92" s="3390"/>
    </row>
    <row r="93" spans="1:19" ht="13.2" customHeight="1">
      <c r="A93" s="20" t="s">
        <v>763</v>
      </c>
      <c r="B93" s="2666"/>
      <c r="C93" s="2666"/>
      <c r="D93" s="2666"/>
      <c r="E93" s="2666"/>
      <c r="F93" s="2666"/>
      <c r="G93" s="2666"/>
      <c r="H93" s="2666"/>
      <c r="I93" s="2666"/>
      <c r="J93" s="2666"/>
      <c r="K93" s="2666"/>
      <c r="N93" s="3388"/>
      <c r="O93" s="3390"/>
    </row>
    <row r="94" spans="1:19" ht="13.2" customHeight="1">
      <c r="A94" s="420" t="s">
        <v>1163</v>
      </c>
      <c r="B94" s="2668">
        <f>+K62</f>
        <v>-5000</v>
      </c>
      <c r="C94" s="2668">
        <f t="shared" ref="C94:K94" si="54">+B94</f>
        <v>-5000</v>
      </c>
      <c r="D94" s="2668">
        <f t="shared" si="54"/>
        <v>-5000</v>
      </c>
      <c r="E94" s="2668">
        <f t="shared" si="54"/>
        <v>-5000</v>
      </c>
      <c r="F94" s="2668">
        <f t="shared" si="54"/>
        <v>-5000</v>
      </c>
      <c r="G94" s="2668">
        <f t="shared" si="54"/>
        <v>-5000</v>
      </c>
      <c r="H94" s="2668">
        <f t="shared" si="54"/>
        <v>-5000</v>
      </c>
      <c r="I94" s="2668">
        <f t="shared" si="54"/>
        <v>-5000</v>
      </c>
      <c r="J94" s="2668">
        <f t="shared" si="54"/>
        <v>-5000</v>
      </c>
      <c r="K94" s="2668">
        <f t="shared" si="54"/>
        <v>-5000</v>
      </c>
      <c r="N94" s="3388"/>
      <c r="O94" s="3390"/>
    </row>
    <row r="95" spans="1:19" ht="13.2" customHeight="1">
      <c r="A95" s="20" t="s">
        <v>1164</v>
      </c>
      <c r="B95" s="21">
        <f t="shared" ref="B95:K95" si="55">SUM(B88:B94)</f>
        <v>-1560.1453605054412</v>
      </c>
      <c r="C95" s="21">
        <f t="shared" si="55"/>
        <v>-5896.8200241785671</v>
      </c>
      <c r="D95" s="21">
        <f t="shared" si="55"/>
        <v>-10524.051894967415</v>
      </c>
      <c r="E95" s="21">
        <f t="shared" si="55"/>
        <v>-15453.090628429534</v>
      </c>
      <c r="F95" s="21">
        <f t="shared" si="55"/>
        <v>-20697.557628575669</v>
      </c>
      <c r="G95" s="21">
        <f t="shared" si="55"/>
        <v>-26270.45848550048</v>
      </c>
      <c r="H95" s="21">
        <f t="shared" si="55"/>
        <v>-32184.195811842801</v>
      </c>
      <c r="I95" s="21">
        <f t="shared" si="55"/>
        <v>-38452.582490559231</v>
      </c>
      <c r="J95" s="21">
        <f t="shared" si="55"/>
        <v>-45089.855346872297</v>
      </c>
      <c r="K95" s="22">
        <f t="shared" si="55"/>
        <v>-52110.689257655133</v>
      </c>
      <c r="N95" s="3388"/>
      <c r="O95" s="3390"/>
    </row>
    <row r="96" spans="1:19" ht="13.2" customHeight="1">
      <c r="A96" s="20" t="str">
        <f>$A65</f>
        <v>DCR Mortgage A</v>
      </c>
      <c r="B96" s="23">
        <f t="shared" ref="B96:K96" si="56">IF(B89=0,"",-B88/B89)</f>
        <v>1.0287220372845098</v>
      </c>
      <c r="C96" s="23">
        <f t="shared" si="56"/>
        <v>0.99251174806161668</v>
      </c>
      <c r="D96" s="23">
        <f t="shared" si="56"/>
        <v>0.95387536942196649</v>
      </c>
      <c r="E96" s="23">
        <f t="shared" si="56"/>
        <v>0.91271896919102702</v>
      </c>
      <c r="F96" s="23">
        <f t="shared" si="56"/>
        <v>0.86892881161107993</v>
      </c>
      <c r="G96" s="23">
        <f t="shared" si="56"/>
        <v>0.82239630283652587</v>
      </c>
      <c r="H96" s="23">
        <f t="shared" si="56"/>
        <v>0.7730178837522359</v>
      </c>
      <c r="I96" s="23">
        <f t="shared" si="56"/>
        <v>0.72067821979298419</v>
      </c>
      <c r="J96" s="23">
        <f t="shared" si="56"/>
        <v>0.66525843656792905</v>
      </c>
      <c r="K96" s="24">
        <f t="shared" si="56"/>
        <v>0.60663600205032231</v>
      </c>
      <c r="N96" s="3388"/>
      <c r="O96" s="3390"/>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88"/>
      <c r="O97" s="3390"/>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88"/>
      <c r="O98" s="3390"/>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88"/>
      <c r="O99" s="3390"/>
    </row>
    <row r="100" spans="1:15" ht="13.2" customHeight="1">
      <c r="A100" s="420" t="s">
        <v>3710</v>
      </c>
      <c r="B100" s="23">
        <f t="shared" ref="B100:K100" si="60">IF(AND(B89=0,B90=0,B91=0,B92=0),"",-B88/(B89+B90+B91+B92))</f>
        <v>1.0287220372845098</v>
      </c>
      <c r="C100" s="23">
        <f t="shared" si="60"/>
        <v>0.99251174806161668</v>
      </c>
      <c r="D100" s="23">
        <f t="shared" si="60"/>
        <v>0.95387536942196649</v>
      </c>
      <c r="E100" s="23">
        <f t="shared" si="60"/>
        <v>0.91271896919102702</v>
      </c>
      <c r="F100" s="23">
        <f t="shared" si="60"/>
        <v>0.86892881161107993</v>
      </c>
      <c r="G100" s="23">
        <f t="shared" si="60"/>
        <v>0.82239630283652587</v>
      </c>
      <c r="H100" s="23">
        <f t="shared" si="60"/>
        <v>0.7730178837522359</v>
      </c>
      <c r="I100" s="23">
        <f t="shared" si="60"/>
        <v>0.72067821979298419</v>
      </c>
      <c r="J100" s="23">
        <f t="shared" si="60"/>
        <v>0.66525843656792905</v>
      </c>
      <c r="K100" s="24">
        <f t="shared" si="60"/>
        <v>0.60663600205032231</v>
      </c>
      <c r="N100" s="3388"/>
      <c r="O100" s="3390"/>
    </row>
    <row r="101" spans="1:15" ht="13.2" customHeight="1">
      <c r="A101" s="20" t="s">
        <v>770</v>
      </c>
      <c r="B101" s="266">
        <f>IF(OR(B85="Choose mgt fee",B85="Choose One!"),"",(B78+B79+B80+B81+B82) / -(B84+B85+B86))</f>
        <v>1.1811731932849796</v>
      </c>
      <c r="C101" s="266">
        <f t="shared" ref="C101:K101" si="61">IF(OR(C85="Choose mgt fee",C85="Choose One!"),"",(C78+C79+C80+C81+C82) / -(C84+C85+C86))</f>
        <v>1.1697047742898603</v>
      </c>
      <c r="D101" s="266">
        <f t="shared" si="61"/>
        <v>1.158348031915662</v>
      </c>
      <c r="E101" s="266">
        <f t="shared" si="61"/>
        <v>1.147102907045924</v>
      </c>
      <c r="F101" s="266">
        <f t="shared" si="61"/>
        <v>1.1359662972967948</v>
      </c>
      <c r="G101" s="266">
        <f t="shared" si="61"/>
        <v>1.1249369132384706</v>
      </c>
      <c r="H101" s="266">
        <f t="shared" si="61"/>
        <v>1.1140149624025584</v>
      </c>
      <c r="I101" s="266">
        <f t="shared" si="61"/>
        <v>1.1031992303935763</v>
      </c>
      <c r="J101" s="266">
        <f t="shared" si="61"/>
        <v>1.0924886089820847</v>
      </c>
      <c r="K101" s="267">
        <f t="shared" si="61"/>
        <v>1.0818820819688619</v>
      </c>
      <c r="N101" s="3388"/>
      <c r="O101" s="3390"/>
    </row>
    <row r="102" spans="1:15" ht="13.2" customHeight="1">
      <c r="A102" s="420" t="s">
        <v>2617</v>
      </c>
      <c r="B102" s="2669">
        <f>IF('Part III-Sources of Funds'!$I$38="","",-FV('Part III-Sources of Funds'!$K$38/12,12,B89/12,K71))</f>
        <v>1115603.3349092898</v>
      </c>
      <c r="C102" s="2669">
        <f>IF('Part III-Sources of Funds'!$I$38="","",-FV('Part III-Sources of Funds'!$K$38/12,12,C89/12,B102))</f>
        <v>1064106.3706093698</v>
      </c>
      <c r="D102" s="2669">
        <f>IF('Part III-Sources of Funds'!$I$38="","",-FV('Part III-Sources of Funds'!$K$38/12,12,D89/12,C102))</f>
        <v>1009297.0281189606</v>
      </c>
      <c r="E102" s="2669">
        <f>IF('Part III-Sources of Funds'!$I$38="","",-FV('Part III-Sources of Funds'!$K$38/12,12,E89/12,D102))</f>
        <v>950962.2492621874</v>
      </c>
      <c r="F102" s="2669">
        <f>IF('Part III-Sources of Funds'!$I$38="","",-FV('Part III-Sources of Funds'!$K$38/12,12,F89/12,E102))</f>
        <v>888875.27157468651</v>
      </c>
      <c r="G102" s="2669">
        <f>IF('Part III-Sources of Funds'!$I$38="","",-FV('Part III-Sources of Funds'!$K$38/12,12,G89/12,F102))</f>
        <v>822794.74681890151</v>
      </c>
      <c r="H102" s="2669">
        <f>IF('Part III-Sources of Funds'!$I$38="","",-FV('Part III-Sources of Funds'!$K$38/12,12,H89/12,G102))</f>
        <v>752463.8028006847</v>
      </c>
      <c r="I102" s="2669">
        <f>IF('Part III-Sources of Funds'!$I$38="","",-FV('Part III-Sources of Funds'!$K$38/12,12,I89/12,H102))</f>
        <v>677609.04484023876</v>
      </c>
      <c r="J102" s="2669">
        <f>IF('Part III-Sources of Funds'!$I$38="","",-FV('Part III-Sources of Funds'!$K$38/12,12,J89/12,I102))</f>
        <v>597939.49301585788</v>
      </c>
      <c r="K102" s="2669">
        <f>IF('Part III-Sources of Funds'!$I$38="","",-FV('Part III-Sources of Funds'!$K$38/12,12,K89/12,J102))</f>
        <v>513145.45104925818</v>
      </c>
      <c r="N102" s="3388"/>
      <c r="O102" s="3390"/>
    </row>
    <row r="103" spans="1:15" ht="13.2" customHeight="1">
      <c r="A103" s="420" t="s">
        <v>2618</v>
      </c>
      <c r="B103" s="2665" t="str">
        <f>IF('Part III-Sources of Funds'!$I$39="","",-FV('Part III-Sources of Funds'!$K$39/12,12,B90/12,K72))</f>
        <v/>
      </c>
      <c r="C103" s="2665" t="str">
        <f>IF('Part III-Sources of Funds'!$I$39="","",-FV('Part III-Sources of Funds'!$K$39/12,12,C90/12,B103))</f>
        <v/>
      </c>
      <c r="D103" s="2665" t="str">
        <f>IF('Part III-Sources of Funds'!$I$39="","",-FV('Part III-Sources of Funds'!$K$39/12,12,D90/12,C103))</f>
        <v/>
      </c>
      <c r="E103" s="2665" t="str">
        <f>IF('Part III-Sources of Funds'!$I$39="","",-FV('Part III-Sources of Funds'!$K$39/12,12,E90/12,D103))</f>
        <v/>
      </c>
      <c r="F103" s="2665" t="str">
        <f>IF('Part III-Sources of Funds'!$I$39="","",-FV('Part III-Sources of Funds'!$K$39/12,12,F90/12,E103))</f>
        <v/>
      </c>
      <c r="G103" s="2665" t="str">
        <f>IF('Part III-Sources of Funds'!$I$39="","",-FV('Part III-Sources of Funds'!$K$39/12,12,G90/12,F103))</f>
        <v/>
      </c>
      <c r="H103" s="2665" t="str">
        <f>IF('Part III-Sources of Funds'!$I$39="","",-FV('Part III-Sources of Funds'!$K$39/12,12,H90/12,G103))</f>
        <v/>
      </c>
      <c r="I103" s="2665" t="str">
        <f>IF('Part III-Sources of Funds'!$I$39="","",-FV('Part III-Sources of Funds'!$K$39/12,12,I90/12,H103))</f>
        <v/>
      </c>
      <c r="J103" s="2665" t="str">
        <f>IF('Part III-Sources of Funds'!$I$39="","",-FV('Part III-Sources of Funds'!$K$39/12,12,J90/12,I103))</f>
        <v/>
      </c>
      <c r="K103" s="2665" t="str">
        <f>IF('Part III-Sources of Funds'!$I$39="","",-FV('Part III-Sources of Funds'!$K$39/12,12,K90/12,J103))</f>
        <v/>
      </c>
      <c r="N103" s="3388"/>
      <c r="O103" s="3390"/>
    </row>
    <row r="104" spans="1:15" ht="13.2" customHeight="1">
      <c r="A104" s="420" t="s">
        <v>2619</v>
      </c>
      <c r="B104" s="2665" t="str">
        <f>IF('Part III-Sources of Funds'!$I$40="","",-FV('Part III-Sources of Funds'!$K$40/12,12,B91/12,K73))</f>
        <v/>
      </c>
      <c r="C104" s="2665" t="str">
        <f>IF('Part III-Sources of Funds'!$I$40="","",-FV('Part III-Sources of Funds'!$K$40/12,12,C91/12,B104))</f>
        <v/>
      </c>
      <c r="D104" s="2665" t="str">
        <f>IF('Part III-Sources of Funds'!$I$40="","",-FV('Part III-Sources of Funds'!$K$40/12,12,D91/12,C104))</f>
        <v/>
      </c>
      <c r="E104" s="2665" t="str">
        <f>IF('Part III-Sources of Funds'!$I$40="","",-FV('Part III-Sources of Funds'!$K$40/12,12,E91/12,D104))</f>
        <v/>
      </c>
      <c r="F104" s="2665" t="str">
        <f>IF('Part III-Sources of Funds'!$I$40="","",-FV('Part III-Sources of Funds'!$K$40/12,12,F91/12,E104))</f>
        <v/>
      </c>
      <c r="G104" s="2665" t="str">
        <f>IF('Part III-Sources of Funds'!$I$40="","",-FV('Part III-Sources of Funds'!$K$40/12,12,G91/12,F104))</f>
        <v/>
      </c>
      <c r="H104" s="2665" t="str">
        <f>IF('Part III-Sources of Funds'!$I$40="","",-FV('Part III-Sources of Funds'!$K$40/12,12,H91/12,G104))</f>
        <v/>
      </c>
      <c r="I104" s="2665" t="str">
        <f>IF('Part III-Sources of Funds'!$I$40="","",-FV('Part III-Sources of Funds'!$K$40/12,12,I91/12,H104))</f>
        <v/>
      </c>
      <c r="J104" s="2665" t="str">
        <f>IF('Part III-Sources of Funds'!$I$40="","",-FV('Part III-Sources of Funds'!$K$40/12,12,J91/12,I104))</f>
        <v/>
      </c>
      <c r="K104" s="2665" t="str">
        <f>IF('Part III-Sources of Funds'!$I$40="","",-FV('Part III-Sources of Funds'!$K$40/12,12,K91/12,J104))</f>
        <v/>
      </c>
      <c r="N104" s="3388"/>
      <c r="O104" s="3390"/>
    </row>
    <row r="105" spans="1:15" ht="13.2" customHeight="1">
      <c r="A105" s="20" t="s">
        <v>784</v>
      </c>
      <c r="B105" s="2668" t="str">
        <f>IF('Part III-Sources of Funds'!$I$41="","",-FV('Part III-Sources of Funds'!$K$41/12,12,B92/12,K74))</f>
        <v/>
      </c>
      <c r="C105" s="2668" t="str">
        <f>IF('Part III-Sources of Funds'!$I$41="","",-FV('Part III-Sources of Funds'!$K$41/12,12,C92/12,B105))</f>
        <v/>
      </c>
      <c r="D105" s="2668" t="str">
        <f>IF('Part III-Sources of Funds'!$I$41="","",-FV('Part III-Sources of Funds'!$K$41/12,12,D92/12,C105))</f>
        <v/>
      </c>
      <c r="E105" s="2668" t="str">
        <f>IF('Part III-Sources of Funds'!$I$41="","",-FV('Part III-Sources of Funds'!$K$41/12,12,E92/12,D105))</f>
        <v/>
      </c>
      <c r="F105" s="2668" t="str">
        <f>IF('Part III-Sources of Funds'!$I$41="","",-FV('Part III-Sources of Funds'!$K$41/12,12,F92/12,E105))</f>
        <v/>
      </c>
      <c r="G105" s="2668" t="str">
        <f>IF('Part III-Sources of Funds'!$I$41="","",-FV('Part III-Sources of Funds'!$K$41/12,12,G92/12,F105))</f>
        <v/>
      </c>
      <c r="H105" s="2668" t="str">
        <f>IF('Part III-Sources of Funds'!$I$41="","",-FV('Part III-Sources of Funds'!$K$41/12,12,H92/12,G105))</f>
        <v/>
      </c>
      <c r="I105" s="2668" t="str">
        <f>IF('Part III-Sources of Funds'!$I$41="","",-FV('Part III-Sources of Funds'!$K$41/12,12,I92/12,H105))</f>
        <v/>
      </c>
      <c r="J105" s="2668" t="str">
        <f>IF('Part III-Sources of Funds'!$I$41="","",-FV('Part III-Sources of Funds'!$K$41/12,12,J92/12,I105))</f>
        <v/>
      </c>
      <c r="K105" s="2668" t="str">
        <f>IF('Part III-Sources of Funds'!$I$41="","",-FV('Part III-Sources of Funds'!$K$41/12,12,K92/12,J105))</f>
        <v/>
      </c>
      <c r="N105" s="3392"/>
      <c r="O105" s="3394"/>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107" t="s">
        <v>3700</v>
      </c>
      <c r="O107" s="3107"/>
    </row>
    <row r="108" spans="1:15" ht="13.2" customHeight="1">
      <c r="A108" s="17" t="s">
        <v>2404</v>
      </c>
      <c r="B108" s="18">
        <f>$B$14*(1+$B$5)^(B107-1)</f>
        <v>1032193.5305317914</v>
      </c>
      <c r="C108" s="18">
        <f>$B$14*(1+$B$5)^(C107-1)</f>
        <v>1052837.401142427</v>
      </c>
      <c r="D108" s="18">
        <f>$B$14*(1+$B$5)^(D107-1)</f>
        <v>1073894.1491652757</v>
      </c>
      <c r="E108" s="18">
        <f>$B$14*(1+$B$5)^(E107-1)</f>
        <v>1095372.0321485812</v>
      </c>
      <c r="F108" s="625">
        <f>$B$14*(1+$B$5)^(F107-1)</f>
        <v>1117279.4727915528</v>
      </c>
      <c r="G108" s="16"/>
      <c r="H108" s="16"/>
      <c r="I108" s="16"/>
      <c r="J108" s="16"/>
      <c r="K108" s="16"/>
      <c r="N108" s="3383"/>
      <c r="O108" s="3385"/>
    </row>
    <row r="109" spans="1:15" ht="13.2" customHeight="1">
      <c r="A109" s="20" t="s">
        <v>1016</v>
      </c>
      <c r="B109" s="21">
        <f>$B$15*(1+$B$5)^(B107-1)</f>
        <v>20643.87061063583</v>
      </c>
      <c r="C109" s="21">
        <f>$B$15*(1+$B$5)^(C107-1)</f>
        <v>21056.74802284854</v>
      </c>
      <c r="D109" s="21">
        <f>$B$15*(1+$B$5)^(D107-1)</f>
        <v>21477.882983305517</v>
      </c>
      <c r="E109" s="21">
        <f>$B$15*(1+$B$5)^(E107-1)</f>
        <v>21907.440642971629</v>
      </c>
      <c r="F109" s="22">
        <f>$B$15*(1+$B$5)^(F107-1)</f>
        <v>22345.589455831057</v>
      </c>
      <c r="G109" s="16"/>
      <c r="H109" s="16"/>
      <c r="I109" s="16"/>
      <c r="J109" s="16"/>
      <c r="K109" s="16"/>
      <c r="N109" s="3388"/>
      <c r="O109" s="3390"/>
    </row>
    <row r="110" spans="1:15" ht="13.2" customHeight="1">
      <c r="A110" s="20" t="s">
        <v>2405</v>
      </c>
      <c r="B110" s="21">
        <f>-(B108+B109)*$B$8</f>
        <v>-73698.618079969907</v>
      </c>
      <c r="C110" s="21">
        <f>-(C108+C109)*$B$8</f>
        <v>-75172.590441569293</v>
      </c>
      <c r="D110" s="21">
        <f>-(D108+D109)*$B$8</f>
        <v>-76676.0422504007</v>
      </c>
      <c r="E110" s="21">
        <f>-(E108+E109)*$B$8</f>
        <v>-78209.563095408696</v>
      </c>
      <c r="F110" s="22">
        <f>-(F108+F109)*$B$8</f>
        <v>-79773.75435731688</v>
      </c>
      <c r="G110" s="16"/>
      <c r="H110" s="16"/>
      <c r="I110" s="16"/>
      <c r="J110" s="16"/>
      <c r="K110" s="16"/>
      <c r="N110" s="3388"/>
      <c r="O110" s="3390"/>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88"/>
      <c r="O111" s="3390"/>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88"/>
      <c r="O112" s="3390"/>
    </row>
    <row r="113" spans="1:19" ht="13.2" customHeight="1">
      <c r="A113" s="420" t="s">
        <v>4935</v>
      </c>
      <c r="B113" s="21">
        <f>SUM(B108:B112)</f>
        <v>979138.78306245734</v>
      </c>
      <c r="C113" s="21">
        <f>SUM(C108:C112)</f>
        <v>998721.55872370617</v>
      </c>
      <c r="D113" s="21">
        <f>SUM(D108:D112)</f>
        <v>1018695.9898981806</v>
      </c>
      <c r="E113" s="21">
        <f>SUM(E108:E112)</f>
        <v>1039069.9096961441</v>
      </c>
      <c r="F113" s="22">
        <f>SUM(F108:F112)</f>
        <v>1059851.3078900669</v>
      </c>
      <c r="G113" s="16"/>
      <c r="H113" s="16"/>
      <c r="I113" s="16"/>
      <c r="J113" s="16"/>
      <c r="K113" s="16"/>
      <c r="N113" s="3388"/>
      <c r="O113" s="3390"/>
    </row>
    <row r="114" spans="1:19" ht="13.2" customHeight="1">
      <c r="A114" s="20" t="s">
        <v>614</v>
      </c>
      <c r="B114" s="21">
        <f>$B$20*(1+$B$6)^(B107-1)</f>
        <v>-786328.6683791884</v>
      </c>
      <c r="C114" s="21">
        <f>$B$20*(1+$B$6)^(C107-1)</f>
        <v>-809918.52843056421</v>
      </c>
      <c r="D114" s="21">
        <f>$B$20*(1+$B$6)^(D107-1)</f>
        <v>-834216.08428348089</v>
      </c>
      <c r="E114" s="21">
        <f>$B$20*(1+$B$6)^(E107-1)</f>
        <v>-859242.56681198545</v>
      </c>
      <c r="F114" s="22">
        <f>$B$20*(1+$B$6)^(F107-1)</f>
        <v>-885019.84381634486</v>
      </c>
      <c r="G114" s="16"/>
      <c r="H114" s="16"/>
      <c r="I114" s="16"/>
      <c r="J114" s="16"/>
      <c r="K114" s="16"/>
      <c r="N114" s="3388"/>
      <c r="O114" s="3390"/>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-83886</v>
      </c>
      <c r="C115" s="21">
        <f>IF(AND('Part VII-Pro Forma'!$G$8="Yes",'Part VII-Pro Forma'!$G$9="Yes"),"Choose One!",IF('Part VII-Pro Forma'!$G$8="Yes",ROUND((-$K$8*(1+'Part VII-Pro Forma'!$B$6)^('Part VII-Pro Forma'!C107-1)),),IF('Part VII-Pro Forma'!$G$9="Yes",ROUND((-(SUM(C108:C111)*'Part VII-Pro Forma'!$K$9)),),"Choose mgt fee")))</f>
        <v>-86403</v>
      </c>
      <c r="D115" s="21">
        <f>IF(AND('Part VII-Pro Forma'!$G$8="Yes",'Part VII-Pro Forma'!$G$9="Yes"),"Choose One!",IF('Part VII-Pro Forma'!$G$8="Yes",ROUND((-$K$8*(1+'Part VII-Pro Forma'!$B$6)^('Part VII-Pro Forma'!D107-1)),),IF('Part VII-Pro Forma'!$G$9="Yes",ROUND((-(SUM(D108:D111)*'Part VII-Pro Forma'!$K$9)),),"Choose mgt fee")))</f>
        <v>-88995</v>
      </c>
      <c r="E115" s="21">
        <f>IF(AND('Part VII-Pro Forma'!$G$8="Yes",'Part VII-Pro Forma'!$G$9="Yes"),"Choose One!",IF('Part VII-Pro Forma'!$G$8="Yes",ROUND((-$K$8*(1+'Part VII-Pro Forma'!$B$6)^('Part VII-Pro Forma'!E107-1)),),IF('Part VII-Pro Forma'!$G$9="Yes",ROUND((-(SUM(E108:E111)*'Part VII-Pro Forma'!$K$9)),),"Choose mgt fee")))</f>
        <v>-91665</v>
      </c>
      <c r="F115" s="22">
        <f>IF(AND('Part VII-Pro Forma'!$G$8="Yes",'Part VII-Pro Forma'!$G$9="Yes"),"Choose One!",IF('Part VII-Pro Forma'!$G$8="Yes",ROUND((-$K$8*(1+'Part VII-Pro Forma'!$B$6)^('Part VII-Pro Forma'!F107-1)),),IF('Part VII-Pro Forma'!$G$9="Yes",ROUND((-(SUM(F108:F111)*'Part VII-Pro Forma'!$K$9)),),"Choose mgt fee")))</f>
        <v>-94415</v>
      </c>
      <c r="G115" s="16"/>
      <c r="H115" s="16"/>
      <c r="I115" s="16"/>
      <c r="J115" s="16"/>
      <c r="K115" s="16"/>
      <c r="N115" s="3388"/>
      <c r="O115" s="3390"/>
    </row>
    <row r="116" spans="1:19" ht="13.2" customHeight="1">
      <c r="A116" s="20" t="s">
        <v>1202</v>
      </c>
      <c r="B116" s="21">
        <f>$B$22*(1+$B$7)^(B107-1)</f>
        <v>-43690.724481413861</v>
      </c>
      <c r="C116" s="21">
        <f>$B$22*(1+$B$7)^(C107-1)</f>
        <v>-45001.446215856289</v>
      </c>
      <c r="D116" s="21">
        <f>$B$22*(1+$B$7)^(D107-1)</f>
        <v>-46351.489602331967</v>
      </c>
      <c r="E116" s="21">
        <f>$B$22*(1+$B$7)^(E107-1)</f>
        <v>-47742.034290401927</v>
      </c>
      <c r="F116" s="22">
        <f>$B$22*(1+$B$7)^(F107-1)</f>
        <v>-49174.295319113975</v>
      </c>
      <c r="G116" s="16"/>
      <c r="H116" s="16"/>
      <c r="I116" s="16"/>
      <c r="J116" s="16"/>
      <c r="K116" s="16"/>
      <c r="N116" s="3388"/>
      <c r="O116" s="3390"/>
    </row>
    <row r="117" spans="1:19" ht="13.2" customHeight="1">
      <c r="A117" s="420" t="s">
        <v>4934</v>
      </c>
      <c r="B117" s="2663">
        <f>IF(B107&lt;=+'Part VI-Revenues &amp; Expenses'!$K$243,-'Part VI-Revenues &amp; Expenses'!$H$243,0)</f>
        <v>0</v>
      </c>
      <c r="C117" s="2663">
        <f>IF(C107&lt;=+'Part VI-Revenues &amp; Expenses'!$K$243,-'Part VI-Revenues &amp; Expenses'!$H$243,0)</f>
        <v>0</v>
      </c>
      <c r="D117" s="2663">
        <f>IF(D107&lt;=+'Part VI-Revenues &amp; Expenses'!$K$243,-'Part VI-Revenues &amp; Expenses'!$H$243,0)</f>
        <v>0</v>
      </c>
      <c r="E117" s="2663">
        <f>IF(E107&lt;=+'Part VI-Revenues &amp; Expenses'!$K$243,-'Part VI-Revenues &amp; Expenses'!$H$243,0)</f>
        <v>0</v>
      </c>
      <c r="F117" s="2663">
        <f>IF(F107&lt;=+'Part VI-Revenues &amp; Expenses'!$K$243,-'Part VI-Revenues &amp; Expenses'!$H$243,0)</f>
        <v>0</v>
      </c>
      <c r="G117" s="16"/>
      <c r="H117" s="16"/>
      <c r="I117" s="16"/>
      <c r="J117" s="16"/>
      <c r="K117" s="16"/>
      <c r="N117" s="3388"/>
      <c r="O117" s="3390"/>
      <c r="Q117" s="971">
        <v>10</v>
      </c>
      <c r="R117" s="1092">
        <f>-SUM(B122:K122)</f>
        <v>0</v>
      </c>
      <c r="S117" s="1092">
        <f>SUM(B123:K123)+R117</f>
        <v>0</v>
      </c>
    </row>
    <row r="118" spans="1:19" ht="13.2" customHeight="1">
      <c r="A118" s="20" t="s">
        <v>1203</v>
      </c>
      <c r="B118" s="21">
        <f t="shared" ref="B118" si="62">SUM(B113:B117)</f>
        <v>65233.39020185508</v>
      </c>
      <c r="C118" s="21">
        <f t="shared" ref="C118" si="63">SUM(C113:C117)</f>
        <v>57398.584077285668</v>
      </c>
      <c r="D118" s="21">
        <f t="shared" ref="D118" si="64">SUM(D113:D117)</f>
        <v>49133.416012367736</v>
      </c>
      <c r="E118" s="21">
        <f t="shared" ref="E118" si="65">SUM(E113:E117)</f>
        <v>40420.308593756672</v>
      </c>
      <c r="F118" s="2156">
        <f>SUM(F113:F117)</f>
        <v>31242.168754608043</v>
      </c>
      <c r="G118" s="16"/>
      <c r="H118" s="16"/>
      <c r="I118" s="16"/>
      <c r="J118" s="16"/>
      <c r="K118" s="16"/>
      <c r="N118" s="3388"/>
      <c r="O118" s="3390"/>
    </row>
    <row r="119" spans="1:19" ht="13.2" customHeight="1">
      <c r="A119" s="20" t="str">
        <f>$A89</f>
        <v>Mortgage A</v>
      </c>
      <c r="B119" s="2664">
        <f>IF('Part III-Sources of Funds'!$P$38="", 0,-'Part III-Sources of Funds'!$P$38)</f>
        <v>-119763.60191377226</v>
      </c>
      <c r="C119" s="2664">
        <f>IF('Part III-Sources of Funds'!$P$38="", 0,-'Part III-Sources of Funds'!$P$38)</f>
        <v>-119763.60191377226</v>
      </c>
      <c r="D119" s="2664">
        <f>IF('Part III-Sources of Funds'!$P$38="", 0,-'Part III-Sources of Funds'!$P$38)</f>
        <v>-119763.60191377226</v>
      </c>
      <c r="E119" s="2664">
        <f>IF('Part III-Sources of Funds'!$P$38="", 0,-'Part III-Sources of Funds'!$P$38)</f>
        <v>-119763.60191377226</v>
      </c>
      <c r="F119" s="2664">
        <f>IF('Part III-Sources of Funds'!$P$38="", 0,-'Part III-Sources of Funds'!$P$38)</f>
        <v>-119763.60191377226</v>
      </c>
      <c r="G119" s="16"/>
      <c r="H119" s="16"/>
      <c r="I119" s="16"/>
      <c r="J119" s="16"/>
      <c r="K119" s="16"/>
      <c r="N119" s="3388"/>
      <c r="O119" s="3390"/>
    </row>
    <row r="120" spans="1:19" ht="13.2" customHeight="1">
      <c r="A120" s="20" t="str">
        <f>$A90</f>
        <v>Mortgage B</v>
      </c>
      <c r="B120" s="2665">
        <f>IF('Part III-Sources of Funds'!$P$39="", 0,-'Part III-Sources of Funds'!$P$39)</f>
        <v>0</v>
      </c>
      <c r="C120" s="2665">
        <f>IF('Part III-Sources of Funds'!$P$39="", 0,-'Part III-Sources of Funds'!$P$39)</f>
        <v>0</v>
      </c>
      <c r="D120" s="2665">
        <f>IF('Part III-Sources of Funds'!$P$39="", 0,-'Part III-Sources of Funds'!$P$39)</f>
        <v>0</v>
      </c>
      <c r="E120" s="2665">
        <f>IF('Part III-Sources of Funds'!$P$39="", 0,-'Part III-Sources of Funds'!$P$39)</f>
        <v>0</v>
      </c>
      <c r="F120" s="2665">
        <f>IF('Part III-Sources of Funds'!$P$39="", 0,-'Part III-Sources of Funds'!$P$39)</f>
        <v>0</v>
      </c>
      <c r="G120" s="16"/>
      <c r="H120" s="16"/>
      <c r="I120" s="16"/>
      <c r="J120" s="16"/>
      <c r="K120" s="16"/>
      <c r="N120" s="3388"/>
      <c r="O120" s="3390"/>
    </row>
    <row r="121" spans="1:19" ht="13.2" customHeight="1">
      <c r="A121" s="20" t="str">
        <f>$A91</f>
        <v>Mortgage C</v>
      </c>
      <c r="B121" s="2665">
        <f>IF('Part III-Sources of Funds'!$P$40="", 0,-'Part III-Sources of Funds'!$P$40)</f>
        <v>0</v>
      </c>
      <c r="C121" s="2665">
        <f>IF('Part III-Sources of Funds'!$P$40="", 0,-'Part III-Sources of Funds'!$P$40)</f>
        <v>0</v>
      </c>
      <c r="D121" s="2665">
        <f>IF('Part III-Sources of Funds'!$P$40="", 0,-'Part III-Sources of Funds'!$P$40)</f>
        <v>0</v>
      </c>
      <c r="E121" s="2665">
        <f>IF('Part III-Sources of Funds'!$P$40="", 0,-'Part III-Sources of Funds'!$P$40)</f>
        <v>0</v>
      </c>
      <c r="F121" s="2665">
        <f>IF('Part III-Sources of Funds'!$P$40="", 0,-'Part III-Sources of Funds'!$P$40)</f>
        <v>0</v>
      </c>
      <c r="G121" s="16"/>
      <c r="H121" s="16"/>
      <c r="I121" s="16"/>
      <c r="J121" s="16"/>
      <c r="K121" s="16"/>
      <c r="N121" s="3388"/>
      <c r="O121" s="3390"/>
    </row>
    <row r="122" spans="1:19" ht="13.2" customHeight="1">
      <c r="A122" s="20" t="str">
        <f>$A92</f>
        <v>D/S Other Source,not DDF</v>
      </c>
      <c r="B122" s="2665">
        <f>IF('Part III-Sources of Funds'!$P$41="", 0,-'Part III-Sources of Funds'!$P$41)</f>
        <v>0</v>
      </c>
      <c r="C122" s="2665">
        <f>IF('Part III-Sources of Funds'!$P$41="", 0,-'Part III-Sources of Funds'!$P$41)</f>
        <v>0</v>
      </c>
      <c r="D122" s="2665">
        <f>IF('Part III-Sources of Funds'!$P$41="", 0,-'Part III-Sources of Funds'!$P$41)</f>
        <v>0</v>
      </c>
      <c r="E122" s="2665">
        <f>IF('Part III-Sources of Funds'!$P$41="", 0,-'Part III-Sources of Funds'!$P$41)</f>
        <v>0</v>
      </c>
      <c r="F122" s="2665">
        <f>IF('Part III-Sources of Funds'!$P$41="", 0,-'Part III-Sources of Funds'!$P$41)</f>
        <v>0</v>
      </c>
      <c r="G122" s="16"/>
      <c r="H122" s="16"/>
      <c r="I122" s="16"/>
      <c r="J122" s="16"/>
      <c r="K122" s="16"/>
      <c r="N122" s="3388"/>
      <c r="O122" s="3390"/>
    </row>
    <row r="123" spans="1:19" ht="13.2" customHeight="1">
      <c r="A123" s="20" t="s">
        <v>763</v>
      </c>
      <c r="B123" s="2666"/>
      <c r="C123" s="2666"/>
      <c r="D123" s="2666"/>
      <c r="E123" s="2666"/>
      <c r="F123" s="2666"/>
      <c r="G123" s="16"/>
      <c r="H123" s="16"/>
      <c r="I123" s="16"/>
      <c r="J123" s="16"/>
      <c r="K123" s="16"/>
      <c r="N123" s="3388"/>
      <c r="O123" s="3390"/>
    </row>
    <row r="124" spans="1:19" ht="13.2" customHeight="1">
      <c r="A124" s="20" t="s">
        <v>1163</v>
      </c>
      <c r="B124" s="2668">
        <f>+K94</f>
        <v>-5000</v>
      </c>
      <c r="C124" s="2668">
        <f>+B124</f>
        <v>-5000</v>
      </c>
      <c r="D124" s="2668">
        <f>+C124</f>
        <v>-5000</v>
      </c>
      <c r="E124" s="2668">
        <f>+D124</f>
        <v>-5000</v>
      </c>
      <c r="F124" s="2668">
        <f>+E124</f>
        <v>-5000</v>
      </c>
      <c r="G124" s="16"/>
      <c r="H124" s="16"/>
      <c r="I124" s="16"/>
      <c r="J124" s="16"/>
      <c r="K124" s="16"/>
      <c r="N124" s="3388"/>
      <c r="O124" s="3390"/>
    </row>
    <row r="125" spans="1:19" ht="13.2" customHeight="1">
      <c r="A125" s="20" t="s">
        <v>1164</v>
      </c>
      <c r="B125" s="21">
        <f>SUM(B118:B124)</f>
        <v>-59530.211711917182</v>
      </c>
      <c r="C125" s="21">
        <f>SUM(C118:C124)</f>
        <v>-67365.017836486601</v>
      </c>
      <c r="D125" s="21">
        <f>SUM(D118:D124)</f>
        <v>-75630.185901404533</v>
      </c>
      <c r="E125" s="21">
        <f>SUM(E118:E124)</f>
        <v>-84343.293320015597</v>
      </c>
      <c r="F125" s="22">
        <f>SUM(F118:F124)</f>
        <v>-93521.433159164211</v>
      </c>
      <c r="G125" s="16"/>
      <c r="H125" s="16"/>
      <c r="I125" s="16"/>
      <c r="J125" s="16"/>
      <c r="K125" s="16"/>
      <c r="N125" s="3388"/>
      <c r="O125" s="3390"/>
    </row>
    <row r="126" spans="1:19" ht="13.2" customHeight="1">
      <c r="A126" s="20" t="str">
        <f>$A96</f>
        <v>DCR Mortgage A</v>
      </c>
      <c r="B126" s="23">
        <f>IF(B119=0,"",-B118/B119)</f>
        <v>0.54468460500062454</v>
      </c>
      <c r="C126" s="23">
        <f>IF(C119=0,"",-C118/C119)</f>
        <v>0.47926567972305695</v>
      </c>
      <c r="D126" s="23">
        <f>IF(D119=0,"",-D118/D119)</f>
        <v>0.41025332594574898</v>
      </c>
      <c r="E126" s="23">
        <f>IF(E119=0,"",-E118/E119)</f>
        <v>0.33750077609438134</v>
      </c>
      <c r="F126" s="24">
        <f>IF(F119=0,"",-F118/F119)</f>
        <v>0.26086530678245523</v>
      </c>
      <c r="G126" s="16"/>
      <c r="H126" s="16"/>
      <c r="I126" s="16"/>
      <c r="J126" s="16"/>
      <c r="K126" s="16"/>
      <c r="N126" s="3388"/>
      <c r="O126" s="3390"/>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88"/>
      <c r="O127" s="3390"/>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88"/>
      <c r="O128" s="3390"/>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88"/>
      <c r="O129" s="3390"/>
    </row>
    <row r="130" spans="1:18" ht="13.2" customHeight="1">
      <c r="A130" s="420" t="s">
        <v>3710</v>
      </c>
      <c r="B130" s="23">
        <f>IF(AND(B119=0,B120=0,B121=0,B122=0),"",-B118/(B119+B120+B121+B122))</f>
        <v>0.54468460500062454</v>
      </c>
      <c r="C130" s="23">
        <f>IF(AND(C119=0,C120=0,C121=0,C122=0),"",-C118/(C119+C120+C121+C122))</f>
        <v>0.47926567972305695</v>
      </c>
      <c r="D130" s="23">
        <f>IF(AND(D119=0,D120=0,D121=0,D122=0),"",-D118/(D119+D120+D121+D122))</f>
        <v>0.41025332594574898</v>
      </c>
      <c r="E130" s="23">
        <f>IF(AND(E119=0,E120=0,E121=0,E122=0),"",-E118/(E119+E120+E121+E122))</f>
        <v>0.33750077609438134</v>
      </c>
      <c r="F130" s="24">
        <f>IF(AND(F119=0,F120=0,F121=0,F122=0),"",-F118/(F119+F120+F121+F122))</f>
        <v>0.26086530678245523</v>
      </c>
      <c r="G130" s="16"/>
      <c r="H130" s="16"/>
      <c r="I130" s="16"/>
      <c r="J130" s="16"/>
      <c r="K130" s="16"/>
      <c r="N130" s="3388"/>
      <c r="O130" s="3390"/>
    </row>
    <row r="131" spans="1:18" ht="13.2" customHeight="1">
      <c r="A131" s="20" t="s">
        <v>770</v>
      </c>
      <c r="B131" s="266">
        <f>IF(OR(B115="Choose mgt fee",B115="Choose One!"),"",(B108+B109+B110+B111+B112) / -(B114+B115+B116))</f>
        <v>1.0713787124044307</v>
      </c>
      <c r="C131" s="266">
        <f>IF(OR(C115="Choose mgt fee",C115="Choose One!"),"",(C108+C109+C110+C111+C112) / -(C114+C115+C116))</f>
        <v>1.0609765039452541</v>
      </c>
      <c r="D131" s="266">
        <f>IF(OR(D115="Choose mgt fee",D115="Choose One!"),"",(D108+D109+D110+D111+D112) / -(D114+D115+D116))</f>
        <v>1.0506758587178657</v>
      </c>
      <c r="E131" s="266">
        <f>IF(OR(E115="Choose mgt fee",E115="Choose One!"),"",(E108+E109+E110+E111+E112) / -(E114+E115+E116))</f>
        <v>1.0404749659431471</v>
      </c>
      <c r="F131" s="626">
        <f>IF(OR(F115="Choose mgt fee",F115="Choose One!"),"",(F108+F109+F110+F111+F112) / -(F114+F115+F116))</f>
        <v>1.0303732171589171</v>
      </c>
      <c r="G131" s="16"/>
      <c r="H131" s="16"/>
      <c r="I131" s="16"/>
      <c r="J131" s="16"/>
      <c r="K131" s="16"/>
      <c r="N131" s="3388"/>
      <c r="O131" s="3390"/>
    </row>
    <row r="132" spans="1:18" ht="13.2" customHeight="1">
      <c r="A132" s="420" t="s">
        <v>2617</v>
      </c>
      <c r="B132" s="2669">
        <f>IF('Part III-Sources of Funds'!$I$38="","",-FV('Part III-Sources of Funds'!$K$38/12,12,B119/12,K102))</f>
        <v>422897.30243555986</v>
      </c>
      <c r="C132" s="2669">
        <f>IF('Part III-Sources of Funds'!$I$38="","",-FV('Part III-Sources of Funds'!$K$38/12,12,C119/12,B132))</f>
        <v>326844.22913816496</v>
      </c>
      <c r="D132" s="2669">
        <f>IF('Part III-Sources of Funds'!$I$38="","",-FV('Part III-Sources of Funds'!$K$38/12,12,D119/12,C132))</f>
        <v>224612.847867765</v>
      </c>
      <c r="E132" s="2669">
        <f>IF('Part III-Sources of Funds'!$I$38="","",-FV('Part III-Sources of Funds'!$K$38/12,12,E119/12,D132))</f>
        <v>115805.75864433937</v>
      </c>
      <c r="F132" s="2669">
        <f>IF('Part III-Sources of Funds'!$I$38="","",-FV('Part III-Sources of Funds'!$K$38/12,12,F119/12,E132))</f>
        <v>2.805609256029129E-8</v>
      </c>
      <c r="G132" s="16"/>
      <c r="H132" s="16"/>
      <c r="I132" s="16"/>
      <c r="J132" s="16"/>
      <c r="K132" s="16"/>
      <c r="N132" s="3388"/>
      <c r="O132" s="3390"/>
    </row>
    <row r="133" spans="1:18" ht="13.2" customHeight="1">
      <c r="A133" s="420" t="s">
        <v>2618</v>
      </c>
      <c r="B133" s="2665" t="str">
        <f>IF('Part III-Sources of Funds'!$I$39="","",-FV('Part III-Sources of Funds'!$K$39/12,12,B120/12,K103))</f>
        <v/>
      </c>
      <c r="C133" s="2665" t="str">
        <f>IF('Part III-Sources of Funds'!$I$39="","",-FV('Part III-Sources of Funds'!$K$39/12,12,C120/12,B133))</f>
        <v/>
      </c>
      <c r="D133" s="2665" t="str">
        <f>IF('Part III-Sources of Funds'!$I$39="","",-FV('Part III-Sources of Funds'!$K$39/12,12,D120/12,C133))</f>
        <v/>
      </c>
      <c r="E133" s="2665" t="str">
        <f>IF('Part III-Sources of Funds'!$I$39="","",-FV('Part III-Sources of Funds'!$K$39/12,12,E120/12,D133))</f>
        <v/>
      </c>
      <c r="F133" s="2665" t="str">
        <f>IF('Part III-Sources of Funds'!$I$39="","",-FV('Part III-Sources of Funds'!$K$39/12,12,F120/12,E133))</f>
        <v/>
      </c>
      <c r="G133" s="16"/>
      <c r="H133" s="16"/>
      <c r="I133" s="16"/>
      <c r="J133" s="16"/>
      <c r="K133" s="16"/>
      <c r="N133" s="3388"/>
      <c r="O133" s="3390"/>
    </row>
    <row r="134" spans="1:18" ht="13.2" customHeight="1">
      <c r="A134" s="420" t="s">
        <v>2619</v>
      </c>
      <c r="B134" s="2665" t="str">
        <f>IF('Part III-Sources of Funds'!$I$40="","",-FV('Part III-Sources of Funds'!$K$40/12,12,B121/12,K104))</f>
        <v/>
      </c>
      <c r="C134" s="2665" t="str">
        <f>IF('Part III-Sources of Funds'!$I$40="","",-FV('Part III-Sources of Funds'!$K$40/12,12,C121/12,B134))</f>
        <v/>
      </c>
      <c r="D134" s="2665" t="str">
        <f>IF('Part III-Sources of Funds'!$I$40="","",-FV('Part III-Sources of Funds'!$K$40/12,12,D121/12,C134))</f>
        <v/>
      </c>
      <c r="E134" s="2665" t="str">
        <f>IF('Part III-Sources of Funds'!$I$40="","",-FV('Part III-Sources of Funds'!$K$40/12,12,E121/12,D134))</f>
        <v/>
      </c>
      <c r="F134" s="2665" t="str">
        <f>IF('Part III-Sources of Funds'!$I$40="","",-FV('Part III-Sources of Funds'!$K$40/12,12,F121/12,E134))</f>
        <v/>
      </c>
      <c r="G134" s="16"/>
      <c r="H134" s="16"/>
      <c r="I134" s="16"/>
      <c r="J134" s="16"/>
      <c r="K134" s="16"/>
      <c r="N134" s="3388"/>
      <c r="O134" s="3390"/>
    </row>
    <row r="135" spans="1:18" ht="13.2" customHeight="1">
      <c r="A135" s="25" t="s">
        <v>784</v>
      </c>
      <c r="B135" s="2668" t="str">
        <f>IF('Part III-Sources of Funds'!$I$41="","",-FV('Part III-Sources of Funds'!$K$41/12,12,B122/12,K105))</f>
        <v/>
      </c>
      <c r="C135" s="2668" t="str">
        <f>IF('Part III-Sources of Funds'!$I$41="","",-FV('Part III-Sources of Funds'!$K$41/12,12,C122/12,B135))</f>
        <v/>
      </c>
      <c r="D135" s="2668" t="str">
        <f>IF('Part III-Sources of Funds'!$I$41="","",-FV('Part III-Sources of Funds'!$K$41/12,12,D122/12,C135))</f>
        <v/>
      </c>
      <c r="E135" s="2668" t="str">
        <f>IF('Part III-Sources of Funds'!$I$41="","",-FV('Part III-Sources of Funds'!$K$41/12,12,E122/12,D135))</f>
        <v/>
      </c>
      <c r="F135" s="2668" t="str">
        <f>IF('Part III-Sources of Funds'!$I$41="","",-FV('Part III-Sources of Funds'!$K$41/12,12,F122/12,E135))</f>
        <v/>
      </c>
      <c r="G135" s="16"/>
      <c r="H135" s="16"/>
      <c r="I135" s="16"/>
      <c r="J135" s="16"/>
      <c r="K135" s="16"/>
      <c r="N135" s="3392"/>
      <c r="O135" s="3394"/>
    </row>
    <row r="136" spans="1:18" ht="4.2" customHeight="1"/>
    <row r="137" spans="1:18" ht="12" customHeight="1">
      <c r="A137" s="12" t="s">
        <v>571</v>
      </c>
      <c r="B137" s="12"/>
      <c r="G137" s="12" t="s">
        <v>1031</v>
      </c>
    </row>
    <row r="138" spans="1:18" ht="12" customHeight="1">
      <c r="B138" s="30"/>
    </row>
    <row r="139" spans="1:18" ht="409.5" customHeight="1">
      <c r="A139" s="2961" t="s">
        <v>3482</v>
      </c>
      <c r="B139" s="3470"/>
      <c r="C139" s="3470"/>
      <c r="D139" s="3470"/>
      <c r="E139" s="3470"/>
      <c r="F139" s="3471"/>
      <c r="G139" s="3472"/>
      <c r="H139" s="3473"/>
      <c r="I139" s="3473"/>
      <c r="J139" s="3473"/>
      <c r="K139" s="3474"/>
      <c r="N139" s="3046" t="s">
        <v>2693</v>
      </c>
      <c r="O139" s="3046"/>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T0br3oYvVm2EaFq7M7S0ngpXLExNufAcC3dzDdTbQUWdFDfZLf2D3Q6i2L7XtTynPgIpD+HZwUD6ytHvfoaHsQ==" saltValue="uB5rN9+zV4SVYoNllesCj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3" zoomScaleNormal="100" workbookViewId="0">
      <selection activeCell="A453"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72" t="str">
        <f>CONCATENATE("PART EIGHT - THRESHOLD CRITERIA","  -  ",'Part I-Project Information'!$O$6," ",'Part I-Project Information'!$F$34,", ",'Part I-Project Information'!F38,", ",'Part I-Project Information'!J39," County")</f>
        <v>PART EIGHT - THRESHOLD CRITERIA  -  2019-042 Brennan Place, Columbus, Muscogee County</v>
      </c>
      <c r="B1" s="3173"/>
      <c r="C1" s="3173"/>
      <c r="D1" s="3173"/>
      <c r="E1" s="3173"/>
      <c r="F1" s="3173"/>
      <c r="G1" s="3173"/>
      <c r="H1" s="3173"/>
      <c r="I1" s="3173"/>
      <c r="J1" s="3173"/>
      <c r="K1" s="3173"/>
      <c r="L1" s="3173"/>
      <c r="M1" s="3173"/>
      <c r="N1" s="3173"/>
      <c r="O1" s="3173"/>
      <c r="P1" s="3173"/>
      <c r="Q1" s="3173"/>
      <c r="R1" s="3621" t="str">
        <f>'Part I-Project Information'!$B$6</f>
        <v>April 2019 Final</v>
      </c>
      <c r="S1" s="3621"/>
    </row>
    <row r="2" spans="1:32" s="26" customFormat="1" ht="3" customHeight="1">
      <c r="R2" s="3621"/>
      <c r="S2" s="3621"/>
      <c r="AE2" s="116"/>
      <c r="AF2" s="116"/>
    </row>
    <row r="3" spans="1:32" ht="13.5" customHeight="1">
      <c r="A3" s="360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09"/>
      <c r="C3" s="3609"/>
      <c r="D3" s="3609"/>
      <c r="E3" s="3609"/>
      <c r="F3" s="3609"/>
      <c r="G3" s="3609"/>
      <c r="H3" s="360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09"/>
      <c r="J3" s="3609"/>
      <c r="K3" s="3609"/>
      <c r="L3" s="3609"/>
      <c r="M3" s="3609"/>
      <c r="N3" s="3610"/>
      <c r="O3" s="3611" t="s">
        <v>935</v>
      </c>
      <c r="P3" s="3612"/>
      <c r="Q3" s="2189" t="s">
        <v>1843</v>
      </c>
      <c r="R3" s="3621"/>
      <c r="S3" s="3621"/>
    </row>
    <row r="4" spans="1:32" ht="3" customHeight="1">
      <c r="A4" s="2293"/>
      <c r="B4" s="3613"/>
      <c r="C4" s="3613"/>
      <c r="D4" s="3613"/>
      <c r="E4" s="2293"/>
      <c r="F4" s="2293"/>
      <c r="G4" s="2293"/>
      <c r="H4" s="2293"/>
      <c r="I4" s="2293"/>
      <c r="J4" s="2293"/>
      <c r="K4" s="2293"/>
      <c r="L4" s="2293"/>
      <c r="M4" s="2293"/>
      <c r="N4" s="2293"/>
      <c r="P4" s="2293"/>
      <c r="Q4" s="2293"/>
      <c r="R4" s="3621"/>
      <c r="S4" s="3621"/>
    </row>
    <row r="5" spans="1:32" ht="10.95" hidden="1" customHeight="1">
      <c r="A5" s="2293"/>
      <c r="B5" s="2293"/>
      <c r="C5" s="2293"/>
      <c r="D5" s="2293"/>
      <c r="E5" s="2293"/>
      <c r="F5" s="2293"/>
      <c r="G5" s="2293"/>
      <c r="H5" s="2293"/>
      <c r="I5" s="2293"/>
      <c r="J5" s="2293"/>
      <c r="K5" s="2293"/>
      <c r="L5" s="2293"/>
      <c r="M5" s="2293"/>
      <c r="N5" s="2293"/>
      <c r="P5" s="2293"/>
      <c r="Q5" s="2293"/>
      <c r="R5" s="3621"/>
      <c r="S5" s="3621"/>
    </row>
    <row r="6" spans="1:32" ht="17.25" customHeight="1">
      <c r="A6" s="125" t="s">
        <v>567</v>
      </c>
      <c r="J6" s="3616" t="s">
        <v>3840</v>
      </c>
      <c r="K6" s="3616"/>
      <c r="L6" s="3616"/>
      <c r="M6" s="3616"/>
      <c r="N6" s="3616"/>
      <c r="O6" s="3617"/>
      <c r="P6" s="3614"/>
      <c r="Q6" s="3615"/>
      <c r="R6" s="3621"/>
      <c r="S6" s="3621"/>
    </row>
    <row r="7" spans="1:32" ht="12.6" customHeight="1">
      <c r="A7" s="126" t="s">
        <v>3450</v>
      </c>
      <c r="C7" s="127"/>
      <c r="D7" s="127"/>
      <c r="H7" s="1291"/>
      <c r="I7" s="1291"/>
      <c r="J7" s="1291"/>
      <c r="K7" s="1291"/>
      <c r="L7" s="1291"/>
      <c r="M7" s="2293"/>
      <c r="N7" s="2293"/>
    </row>
    <row r="8" spans="1:32" ht="24.6" customHeight="1">
      <c r="A8" s="3618" t="s">
        <v>1408</v>
      </c>
      <c r="B8" s="3619"/>
      <c r="C8" s="3619"/>
      <c r="D8" s="3619"/>
      <c r="E8" s="3619"/>
      <c r="F8" s="3619"/>
      <c r="G8" s="3619"/>
      <c r="H8" s="3619"/>
      <c r="I8" s="3619"/>
      <c r="J8" s="3619"/>
      <c r="K8" s="3619"/>
      <c r="L8" s="3619"/>
      <c r="M8" s="3619"/>
      <c r="N8" s="3619"/>
      <c r="O8" s="3619"/>
      <c r="P8" s="3619"/>
      <c r="Q8" s="3620"/>
      <c r="R8" s="3401" t="s">
        <v>2031</v>
      </c>
      <c r="S8" s="2765"/>
    </row>
    <row r="9" spans="1:32" ht="24.6" customHeight="1">
      <c r="A9" s="3606" t="s">
        <v>226</v>
      </c>
      <c r="B9" s="3607"/>
      <c r="C9" s="3607"/>
      <c r="D9" s="3607"/>
      <c r="E9" s="3607"/>
      <c r="F9" s="3607"/>
      <c r="G9" s="3607"/>
      <c r="H9" s="3607"/>
      <c r="I9" s="3607"/>
      <c r="J9" s="3607"/>
      <c r="K9" s="3607"/>
      <c r="L9" s="3607"/>
      <c r="M9" s="3607"/>
      <c r="N9" s="3607"/>
      <c r="O9" s="3607"/>
      <c r="P9" s="3607"/>
      <c r="Q9" s="3608"/>
      <c r="R9" s="3401"/>
      <c r="S9" s="2765"/>
    </row>
    <row r="10" spans="1:32" ht="24.6" customHeight="1">
      <c r="A10" s="3606" t="s">
        <v>1404</v>
      </c>
      <c r="B10" s="3607"/>
      <c r="C10" s="3607"/>
      <c r="D10" s="3607"/>
      <c r="E10" s="3607"/>
      <c r="F10" s="3607"/>
      <c r="G10" s="3607"/>
      <c r="H10" s="3607"/>
      <c r="I10" s="3607"/>
      <c r="J10" s="3607"/>
      <c r="K10" s="3607"/>
      <c r="L10" s="3607"/>
      <c r="M10" s="3607"/>
      <c r="N10" s="3607"/>
      <c r="O10" s="3607"/>
      <c r="P10" s="3607"/>
      <c r="Q10" s="3608"/>
      <c r="R10" s="3401"/>
      <c r="S10" s="2765"/>
    </row>
    <row r="11" spans="1:32" ht="24.6" customHeight="1">
      <c r="A11" s="3606" t="s">
        <v>1405</v>
      </c>
      <c r="B11" s="3607"/>
      <c r="C11" s="3607"/>
      <c r="D11" s="3607"/>
      <c r="E11" s="3607"/>
      <c r="F11" s="3607"/>
      <c r="G11" s="3607"/>
      <c r="H11" s="3607"/>
      <c r="I11" s="3607"/>
      <c r="J11" s="3607"/>
      <c r="K11" s="3607"/>
      <c r="L11" s="3607"/>
      <c r="M11" s="3607"/>
      <c r="N11" s="3607"/>
      <c r="O11" s="3607"/>
      <c r="P11" s="3607"/>
      <c r="Q11" s="3608"/>
      <c r="R11" s="3401"/>
      <c r="S11" s="2765"/>
    </row>
    <row r="12" spans="1:32" ht="24" customHeight="1">
      <c r="A12" s="3606" t="s">
        <v>1406</v>
      </c>
      <c r="B12" s="3607"/>
      <c r="C12" s="3607"/>
      <c r="D12" s="3607"/>
      <c r="E12" s="3607"/>
      <c r="F12" s="3607"/>
      <c r="G12" s="3607"/>
      <c r="H12" s="3607"/>
      <c r="I12" s="3607"/>
      <c r="J12" s="3607"/>
      <c r="K12" s="3607"/>
      <c r="L12" s="3607"/>
      <c r="M12" s="3607"/>
      <c r="N12" s="3607"/>
      <c r="O12" s="3607"/>
      <c r="P12" s="3607"/>
      <c r="Q12" s="3608"/>
      <c r="R12" s="2262"/>
      <c r="S12" s="2262"/>
    </row>
    <row r="13" spans="1:32" ht="11.25" customHeight="1">
      <c r="A13" s="3606" t="s">
        <v>1407</v>
      </c>
      <c r="B13" s="3607"/>
      <c r="C13" s="3607"/>
      <c r="D13" s="3607"/>
      <c r="E13" s="3607"/>
      <c r="F13" s="3607"/>
      <c r="G13" s="3607"/>
      <c r="H13" s="3607"/>
      <c r="I13" s="3607"/>
      <c r="J13" s="3607"/>
      <c r="K13" s="3607"/>
      <c r="L13" s="3607"/>
      <c r="M13" s="3607"/>
      <c r="N13" s="3607"/>
      <c r="O13" s="3607"/>
      <c r="P13" s="3607"/>
      <c r="Q13" s="3608"/>
      <c r="R13" s="2262"/>
      <c r="S13" s="2262"/>
    </row>
    <row r="14" spans="1:32" ht="11.25" customHeight="1">
      <c r="A14" s="3606" t="s">
        <v>1409</v>
      </c>
      <c r="B14" s="3607"/>
      <c r="C14" s="3607"/>
      <c r="D14" s="3607"/>
      <c r="E14" s="3607"/>
      <c r="F14" s="3607"/>
      <c r="G14" s="3607"/>
      <c r="H14" s="3607"/>
      <c r="I14" s="3607"/>
      <c r="J14" s="3607"/>
      <c r="K14" s="3607"/>
      <c r="L14" s="3607"/>
      <c r="M14" s="3607"/>
      <c r="N14" s="3607"/>
      <c r="O14" s="3607"/>
      <c r="P14" s="3607"/>
      <c r="Q14" s="3608"/>
    </row>
    <row r="15" spans="1:32" ht="11.25" customHeight="1">
      <c r="A15" s="3606" t="s">
        <v>2018</v>
      </c>
      <c r="B15" s="3607"/>
      <c r="C15" s="3607"/>
      <c r="D15" s="3607"/>
      <c r="E15" s="3607"/>
      <c r="F15" s="3607"/>
      <c r="G15" s="3607"/>
      <c r="H15" s="3607"/>
      <c r="I15" s="3607"/>
      <c r="J15" s="3607"/>
      <c r="K15" s="3607"/>
      <c r="L15" s="3607"/>
      <c r="M15" s="3607"/>
      <c r="N15" s="3607"/>
      <c r="O15" s="3607"/>
      <c r="P15" s="3607"/>
      <c r="Q15" s="3608"/>
      <c r="R15" s="3401" t="s">
        <v>2031</v>
      </c>
      <c r="S15" s="3030"/>
    </row>
    <row r="16" spans="1:32" ht="11.25" customHeight="1">
      <c r="A16" s="3606" t="s">
        <v>2019</v>
      </c>
      <c r="B16" s="3607"/>
      <c r="C16" s="3607"/>
      <c r="D16" s="3607"/>
      <c r="E16" s="3607"/>
      <c r="F16" s="3607"/>
      <c r="G16" s="3607"/>
      <c r="H16" s="3607"/>
      <c r="I16" s="3607"/>
      <c r="J16" s="3607"/>
      <c r="K16" s="3607"/>
      <c r="L16" s="3607"/>
      <c r="M16" s="3607"/>
      <c r="N16" s="3607"/>
      <c r="O16" s="3607"/>
      <c r="P16" s="3607"/>
      <c r="Q16" s="3608"/>
      <c r="R16" s="3401"/>
      <c r="S16" s="3030"/>
    </row>
    <row r="17" spans="1:31" ht="11.25" customHeight="1">
      <c r="A17" s="3606" t="s">
        <v>2020</v>
      </c>
      <c r="B17" s="3607"/>
      <c r="C17" s="3607"/>
      <c r="D17" s="3607"/>
      <c r="E17" s="3607"/>
      <c r="F17" s="3607"/>
      <c r="G17" s="3607"/>
      <c r="H17" s="3607"/>
      <c r="I17" s="3607"/>
      <c r="J17" s="3607"/>
      <c r="K17" s="3607"/>
      <c r="L17" s="3607"/>
      <c r="M17" s="3607"/>
      <c r="N17" s="3607"/>
      <c r="O17" s="3607"/>
      <c r="P17" s="3607"/>
      <c r="Q17" s="3608"/>
      <c r="R17" s="3401"/>
      <c r="S17" s="3030"/>
    </row>
    <row r="18" spans="1:31" ht="11.25" customHeight="1">
      <c r="A18" s="3606" t="s">
        <v>2021</v>
      </c>
      <c r="B18" s="3607"/>
      <c r="C18" s="3607"/>
      <c r="D18" s="3607"/>
      <c r="E18" s="3607"/>
      <c r="F18" s="3607"/>
      <c r="G18" s="3607"/>
      <c r="H18" s="3607"/>
      <c r="I18" s="3607"/>
      <c r="J18" s="3607"/>
      <c r="K18" s="3607"/>
      <c r="L18" s="3607"/>
      <c r="M18" s="3607"/>
      <c r="N18" s="3607"/>
      <c r="O18" s="3607"/>
      <c r="P18" s="3607"/>
      <c r="Q18" s="3608"/>
      <c r="R18" s="3401"/>
      <c r="S18" s="3030"/>
    </row>
    <row r="19" spans="1:31" ht="11.25" customHeight="1">
      <c r="A19" s="3606" t="s">
        <v>2022</v>
      </c>
      <c r="B19" s="3607"/>
      <c r="C19" s="3607"/>
      <c r="D19" s="3607"/>
      <c r="E19" s="3607"/>
      <c r="F19" s="3607"/>
      <c r="G19" s="3607"/>
      <c r="H19" s="3607"/>
      <c r="I19" s="3607"/>
      <c r="J19" s="3607"/>
      <c r="K19" s="3607"/>
      <c r="L19" s="3607"/>
      <c r="M19" s="3607"/>
      <c r="N19" s="3607"/>
      <c r="O19" s="3607"/>
      <c r="P19" s="3607"/>
      <c r="Q19" s="3608"/>
      <c r="R19" s="3401"/>
      <c r="S19" s="3030"/>
    </row>
    <row r="20" spans="1:31" ht="11.25" customHeight="1">
      <c r="A20" s="3606" t="s">
        <v>2023</v>
      </c>
      <c r="B20" s="3607"/>
      <c r="C20" s="3607"/>
      <c r="D20" s="3607"/>
      <c r="E20" s="3607"/>
      <c r="F20" s="3607"/>
      <c r="G20" s="3607"/>
      <c r="H20" s="3607"/>
      <c r="I20" s="3607"/>
      <c r="J20" s="3607"/>
      <c r="K20" s="3607"/>
      <c r="L20" s="3607"/>
      <c r="M20" s="3607"/>
      <c r="N20" s="3607"/>
      <c r="O20" s="3607"/>
      <c r="P20" s="3607"/>
      <c r="Q20" s="3608"/>
      <c r="R20" s="3401"/>
      <c r="S20" s="3030"/>
    </row>
    <row r="21" spans="1:31" ht="11.25" customHeight="1">
      <c r="A21" s="3606" t="s">
        <v>2024</v>
      </c>
      <c r="B21" s="3607"/>
      <c r="C21" s="3607"/>
      <c r="D21" s="3607"/>
      <c r="E21" s="3607"/>
      <c r="F21" s="3607"/>
      <c r="G21" s="3607"/>
      <c r="H21" s="3607"/>
      <c r="I21" s="3607"/>
      <c r="J21" s="3607"/>
      <c r="K21" s="3607"/>
      <c r="L21" s="3607"/>
      <c r="M21" s="3607"/>
      <c r="N21" s="3607"/>
      <c r="O21" s="3607"/>
      <c r="P21" s="3607"/>
      <c r="Q21" s="3608"/>
    </row>
    <row r="22" spans="1:31" ht="11.25" customHeight="1">
      <c r="A22" s="3606" t="s">
        <v>2025</v>
      </c>
      <c r="B22" s="3607"/>
      <c r="C22" s="3607"/>
      <c r="D22" s="3607"/>
      <c r="E22" s="3607"/>
      <c r="F22" s="3607"/>
      <c r="G22" s="3607"/>
      <c r="H22" s="3607"/>
      <c r="I22" s="3607"/>
      <c r="J22" s="3607"/>
      <c r="K22" s="3607"/>
      <c r="L22" s="3607"/>
      <c r="M22" s="3607"/>
      <c r="N22" s="3607"/>
      <c r="O22" s="3607"/>
      <c r="P22" s="3607"/>
      <c r="Q22" s="3608"/>
      <c r="R22" s="3401" t="s">
        <v>2031</v>
      </c>
      <c r="S22" s="3030"/>
    </row>
    <row r="23" spans="1:31" ht="11.25" customHeight="1">
      <c r="A23" s="3606" t="s">
        <v>2026</v>
      </c>
      <c r="B23" s="3607"/>
      <c r="C23" s="3607"/>
      <c r="D23" s="3607"/>
      <c r="E23" s="3607"/>
      <c r="F23" s="3607"/>
      <c r="G23" s="3607"/>
      <c r="H23" s="3607"/>
      <c r="I23" s="3607"/>
      <c r="J23" s="3607"/>
      <c r="K23" s="3607"/>
      <c r="L23" s="3607"/>
      <c r="M23" s="3607"/>
      <c r="N23" s="3607"/>
      <c r="O23" s="3607"/>
      <c r="P23" s="3607"/>
      <c r="Q23" s="3608"/>
      <c r="R23" s="3401"/>
      <c r="S23" s="3030"/>
    </row>
    <row r="24" spans="1:31" ht="11.25" customHeight="1">
      <c r="A24" s="3606" t="s">
        <v>2027</v>
      </c>
      <c r="B24" s="3607"/>
      <c r="C24" s="3607"/>
      <c r="D24" s="3607"/>
      <c r="E24" s="3607"/>
      <c r="F24" s="3607"/>
      <c r="G24" s="3607"/>
      <c r="H24" s="3607"/>
      <c r="I24" s="3607"/>
      <c r="J24" s="3607"/>
      <c r="K24" s="3607"/>
      <c r="L24" s="3607"/>
      <c r="M24" s="3607"/>
      <c r="N24" s="3607"/>
      <c r="O24" s="3607"/>
      <c r="P24" s="3607"/>
      <c r="Q24" s="3608"/>
      <c r="R24" s="3401"/>
      <c r="S24" s="3030"/>
    </row>
    <row r="25" spans="1:31" ht="11.25" customHeight="1">
      <c r="A25" s="3606" t="s">
        <v>2028</v>
      </c>
      <c r="B25" s="3607"/>
      <c r="C25" s="3607"/>
      <c r="D25" s="3607"/>
      <c r="E25" s="3607"/>
      <c r="F25" s="3607"/>
      <c r="G25" s="3607"/>
      <c r="H25" s="3607"/>
      <c r="I25" s="3607"/>
      <c r="J25" s="3607"/>
      <c r="K25" s="3607"/>
      <c r="L25" s="3607"/>
      <c r="M25" s="3607"/>
      <c r="N25" s="3607"/>
      <c r="O25" s="3607"/>
      <c r="P25" s="3607"/>
      <c r="Q25" s="3608"/>
      <c r="R25" s="3401"/>
      <c r="S25" s="3030"/>
    </row>
    <row r="26" spans="1:31" ht="11.25" customHeight="1">
      <c r="A26" s="3606" t="s">
        <v>2029</v>
      </c>
      <c r="B26" s="3607"/>
      <c r="C26" s="3607"/>
      <c r="D26" s="3607"/>
      <c r="E26" s="3607"/>
      <c r="F26" s="3607"/>
      <c r="G26" s="3607"/>
      <c r="H26" s="3607"/>
      <c r="I26" s="3607"/>
      <c r="J26" s="3607"/>
      <c r="K26" s="3607"/>
      <c r="L26" s="3607"/>
      <c r="M26" s="3607"/>
      <c r="N26" s="3607"/>
      <c r="O26" s="3607"/>
      <c r="P26" s="3607"/>
      <c r="Q26" s="3608"/>
      <c r="R26" s="3401"/>
      <c r="S26" s="3030"/>
    </row>
    <row r="27" spans="1:31" ht="11.25" customHeight="1">
      <c r="A27" s="3629" t="s">
        <v>2030</v>
      </c>
      <c r="B27" s="3630"/>
      <c r="C27" s="3630"/>
      <c r="D27" s="3630"/>
      <c r="E27" s="3630"/>
      <c r="F27" s="3630"/>
      <c r="G27" s="3630"/>
      <c r="H27" s="3630"/>
      <c r="I27" s="3630"/>
      <c r="J27" s="3630"/>
      <c r="K27" s="3630"/>
      <c r="L27" s="3630"/>
      <c r="M27" s="3630"/>
      <c r="N27" s="3630"/>
      <c r="O27" s="3630"/>
      <c r="P27" s="3630"/>
      <c r="Q27" s="3631"/>
      <c r="R27" s="3401"/>
      <c r="S27" s="3030"/>
    </row>
    <row r="28" spans="1:31" ht="6" customHeight="1"/>
    <row r="29" spans="1:31" ht="13.95" customHeight="1">
      <c r="A29" s="128" t="s">
        <v>616</v>
      </c>
      <c r="B29" s="129" t="s">
        <v>2651</v>
      </c>
      <c r="C29" s="130"/>
      <c r="D29" s="86"/>
      <c r="E29" s="86"/>
      <c r="F29" s="86"/>
      <c r="G29" s="86"/>
      <c r="I29" s="2305"/>
      <c r="J29" s="2305"/>
      <c r="K29" s="2305"/>
      <c r="L29" s="2293"/>
      <c r="M29" s="2293"/>
      <c r="O29" s="131" t="s">
        <v>1867</v>
      </c>
      <c r="P29" s="3489"/>
      <c r="Q29" s="3490"/>
    </row>
    <row r="30" spans="1:31" ht="3" customHeight="1"/>
    <row r="31" spans="1:31" ht="11.25" customHeight="1">
      <c r="B31" s="66" t="s">
        <v>3749</v>
      </c>
      <c r="C31" s="66"/>
      <c r="D31" s="66"/>
      <c r="E31" s="66"/>
      <c r="F31" s="66"/>
      <c r="G31" s="2305"/>
      <c r="H31" s="2305"/>
      <c r="I31" s="2305"/>
      <c r="J31" s="2305"/>
      <c r="K31" s="2293"/>
      <c r="L31" s="2293"/>
      <c r="M31" s="2293"/>
      <c r="N31" s="2293"/>
      <c r="O31" s="2293"/>
      <c r="P31" s="896"/>
      <c r="S31" s="157"/>
      <c r="T31" s="157"/>
    </row>
    <row r="32" spans="1:31" ht="108.75" customHeight="1">
      <c r="A32" s="3530" t="s">
        <v>5296</v>
      </c>
      <c r="B32" s="3531"/>
      <c r="C32" s="3531"/>
      <c r="D32" s="3531"/>
      <c r="E32" s="3531"/>
      <c r="F32" s="3531"/>
      <c r="G32" s="3531"/>
      <c r="H32" s="3531"/>
      <c r="I32" s="3531"/>
      <c r="J32" s="3531"/>
      <c r="K32" s="3531"/>
      <c r="L32" s="3531"/>
      <c r="M32" s="3531"/>
      <c r="N32" s="3531"/>
      <c r="O32" s="3531"/>
      <c r="P32" s="3531"/>
      <c r="Q32" s="3532"/>
      <c r="R32" s="445" t="s">
        <v>1254</v>
      </c>
      <c r="S32" s="446"/>
      <c r="T32" s="157"/>
      <c r="U32" s="135"/>
      <c r="V32" s="135"/>
      <c r="W32" s="135"/>
      <c r="X32" s="135"/>
      <c r="Y32" s="135"/>
      <c r="Z32" s="135"/>
      <c r="AA32" s="135"/>
      <c r="AB32" s="135"/>
      <c r="AC32" s="135"/>
      <c r="AD32" s="135"/>
      <c r="AE32" s="465"/>
    </row>
    <row r="33" spans="1:295" ht="11.25" customHeight="1">
      <c r="B33" s="136" t="s">
        <v>1866</v>
      </c>
      <c r="C33" s="137"/>
      <c r="D33" s="2296"/>
      <c r="E33" s="2296"/>
      <c r="F33" s="2296"/>
      <c r="G33" s="2296"/>
      <c r="H33" s="2296"/>
      <c r="I33" s="2296"/>
      <c r="J33" s="2296"/>
      <c r="K33" s="2296"/>
      <c r="L33" s="2296"/>
      <c r="M33" s="2296"/>
      <c r="N33" s="2296"/>
      <c r="O33" s="2296"/>
      <c r="P33" s="2296"/>
    </row>
    <row r="34" spans="1:295" ht="36" customHeight="1">
      <c r="A34" s="3632"/>
      <c r="B34" s="3632"/>
      <c r="C34" s="3632"/>
      <c r="D34" s="3632"/>
      <c r="E34" s="3632"/>
      <c r="F34" s="3632"/>
      <c r="G34" s="3632"/>
      <c r="H34" s="3632"/>
      <c r="I34" s="3632"/>
      <c r="J34" s="3632"/>
      <c r="K34" s="3632"/>
      <c r="L34" s="3632"/>
      <c r="M34" s="3632"/>
      <c r="N34" s="3632"/>
      <c r="O34" s="3632"/>
      <c r="P34" s="3632"/>
      <c r="Q34" s="3632"/>
      <c r="R34" s="445" t="s">
        <v>1254</v>
      </c>
      <c r="S34" s="446"/>
    </row>
    <row r="35" spans="1:295" ht="3" customHeight="1">
      <c r="B35" s="2305"/>
      <c r="C35" s="2296"/>
      <c r="D35" s="2296"/>
      <c r="E35" s="2296"/>
      <c r="F35" s="2296"/>
      <c r="G35" s="2296"/>
      <c r="H35" s="2296"/>
      <c r="I35" s="2296"/>
      <c r="J35" s="2296"/>
      <c r="K35" s="2296"/>
      <c r="L35" s="2296"/>
      <c r="M35" s="2296"/>
      <c r="N35" s="2296"/>
      <c r="O35" s="2296"/>
      <c r="P35" s="2296"/>
      <c r="Q35" s="2293"/>
    </row>
    <row r="36" spans="1:295" ht="12.75" customHeight="1">
      <c r="A36" s="2290" t="s">
        <v>740</v>
      </c>
      <c r="B36" s="3" t="s">
        <v>2711</v>
      </c>
      <c r="C36" s="3"/>
      <c r="D36" s="3"/>
      <c r="E36" s="2296"/>
      <c r="G36" s="611"/>
      <c r="H36" s="611"/>
      <c r="I36" s="611"/>
      <c r="J36" s="41"/>
      <c r="L36" s="612"/>
      <c r="M36" s="612"/>
      <c r="N36" s="612"/>
      <c r="O36" s="131" t="s">
        <v>1867</v>
      </c>
      <c r="P36" s="3489"/>
      <c r="Q36" s="3490"/>
    </row>
    <row r="37" spans="1:295" ht="11.25" customHeight="1">
      <c r="A37" s="3493"/>
      <c r="B37" s="3493"/>
      <c r="C37" s="3493"/>
      <c r="D37" s="3493"/>
      <c r="E37" s="3493"/>
      <c r="F37" s="2193"/>
      <c r="G37" s="3633" t="s">
        <v>2715</v>
      </c>
      <c r="H37" s="3634"/>
      <c r="I37" s="615"/>
      <c r="J37" s="41"/>
      <c r="K37" s="3635" t="s">
        <v>3632</v>
      </c>
      <c r="L37" s="3636"/>
      <c r="M37" s="3636"/>
      <c r="N37" s="3637"/>
    </row>
    <row r="38" spans="1:295" ht="11.25" customHeight="1">
      <c r="A38" s="3493"/>
      <c r="B38" s="3493"/>
      <c r="C38" s="3493"/>
      <c r="D38" s="3493"/>
      <c r="E38" s="3493"/>
      <c r="F38" s="2193"/>
      <c r="G38" s="3638" t="s">
        <v>346</v>
      </c>
      <c r="H38" s="3639"/>
      <c r="I38" s="615"/>
      <c r="J38" s="41"/>
      <c r="K38" s="3640" t="s">
        <v>3633</v>
      </c>
      <c r="L38" s="3641"/>
      <c r="M38" s="3641"/>
      <c r="N38" s="3642"/>
      <c r="P38" s="519" t="s">
        <v>2735</v>
      </c>
      <c r="Q38" s="2670" t="s">
        <v>2989</v>
      </c>
    </row>
    <row r="39" spans="1:295" ht="4.5" customHeight="1">
      <c r="A39" s="2193"/>
      <c r="B39" s="2193"/>
      <c r="C39" s="2193"/>
      <c r="D39" s="2193"/>
      <c r="E39" s="2193"/>
      <c r="F39" s="2193"/>
      <c r="G39" s="214"/>
      <c r="H39" s="214"/>
      <c r="I39" s="214"/>
      <c r="J39" s="41"/>
      <c r="K39" s="3497"/>
      <c r="L39" s="3497"/>
      <c r="M39" s="3497"/>
      <c r="N39" s="3497"/>
    </row>
    <row r="40" spans="1:295" s="82" customFormat="1" ht="10.5" customHeight="1">
      <c r="D40" s="616" t="s">
        <v>2714</v>
      </c>
      <c r="E40" s="34"/>
      <c r="F40" s="617" t="s">
        <v>3452</v>
      </c>
      <c r="G40" s="3643" t="s">
        <v>5036</v>
      </c>
      <c r="H40" s="3643"/>
      <c r="I40" s="3643"/>
      <c r="J40" s="34"/>
      <c r="K40" s="617" t="s">
        <v>3452</v>
      </c>
      <c r="L40" s="3643" t="s">
        <v>5035</v>
      </c>
      <c r="M40" s="3643"/>
      <c r="N40" s="3643"/>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28" t="s">
        <v>3357</v>
      </c>
      <c r="B41" s="3628"/>
      <c r="C41" s="3628"/>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136468</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150114</v>
      </c>
      <c r="M41" s="39" t="str">
        <f>CONCATENATE("x ", K41," units = ")</f>
        <v xml:space="preserve">x  units = </v>
      </c>
      <c r="N41" s="2192" t="str">
        <f>IF(K41="","",K41*L41)</f>
        <v/>
      </c>
      <c r="O41" s="2296"/>
      <c r="P41" s="3650" t="s">
        <v>3885</v>
      </c>
      <c r="Q41" s="3650"/>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28"/>
      <c r="B42" s="3628"/>
      <c r="C42" s="3628"/>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176299</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193928</v>
      </c>
      <c r="M42" s="39" t="str">
        <f>CONCATENATE("x ", K42," units = ")</f>
        <v xml:space="preserve">x  units = </v>
      </c>
      <c r="N42" s="2192" t="str">
        <f>IF(K42="","",K42*L42)</f>
        <v/>
      </c>
      <c r="O42" s="2296"/>
      <c r="P42" s="3644" t="str">
        <f>IF('Part I-Project Information'!$F$38="","",VLOOKUP('Part I-Project Information'!$J$39,'DCA Underwriting Assumptions'!$G$158:$N$317,8,FALSE))</f>
        <v>Columbus</v>
      </c>
      <c r="Q42" s="3645"/>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28"/>
      <c r="B43" s="3628"/>
      <c r="C43" s="3628"/>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210804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231884</v>
      </c>
      <c r="M43" s="39" t="str">
        <f>CONCATENATE("x ", K43," units = ")</f>
        <v xml:space="preserve">x  units = </v>
      </c>
      <c r="N43" s="2192" t="str">
        <f t="shared" ref="N43:N45" si="1">IF(K43="","",K43*L43)</f>
        <v/>
      </c>
      <c r="O43" s="2296"/>
      <c r="P43" s="3646"/>
      <c r="Q43" s="3647"/>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28"/>
      <c r="B44" s="3628"/>
      <c r="C44" s="3628"/>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251173</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276290</v>
      </c>
      <c r="M44" s="39" t="str">
        <f>CONCATENATE("x ", K44," units = ")</f>
        <v xml:space="preserve">x  units = </v>
      </c>
      <c r="N44" s="2192" t="str">
        <f t="shared" si="1"/>
        <v/>
      </c>
      <c r="O44" s="2296"/>
      <c r="P44" s="3491" t="s">
        <v>5034</v>
      </c>
      <c r="Q44" s="3491"/>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295283</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324811</v>
      </c>
      <c r="M45" s="39" t="str">
        <f>CONCATENATE("x ", K45," units = ")</f>
        <v xml:space="preserve">x  units = </v>
      </c>
      <c r="N45" s="2192" t="str">
        <f t="shared" si="1"/>
        <v/>
      </c>
      <c r="O45" s="2296"/>
      <c r="P45" s="3673">
        <f>'Part IV-A-Uses of Funds'!$G$132</f>
        <v>14176065</v>
      </c>
      <c r="Q45" s="3674"/>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3">
        <f>SUM(F41:F45)</f>
        <v>0</v>
      </c>
      <c r="G46" s="618"/>
      <c r="H46" s="1094"/>
      <c r="I46" s="1095">
        <f>SUM(I41:I45)</f>
        <v>0</v>
      </c>
      <c r="J46" s="1096"/>
      <c r="K46" s="1093">
        <f>SUM(K41:K45)</f>
        <v>0</v>
      </c>
      <c r="L46" s="1096"/>
      <c r="M46" s="1094"/>
      <c r="N46" s="1095">
        <f>SUM(N41:N45)</f>
        <v>0</v>
      </c>
      <c r="O46" s="2296"/>
      <c r="P46" s="3675"/>
      <c r="Q46" s="3676"/>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0"/>
      <c r="J47" s="127"/>
      <c r="K47" s="619"/>
      <c r="L47" s="127"/>
      <c r="M47" s="2296"/>
      <c r="N47" s="2300"/>
      <c r="O47" s="2296"/>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28" t="s">
        <v>3352</v>
      </c>
      <c r="B48" s="3628"/>
      <c r="C48" s="3628"/>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121108</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133218</v>
      </c>
      <c r="M48" s="39" t="str">
        <f>CONCATENATE("x ", K48," units = ")</f>
        <v xml:space="preserve">x  units = </v>
      </c>
      <c r="N48" s="2192" t="str">
        <f>IF(K48="","",K48*L48)</f>
        <v/>
      </c>
      <c r="P48" s="2190"/>
      <c r="Q48" s="2190"/>
      <c r="S48" s="3651" t="s">
        <v>4739</v>
      </c>
      <c r="T48" s="3652"/>
      <c r="U48" s="3652"/>
      <c r="V48" s="3653"/>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28"/>
      <c r="B49" s="3628"/>
      <c r="C49" s="3628"/>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158009</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173809</v>
      </c>
      <c r="M49" s="39" t="str">
        <f>CONCATENATE("x ", K49," units = ")</f>
        <v xml:space="preserve">x  units = </v>
      </c>
      <c r="N49" s="2192" t="str">
        <f>IF(K49="","",K49*L49)</f>
        <v/>
      </c>
      <c r="P49" s="3196" t="s">
        <v>4082</v>
      </c>
      <c r="Q49" s="3196"/>
      <c r="S49" s="3654"/>
      <c r="T49" s="3655"/>
      <c r="U49" s="3655"/>
      <c r="V49" s="3656"/>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28"/>
      <c r="B50" s="3628"/>
      <c r="C50" s="3628"/>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191414</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210555</v>
      </c>
      <c r="M50" s="39" t="str">
        <f>CONCATENATE("x ", K50," units = ")</f>
        <v xml:space="preserve">x  units = </v>
      </c>
      <c r="N50" s="2192" t="str">
        <f t="shared" ref="N50:N52" si="3">IF(K50="","",K50*L50)</f>
        <v/>
      </c>
      <c r="O50" s="564"/>
      <c r="P50" s="3662"/>
      <c r="Q50" s="3663"/>
      <c r="R50" s="407"/>
      <c r="S50" s="3654"/>
      <c r="T50" s="3655"/>
      <c r="U50" s="3655"/>
      <c r="V50" s="3656"/>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233581</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256939</v>
      </c>
      <c r="M51" s="39" t="str">
        <f>CONCATENATE("x ", K51," units = ")</f>
        <v xml:space="preserve">x  units = </v>
      </c>
      <c r="N51" s="2192" t="str">
        <f t="shared" si="3"/>
        <v/>
      </c>
      <c r="O51" s="564"/>
      <c r="P51" s="3664"/>
      <c r="Q51" s="3665"/>
      <c r="S51" s="3654"/>
      <c r="T51" s="3655"/>
      <c r="U51" s="3655"/>
      <c r="V51" s="3656"/>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276915</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304606</v>
      </c>
      <c r="M52" s="39" t="str">
        <f>CONCATENATE("x ", K52," units = ")</f>
        <v xml:space="preserve">x  units = </v>
      </c>
      <c r="N52" s="2192" t="str">
        <f t="shared" si="3"/>
        <v/>
      </c>
      <c r="O52" s="564"/>
      <c r="P52" s="3672" t="s">
        <v>3627</v>
      </c>
      <c r="Q52" s="3672"/>
      <c r="S52" s="3654"/>
      <c r="T52" s="3655"/>
      <c r="U52" s="3655"/>
      <c r="V52" s="3656"/>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3">
        <f>SUM(F48:F52)</f>
        <v>0</v>
      </c>
      <c r="G53" s="618"/>
      <c r="H53" s="1094"/>
      <c r="I53" s="1095">
        <f>SUM(I48:I52)</f>
        <v>0</v>
      </c>
      <c r="J53" s="1096"/>
      <c r="K53" s="1093">
        <f>SUM(K48:K52)</f>
        <v>0</v>
      </c>
      <c r="L53" s="1096"/>
      <c r="M53" s="1094"/>
      <c r="N53" s="1095">
        <f>SUM(N48:N52)</f>
        <v>0</v>
      </c>
      <c r="O53" s="564"/>
      <c r="P53" s="1101" t="s">
        <v>3245</v>
      </c>
      <c r="Q53" s="1101" t="s">
        <v>256</v>
      </c>
      <c r="R53" s="407"/>
      <c r="S53" s="3654"/>
      <c r="T53" s="3655"/>
      <c r="U53" s="3655"/>
      <c r="V53" s="3656"/>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0"/>
      <c r="J54" s="34"/>
      <c r="K54" s="619"/>
      <c r="L54" s="34"/>
      <c r="M54" s="2296"/>
      <c r="N54" s="2300"/>
      <c r="O54" s="564"/>
      <c r="R54" s="407"/>
      <c r="S54" s="3654"/>
      <c r="T54" s="3655"/>
      <c r="U54" s="3655"/>
      <c r="V54" s="3656"/>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106630</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117293</v>
      </c>
      <c r="M55" s="39" t="str">
        <f>CONCATENATE("x ", K55," units = ")</f>
        <v xml:space="preserve">x  units = </v>
      </c>
      <c r="N55" s="2192" t="str">
        <f>IF(K55="","",K55*L55)</f>
        <v/>
      </c>
      <c r="O55" s="564"/>
      <c r="P55" s="1100">
        <f>'Part IX Scoring Criteria'!O420</f>
        <v>0</v>
      </c>
      <c r="Q55" s="1100">
        <f>'Part IX Scoring Criteria'!P420</f>
        <v>0</v>
      </c>
      <c r="R55" s="407"/>
      <c r="S55" s="3654"/>
      <c r="T55" s="3655"/>
      <c r="U55" s="3655"/>
      <c r="V55" s="3656"/>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f>IF('Part VI-Revenues &amp; Expenses'!$K$139 =0,"",'Part VI-Revenues &amp; Expenses'!$K$139)</f>
        <v>12</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145635</v>
      </c>
      <c r="H56" s="39" t="str">
        <f>CONCATENATE("x ", F56," units = ")</f>
        <v xml:space="preserve">x 12 units = </v>
      </c>
      <c r="I56" s="2192">
        <f>IF(F56="","",F56*G56)</f>
        <v>1747620</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160198</v>
      </c>
      <c r="M56" s="39" t="str">
        <f>CONCATENATE("x ", K56," units = ")</f>
        <v xml:space="preserve">x  units = </v>
      </c>
      <c r="N56" s="2192" t="str">
        <f>IF(K56="","",K56*L56)</f>
        <v/>
      </c>
      <c r="P56" s="3672" t="s">
        <v>3628</v>
      </c>
      <c r="Q56" s="3672"/>
      <c r="S56" s="3654"/>
      <c r="T56" s="3655"/>
      <c r="U56" s="3655"/>
      <c r="V56" s="3656"/>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f>IF('Part VI-Revenues &amp; Expenses'!$L$139 =0,"",'Part VI-Revenues &amp; Expenses'!$L$139)</f>
        <v>36</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184366</v>
      </c>
      <c r="H57" s="39" t="str">
        <f>CONCATENATE("x ", F57," units = ")</f>
        <v xml:space="preserve">x 36 units = </v>
      </c>
      <c r="I57" s="2192">
        <f t="shared" ref="I57:I59" si="4">IF(F57="","",F57*G57)</f>
        <v>6637176</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202802</v>
      </c>
      <c r="M57" s="39" t="str">
        <f>CONCATENATE("x ", K57," units = ")</f>
        <v xml:space="preserve">x  units = </v>
      </c>
      <c r="N57" s="2192" t="str">
        <f t="shared" ref="N57:N59" si="5">IF(K57="","",K57*L57)</f>
        <v/>
      </c>
      <c r="P57" s="1101" t="s">
        <v>3245</v>
      </c>
      <c r="Q57" s="1101" t="s">
        <v>256</v>
      </c>
      <c r="S57" s="3654"/>
      <c r="T57" s="3655"/>
      <c r="U57" s="3655"/>
      <c r="V57" s="3656"/>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f>IF('Part VI-Revenues &amp; Expenses'!$M$139 =0,"",'Part VI-Revenues &amp; Expenses'!$M$139)</f>
        <v>24</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242953</v>
      </c>
      <c r="H58" s="39" t="str">
        <f>CONCATENATE("x ", F58," units = ")</f>
        <v xml:space="preserve">x 24 units = </v>
      </c>
      <c r="I58" s="2192">
        <f t="shared" si="4"/>
        <v>5830872</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267248</v>
      </c>
      <c r="M58" s="39" t="str">
        <f>CONCATENATE("x ", K58," units = ")</f>
        <v xml:space="preserve">x  units = </v>
      </c>
      <c r="N58" s="2192" t="str">
        <f t="shared" si="5"/>
        <v/>
      </c>
      <c r="O58" s="564"/>
      <c r="P58" s="1100">
        <f>'Part IX Scoring Criteria'!O71</f>
        <v>5</v>
      </c>
      <c r="Q58" s="1100">
        <f>'Part IX Scoring Criteria'!P71</f>
        <v>0</v>
      </c>
      <c r="S58" s="3657"/>
      <c r="T58" s="3658"/>
      <c r="U58" s="3658"/>
      <c r="V58" s="3659"/>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301159</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331274</v>
      </c>
      <c r="M59" s="39" t="str">
        <f>CONCATENATE("x ", K59," units = ")</f>
        <v xml:space="preserve">x  units = </v>
      </c>
      <c r="N59" s="2192" t="str">
        <f t="shared" si="5"/>
        <v/>
      </c>
      <c r="O59" s="564"/>
      <c r="P59" s="3622" t="s">
        <v>2770</v>
      </c>
      <c r="Q59" s="3622"/>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3">
        <f>SUM(F55:F59)</f>
        <v>72</v>
      </c>
      <c r="G60" s="618"/>
      <c r="H60" s="1094"/>
      <c r="I60" s="1095">
        <f>SUM(I55:I59)</f>
        <v>14215668</v>
      </c>
      <c r="J60" s="1096"/>
      <c r="K60" s="1093">
        <f>SUM(K55:K59)</f>
        <v>0</v>
      </c>
      <c r="L60" s="1096"/>
      <c r="M60" s="1094"/>
      <c r="N60" s="1095">
        <f>SUM(N55:N59)</f>
        <v>0</v>
      </c>
      <c r="O60" s="564"/>
      <c r="P60" s="3622"/>
      <c r="Q60" s="3622"/>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0"/>
      <c r="J61" s="34"/>
      <c r="K61" s="619"/>
      <c r="L61" s="34"/>
      <c r="M61" s="2296"/>
      <c r="N61" s="2300"/>
      <c r="O61" s="564"/>
      <c r="P61" s="3622"/>
      <c r="Q61" s="3622"/>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106679</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117346</v>
      </c>
      <c r="M62" s="39" t="str">
        <f>CONCATENATE("x ", K62," units = ")</f>
        <v xml:space="preserve">x  units = </v>
      </c>
      <c r="N62" s="2192" t="str">
        <f>IF(K62="","",K62*L62)</f>
        <v/>
      </c>
      <c r="O62" s="564"/>
      <c r="P62" s="3623"/>
      <c r="Q62" s="3623"/>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149350</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164285</v>
      </c>
      <c r="M63" s="39" t="str">
        <f>CONCATENATE("x ", K63," units = ")</f>
        <v xml:space="preserve">x  units = </v>
      </c>
      <c r="N63" s="2192" t="str">
        <f>IF(K63="","",K63*L63)</f>
        <v/>
      </c>
      <c r="O63" s="564"/>
      <c r="P63" s="3624">
        <f>IF(P50&gt;1,P50, IF(OR('Part IX Scoring Criteria'!$O$71='Part IX Scoring Criteria'!$M$71,AND('Part IV-A-Uses of Funds'!$T$165="Yes",'Part IX Scoring Criteria'!$O$420&gt;0)),H69+M69,H69))</f>
        <v>14215668</v>
      </c>
      <c r="Q63" s="3625"/>
      <c r="R63" s="3669"/>
      <c r="S63" s="3670"/>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192022</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211224</v>
      </c>
      <c r="M64" s="39" t="str">
        <f>CONCATENATE("x ", K64," units = ")</f>
        <v xml:space="preserve">x  units = </v>
      </c>
      <c r="N64" s="2192" t="str">
        <f t="shared" ref="N64:N66" si="7">IF(K64="","",K64*L64)</f>
        <v/>
      </c>
      <c r="P64" s="3626"/>
      <c r="Q64" s="3627"/>
      <c r="R64" s="3669"/>
      <c r="S64" s="3670"/>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256029</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281631</v>
      </c>
      <c r="M65" s="39" t="str">
        <f>CONCATENATE("x ", K65," units = ")</f>
        <v xml:space="preserve">x  units = </v>
      </c>
      <c r="N65" s="2192" t="str">
        <f t="shared" si="7"/>
        <v/>
      </c>
      <c r="P65" s="3666" t="s">
        <v>4234</v>
      </c>
      <c r="Q65" s="3666"/>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320036</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352039</v>
      </c>
      <c r="M66" s="39" t="str">
        <f>CONCATENATE("x ", K66," units = ")</f>
        <v xml:space="preserve">x  units = </v>
      </c>
      <c r="N66" s="2192" t="str">
        <f t="shared" si="7"/>
        <v/>
      </c>
      <c r="O66" s="564"/>
      <c r="P66" s="3667"/>
      <c r="Q66" s="3667"/>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3">
        <f>SUM(F62:F66)</f>
        <v>0</v>
      </c>
      <c r="G67" s="618"/>
      <c r="H67" s="1094"/>
      <c r="I67" s="1097">
        <f>SUM(I62:I66)</f>
        <v>0</v>
      </c>
      <c r="J67" s="1096"/>
      <c r="K67" s="1093">
        <f>SUM(K62:K66)</f>
        <v>0</v>
      </c>
      <c r="L67" s="1096"/>
      <c r="M67" s="1094"/>
      <c r="N67" s="1097">
        <f>SUM(N62:N66)</f>
        <v>0</v>
      </c>
      <c r="O67" s="564"/>
      <c r="P67" s="3667"/>
      <c r="Q67" s="3667"/>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7"/>
      <c r="O68" s="564"/>
      <c r="P68" s="3667"/>
      <c r="Q68" s="3667"/>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72</v>
      </c>
      <c r="G69" s="331"/>
      <c r="H69" s="3671">
        <f>I46+I53+I60+I67</f>
        <v>14215668</v>
      </c>
      <c r="I69" s="3671"/>
      <c r="J69" s="3671"/>
      <c r="K69" s="609">
        <f>K46+K53+K60+K67</f>
        <v>0</v>
      </c>
      <c r="L69" s="610"/>
      <c r="M69" s="3671">
        <f>N46+N53+N60+N67</f>
        <v>0</v>
      </c>
      <c r="N69" s="3671"/>
      <c r="O69" s="3671"/>
      <c r="P69" s="3667"/>
      <c r="Q69" s="3667"/>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305"/>
      <c r="J70" s="2305"/>
      <c r="K70" s="136" t="s">
        <v>1866</v>
      </c>
      <c r="L70" s="2293"/>
      <c r="M70" s="2293"/>
      <c r="N70" s="2293"/>
      <c r="O70" s="2293"/>
      <c r="P70" s="3668"/>
      <c r="Q70" s="3668"/>
    </row>
    <row r="71" spans="1:295" ht="10.5" customHeight="1">
      <c r="A71" s="3530" t="s">
        <v>5229</v>
      </c>
      <c r="B71" s="3531"/>
      <c r="C71" s="3531"/>
      <c r="D71" s="3531"/>
      <c r="E71" s="3531"/>
      <c r="F71" s="3531"/>
      <c r="G71" s="3531"/>
      <c r="H71" s="3531"/>
      <c r="I71" s="3531"/>
      <c r="J71" s="3532"/>
      <c r="K71" s="3486"/>
      <c r="L71" s="3487"/>
      <c r="M71" s="3487"/>
      <c r="N71" s="3487"/>
      <c r="O71" s="3487"/>
      <c r="P71" s="3487"/>
      <c r="Q71" s="3488"/>
      <c r="R71" s="445" t="s">
        <v>1254</v>
      </c>
      <c r="U71" s="135"/>
      <c r="V71" s="135"/>
      <c r="W71" s="135"/>
      <c r="X71" s="135"/>
      <c r="Y71" s="135"/>
      <c r="Z71" s="135"/>
      <c r="AA71" s="135"/>
      <c r="AB71" s="135"/>
      <c r="AC71" s="135"/>
      <c r="AD71" s="135"/>
      <c r="AE71" s="465"/>
    </row>
    <row r="72" spans="1:295" ht="3" customHeight="1">
      <c r="B72" s="2305"/>
      <c r="C72" s="2296"/>
      <c r="D72" s="2296"/>
      <c r="E72" s="2296"/>
      <c r="F72" s="2296"/>
      <c r="G72" s="2296"/>
      <c r="H72" s="2296"/>
      <c r="I72" s="2296"/>
      <c r="J72" s="2296"/>
      <c r="K72" s="2296"/>
      <c r="L72" s="2296"/>
      <c r="M72" s="2296"/>
      <c r="N72" s="2296"/>
      <c r="O72" s="2296"/>
      <c r="P72" s="2296"/>
      <c r="Q72" s="2293"/>
    </row>
    <row r="73" spans="1:295" ht="12.75" customHeight="1">
      <c r="A73" s="2290" t="s">
        <v>742</v>
      </c>
      <c r="B73" s="3" t="s">
        <v>1191</v>
      </c>
      <c r="C73" s="3"/>
      <c r="D73" s="3"/>
      <c r="E73" s="2296"/>
      <c r="F73" s="2296"/>
      <c r="G73" s="139" t="s">
        <v>99</v>
      </c>
      <c r="H73" s="2296"/>
      <c r="J73" s="3677" t="str">
        <f>'Part I-Project Information'!$H$82</f>
        <v>Family</v>
      </c>
      <c r="K73" s="3677"/>
      <c r="L73" s="3677"/>
      <c r="O73" s="131" t="s">
        <v>1867</v>
      </c>
      <c r="P73" s="3489"/>
      <c r="Q73" s="3490"/>
    </row>
    <row r="74" spans="1:295" ht="10.5" customHeight="1">
      <c r="B74" s="95" t="s">
        <v>3749</v>
      </c>
      <c r="D74" s="95"/>
      <c r="E74" s="95"/>
      <c r="F74" s="95"/>
      <c r="G74" s="95"/>
      <c r="H74" s="39"/>
      <c r="I74" s="2305"/>
      <c r="J74" s="2305"/>
      <c r="K74" s="136" t="s">
        <v>1866</v>
      </c>
      <c r="L74" s="2293"/>
      <c r="M74" s="2293"/>
      <c r="N74" s="2293"/>
      <c r="O74" s="2293"/>
      <c r="P74" s="2293"/>
      <c r="Q74" s="896"/>
    </row>
    <row r="75" spans="1:295" ht="10.5" customHeight="1">
      <c r="A75" s="3530" t="s">
        <v>5163</v>
      </c>
      <c r="B75" s="3531"/>
      <c r="C75" s="3531"/>
      <c r="D75" s="3531"/>
      <c r="E75" s="3531"/>
      <c r="F75" s="3531"/>
      <c r="G75" s="3531"/>
      <c r="H75" s="3531"/>
      <c r="I75" s="3531"/>
      <c r="J75" s="3532"/>
      <c r="K75" s="3486"/>
      <c r="L75" s="3487"/>
      <c r="M75" s="3487"/>
      <c r="N75" s="3487"/>
      <c r="O75" s="3487"/>
      <c r="P75" s="3487"/>
      <c r="Q75" s="3488"/>
      <c r="R75" s="445" t="s">
        <v>1254</v>
      </c>
      <c r="U75" s="135"/>
      <c r="V75" s="135"/>
      <c r="W75" s="135"/>
      <c r="X75" s="135"/>
      <c r="Y75" s="135"/>
      <c r="Z75" s="135"/>
      <c r="AA75" s="135"/>
      <c r="AB75" s="135"/>
      <c r="AC75" s="135"/>
      <c r="AD75" s="135"/>
      <c r="AE75" s="465"/>
    </row>
    <row r="76" spans="1:295" ht="3" customHeight="1">
      <c r="A76" s="2293"/>
      <c r="B76" s="2305"/>
      <c r="C76" s="2296"/>
      <c r="D76" s="2296"/>
      <c r="E76" s="2296"/>
      <c r="F76" s="2296"/>
      <c r="G76" s="2296"/>
      <c r="H76" s="2296"/>
      <c r="I76" s="2296"/>
      <c r="J76" s="2296"/>
      <c r="K76" s="2296"/>
      <c r="L76" s="2296"/>
      <c r="M76" s="2296"/>
      <c r="N76" s="2296"/>
      <c r="O76" s="2296"/>
      <c r="P76" s="2296"/>
      <c r="Q76" s="2293"/>
    </row>
    <row r="77" spans="1:295" ht="12.75" customHeight="1">
      <c r="A77" s="2290" t="s">
        <v>1792</v>
      </c>
      <c r="B77" s="2290" t="s">
        <v>2652</v>
      </c>
      <c r="C77" s="113"/>
      <c r="D77" s="2296"/>
      <c r="E77" s="2296"/>
      <c r="F77" s="2296"/>
      <c r="G77" s="2296"/>
      <c r="H77" s="2296"/>
      <c r="I77" s="2296"/>
      <c r="J77" s="2296"/>
      <c r="L77" s="2060" t="s">
        <v>4748</v>
      </c>
      <c r="M77" s="2061" t="s">
        <v>4749</v>
      </c>
      <c r="O77" s="131" t="s">
        <v>1867</v>
      </c>
      <c r="P77" s="3489"/>
      <c r="Q77" s="3490"/>
    </row>
    <row r="78" spans="1:295" ht="1.5" customHeight="1"/>
    <row r="79" spans="1:295" ht="12" customHeight="1">
      <c r="A79" s="141" t="s">
        <v>1983</v>
      </c>
      <c r="B79" s="3548" t="s">
        <v>4740</v>
      </c>
      <c r="C79" s="3548"/>
      <c r="D79" s="3548"/>
      <c r="E79" s="3548"/>
      <c r="F79" s="3548"/>
      <c r="G79" s="3548"/>
      <c r="H79" s="3548"/>
      <c r="I79" s="3548"/>
      <c r="J79" s="3548"/>
      <c r="K79" s="147"/>
      <c r="L79" s="434" t="s">
        <v>2910</v>
      </c>
      <c r="M79" s="2125">
        <v>2</v>
      </c>
      <c r="N79" s="391" t="s">
        <v>3694</v>
      </c>
      <c r="P79" s="3660" t="s">
        <v>5164</v>
      </c>
      <c r="Q79" s="3648"/>
    </row>
    <row r="80" spans="1:295" ht="12" customHeight="1">
      <c r="A80" s="141"/>
      <c r="B80" s="3548"/>
      <c r="C80" s="3548"/>
      <c r="D80" s="3548"/>
      <c r="E80" s="3548"/>
      <c r="F80" s="3548"/>
      <c r="G80" s="3548"/>
      <c r="H80" s="3548"/>
      <c r="I80" s="3548"/>
      <c r="J80" s="3548"/>
      <c r="K80" s="147"/>
      <c r="L80" s="434" t="s">
        <v>4747</v>
      </c>
      <c r="M80" s="2126">
        <v>4</v>
      </c>
      <c r="O80" s="142"/>
      <c r="P80" s="3661"/>
      <c r="Q80" s="3649"/>
    </row>
    <row r="81" spans="1:31" ht="12" customHeight="1">
      <c r="A81" s="46" t="s">
        <v>1985</v>
      </c>
      <c r="B81" s="391" t="s">
        <v>4750</v>
      </c>
      <c r="C81" s="391"/>
      <c r="D81" s="391"/>
      <c r="E81" s="391"/>
      <c r="F81" s="391"/>
      <c r="G81" s="391"/>
      <c r="H81" s="391"/>
      <c r="I81" s="391"/>
      <c r="J81" s="391"/>
      <c r="K81" s="587"/>
      <c r="L81" s="391"/>
      <c r="M81" s="147"/>
      <c r="N81" s="939"/>
      <c r="O81" s="939"/>
      <c r="P81" s="939"/>
    </row>
    <row r="82" spans="1:31" ht="12" customHeight="1">
      <c r="A82" s="2057"/>
      <c r="B82" s="2162" t="s">
        <v>1737</v>
      </c>
      <c r="C82" s="391" t="s">
        <v>4754</v>
      </c>
      <c r="D82" s="2059"/>
      <c r="E82" s="2059"/>
      <c r="F82" s="2059"/>
      <c r="G82" s="2059"/>
      <c r="H82" s="2059"/>
      <c r="I82" s="2059"/>
      <c r="J82" s="2059"/>
      <c r="K82" s="2058"/>
      <c r="L82" s="938"/>
      <c r="N82" s="391" t="s">
        <v>3694</v>
      </c>
      <c r="O82" s="939"/>
      <c r="P82" s="2671"/>
      <c r="Q82" s="534"/>
    </row>
    <row r="83" spans="1:31" ht="12" customHeight="1">
      <c r="A83" s="2057"/>
      <c r="B83" s="2162" t="s">
        <v>1738</v>
      </c>
      <c r="C83" s="391" t="s">
        <v>4751</v>
      </c>
      <c r="D83" s="2059"/>
      <c r="E83" s="2059"/>
      <c r="F83" s="2059"/>
      <c r="G83" s="2059"/>
      <c r="H83" s="2059"/>
      <c r="I83" s="2059"/>
      <c r="J83" s="2059"/>
      <c r="K83" s="2058"/>
      <c r="L83" s="938"/>
      <c r="N83" s="391" t="s">
        <v>3694</v>
      </c>
      <c r="O83" s="939"/>
      <c r="P83" s="2672" t="s">
        <v>5164</v>
      </c>
      <c r="Q83" s="535"/>
    </row>
    <row r="84" spans="1:31" ht="12" customHeight="1">
      <c r="A84" s="2056"/>
      <c r="B84" s="2162" t="s">
        <v>1739</v>
      </c>
      <c r="C84" s="391" t="s">
        <v>4752</v>
      </c>
      <c r="E84" s="2059"/>
      <c r="F84" s="2059"/>
      <c r="G84" s="2059"/>
      <c r="H84" s="2059"/>
      <c r="I84" s="2059"/>
      <c r="J84" s="2059"/>
      <c r="K84" s="2058"/>
      <c r="L84" s="938"/>
      <c r="M84" s="939"/>
      <c r="N84" s="391" t="s">
        <v>3694</v>
      </c>
      <c r="O84" s="939"/>
      <c r="P84" s="2672" t="s">
        <v>5164</v>
      </c>
      <c r="Q84" s="535"/>
    </row>
    <row r="85" spans="1:31" ht="10.95" customHeight="1">
      <c r="A85" s="143"/>
      <c r="B85" s="477" t="s">
        <v>2365</v>
      </c>
      <c r="C85" s="477" t="s">
        <v>4755</v>
      </c>
      <c r="D85" s="133"/>
      <c r="E85" s="133"/>
      <c r="F85" s="133"/>
      <c r="G85" s="133"/>
      <c r="H85" s="133"/>
      <c r="I85" s="41"/>
      <c r="J85" s="41"/>
      <c r="N85" s="391" t="s">
        <v>3694</v>
      </c>
      <c r="O85" s="939"/>
      <c r="P85" s="2673"/>
      <c r="Q85" s="536"/>
    </row>
    <row r="86" spans="1:31" ht="10.95" customHeight="1">
      <c r="A86" s="143"/>
      <c r="B86" s="477"/>
      <c r="C86" s="391" t="s">
        <v>4756</v>
      </c>
      <c r="D86" s="133"/>
      <c r="E86" s="133"/>
      <c r="F86" s="133"/>
      <c r="G86" s="133"/>
      <c r="H86" s="133"/>
      <c r="I86" s="41"/>
      <c r="J86" s="41"/>
      <c r="L86" s="3516"/>
      <c r="M86" s="3517"/>
      <c r="N86" s="3517"/>
      <c r="O86" s="3517"/>
      <c r="P86" s="3517"/>
      <c r="Q86" s="3518"/>
    </row>
    <row r="87" spans="1:31" ht="10.95" customHeight="1">
      <c r="A87" s="143"/>
      <c r="B87" s="477" t="s">
        <v>1549</v>
      </c>
      <c r="C87" s="3548" t="s">
        <v>4753</v>
      </c>
      <c r="D87" s="3548"/>
      <c r="E87" s="3548"/>
      <c r="F87" s="3548"/>
      <c r="G87" s="3548"/>
      <c r="H87" s="3548"/>
      <c r="I87" s="3548"/>
      <c r="J87" s="3548"/>
      <c r="K87" s="3548"/>
      <c r="L87" s="3548"/>
      <c r="M87" s="527"/>
      <c r="N87" s="391" t="s">
        <v>3694</v>
      </c>
      <c r="O87" s="939"/>
      <c r="P87" s="2674" t="s">
        <v>5164</v>
      </c>
      <c r="Q87" s="533"/>
    </row>
    <row r="88" spans="1:31" ht="10.95" customHeight="1">
      <c r="A88" s="46"/>
      <c r="C88" s="3548"/>
      <c r="D88" s="3548"/>
      <c r="E88" s="3548"/>
      <c r="F88" s="3548"/>
      <c r="G88" s="3548"/>
      <c r="H88" s="3548"/>
      <c r="I88" s="3548"/>
      <c r="J88" s="3548"/>
      <c r="K88" s="3548"/>
      <c r="L88" s="3548"/>
      <c r="M88" s="527"/>
    </row>
    <row r="89" spans="1:31" ht="10.5" customHeight="1">
      <c r="B89" s="95" t="s">
        <v>3749</v>
      </c>
      <c r="D89" s="95"/>
      <c r="E89" s="95"/>
      <c r="F89" s="95"/>
      <c r="G89" s="95"/>
      <c r="H89" s="39"/>
      <c r="I89" s="2305"/>
      <c r="J89" s="2305"/>
      <c r="K89" s="136" t="s">
        <v>1866</v>
      </c>
      <c r="L89" s="2293"/>
      <c r="M89" s="2293"/>
      <c r="N89" s="2293"/>
      <c r="O89" s="2293"/>
      <c r="P89" s="2293"/>
      <c r="Q89" s="896"/>
    </row>
    <row r="90" spans="1:31" ht="22.5" customHeight="1">
      <c r="A90" s="3530" t="s">
        <v>5166</v>
      </c>
      <c r="B90" s="3531"/>
      <c r="C90" s="3531"/>
      <c r="D90" s="3531"/>
      <c r="E90" s="3531"/>
      <c r="F90" s="3531"/>
      <c r="G90" s="3531"/>
      <c r="H90" s="3531"/>
      <c r="I90" s="3531"/>
      <c r="J90" s="3532"/>
      <c r="K90" s="3486"/>
      <c r="L90" s="3487"/>
      <c r="M90" s="3487"/>
      <c r="N90" s="3487"/>
      <c r="O90" s="3487"/>
      <c r="P90" s="3487"/>
      <c r="Q90" s="3488"/>
      <c r="R90" s="445" t="s">
        <v>1254</v>
      </c>
      <c r="U90" s="135"/>
      <c r="V90" s="135"/>
      <c r="W90" s="135"/>
      <c r="X90" s="135"/>
      <c r="Y90" s="135"/>
      <c r="Z90" s="135"/>
      <c r="AA90" s="135"/>
      <c r="AB90" s="135"/>
      <c r="AC90" s="135"/>
      <c r="AD90" s="135"/>
      <c r="AE90" s="465"/>
    </row>
    <row r="91" spans="1:31" ht="3" customHeight="1">
      <c r="A91" s="2293"/>
      <c r="B91" s="2305"/>
      <c r="C91" s="2296"/>
      <c r="D91" s="2296"/>
      <c r="E91" s="2296"/>
      <c r="F91" s="2296"/>
      <c r="G91" s="2296"/>
      <c r="H91" s="2296"/>
      <c r="I91" s="2296"/>
      <c r="J91" s="2296"/>
      <c r="K91" s="2296"/>
      <c r="L91" s="2296"/>
      <c r="M91" s="2296"/>
      <c r="N91" s="2296"/>
      <c r="O91" s="2296"/>
      <c r="P91" s="2296"/>
      <c r="Q91" s="2293"/>
    </row>
    <row r="92" spans="1:31" ht="13.95" customHeight="1">
      <c r="A92" s="2290" t="s">
        <v>1794</v>
      </c>
      <c r="B92" s="2290" t="s">
        <v>2653</v>
      </c>
      <c r="C92" s="2290"/>
      <c r="D92" s="2296"/>
      <c r="E92" s="2296"/>
      <c r="F92" s="2296"/>
      <c r="G92" s="2296"/>
      <c r="H92" s="2296"/>
      <c r="I92" s="2296"/>
      <c r="J92" s="2296"/>
      <c r="K92" s="2296"/>
      <c r="O92" s="131" t="s">
        <v>1867</v>
      </c>
      <c r="P92" s="3489"/>
      <c r="Q92" s="3490"/>
    </row>
    <row r="93" spans="1:31" ht="3" customHeight="1"/>
    <row r="94" spans="1:31" ht="10.5" customHeight="1">
      <c r="A94" s="46" t="s">
        <v>1983</v>
      </c>
      <c r="B94" s="144" t="s">
        <v>2460</v>
      </c>
      <c r="D94" s="133"/>
      <c r="E94" s="133"/>
      <c r="F94" s="133"/>
      <c r="G94" s="133"/>
      <c r="H94" s="133"/>
      <c r="I94" s="41"/>
      <c r="J94" s="41"/>
      <c r="K94" s="41"/>
      <c r="L94" s="463" t="s">
        <v>1983</v>
      </c>
      <c r="M94" s="3533" t="s">
        <v>5165</v>
      </c>
      <c r="N94" s="3534"/>
      <c r="O94" s="3534"/>
      <c r="P94" s="3685"/>
      <c r="Q94" s="534"/>
    </row>
    <row r="95" spans="1:31" ht="10.5" customHeight="1">
      <c r="A95" s="46" t="s">
        <v>1985</v>
      </c>
      <c r="B95" s="51" t="s">
        <v>2036</v>
      </c>
      <c r="D95" s="133"/>
      <c r="E95" s="133"/>
      <c r="F95" s="133"/>
      <c r="L95" s="463" t="s">
        <v>1985</v>
      </c>
      <c r="M95" s="3686" t="s">
        <v>5234</v>
      </c>
      <c r="N95" s="3687"/>
      <c r="O95" s="3687"/>
      <c r="P95" s="3688"/>
      <c r="Q95" s="535"/>
    </row>
    <row r="96" spans="1:31" ht="10.5" customHeight="1">
      <c r="A96" s="46" t="s">
        <v>749</v>
      </c>
      <c r="B96" s="51" t="s">
        <v>2878</v>
      </c>
      <c r="D96" s="133"/>
      <c r="E96" s="133"/>
      <c r="F96" s="133"/>
      <c r="L96" s="463" t="s">
        <v>749</v>
      </c>
      <c r="M96" s="3689">
        <v>0.96</v>
      </c>
      <c r="N96" s="3690"/>
      <c r="O96" s="3690"/>
      <c r="P96" s="3691"/>
      <c r="Q96" s="535"/>
    </row>
    <row r="97" spans="1:31" ht="10.5" customHeight="1">
      <c r="A97" s="46" t="s">
        <v>2115</v>
      </c>
      <c r="B97" s="51" t="s">
        <v>3889</v>
      </c>
      <c r="D97" s="133"/>
      <c r="E97" s="133"/>
      <c r="F97" s="133"/>
      <c r="L97" s="463" t="s">
        <v>3890</v>
      </c>
      <c r="M97" s="2675">
        <v>0.02</v>
      </c>
      <c r="N97" s="1102"/>
      <c r="O97" s="1103" t="s">
        <v>4121</v>
      </c>
      <c r="P97" s="2676">
        <v>2E-3</v>
      </c>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310" t="s">
        <v>2378</v>
      </c>
      <c r="E99" s="897" t="s">
        <v>617</v>
      </c>
      <c r="F99" s="897"/>
      <c r="H99" s="51"/>
      <c r="I99" s="2310" t="s">
        <v>2378</v>
      </c>
      <c r="J99" s="897" t="s">
        <v>617</v>
      </c>
      <c r="K99" s="897"/>
      <c r="M99" s="51"/>
      <c r="N99" s="2310" t="s">
        <v>2378</v>
      </c>
      <c r="O99" s="897" t="s">
        <v>617</v>
      </c>
      <c r="P99" s="897"/>
      <c r="Q99" s="463"/>
    </row>
    <row r="100" spans="1:31" ht="10.5" customHeight="1">
      <c r="C100" s="463" t="s">
        <v>1737</v>
      </c>
      <c r="D100" s="2677" t="s">
        <v>5238</v>
      </c>
      <c r="E100" s="3678" t="s">
        <v>5239</v>
      </c>
      <c r="F100" s="3678"/>
      <c r="G100" s="3678"/>
      <c r="H100" s="65" t="s">
        <v>1739</v>
      </c>
      <c r="I100" s="2677" t="s">
        <v>5243</v>
      </c>
      <c r="J100" s="3678" t="s">
        <v>5242</v>
      </c>
      <c r="K100" s="3678"/>
      <c r="L100" s="3678"/>
      <c r="M100" s="64" t="s">
        <v>1549</v>
      </c>
      <c r="N100" s="2677" t="s">
        <v>5246</v>
      </c>
      <c r="O100" s="3678" t="s">
        <v>5247</v>
      </c>
      <c r="P100" s="3678"/>
      <c r="Q100" s="3678"/>
    </row>
    <row r="101" spans="1:31" ht="10.5" customHeight="1">
      <c r="C101" s="65" t="s">
        <v>1738</v>
      </c>
      <c r="D101" s="2678" t="s">
        <v>5240</v>
      </c>
      <c r="E101" s="3697" t="s">
        <v>5241</v>
      </c>
      <c r="F101" s="3697"/>
      <c r="G101" s="3697"/>
      <c r="H101" s="463" t="s">
        <v>2365</v>
      </c>
      <c r="I101" s="2678" t="s">
        <v>5244</v>
      </c>
      <c r="J101" s="3697" t="s">
        <v>5245</v>
      </c>
      <c r="K101" s="3697"/>
      <c r="L101" s="3697"/>
      <c r="M101" s="64" t="s">
        <v>1550</v>
      </c>
      <c r="N101" s="2678" t="s">
        <v>5248</v>
      </c>
      <c r="O101" s="3697" t="s">
        <v>5249</v>
      </c>
      <c r="P101" s="3697"/>
      <c r="Q101" s="3697"/>
    </row>
    <row r="102" spans="1:31" ht="10.5" customHeight="1">
      <c r="A102" s="46" t="s">
        <v>1736</v>
      </c>
      <c r="B102" s="51" t="s">
        <v>0</v>
      </c>
      <c r="D102" s="133"/>
      <c r="E102" s="133"/>
      <c r="F102" s="133"/>
      <c r="G102" s="133"/>
      <c r="H102" s="133"/>
      <c r="I102" s="41"/>
      <c r="J102" s="41"/>
      <c r="K102" s="133"/>
      <c r="L102" s="2301"/>
      <c r="M102" s="2301"/>
      <c r="O102" s="463" t="s">
        <v>1736</v>
      </c>
      <c r="P102" s="2679" t="s">
        <v>2989</v>
      </c>
      <c r="Q102" s="2304"/>
    </row>
    <row r="103" spans="1:31" ht="9.75" customHeight="1">
      <c r="B103" s="140" t="s">
        <v>3749</v>
      </c>
      <c r="D103" s="140"/>
      <c r="E103" s="140"/>
      <c r="F103" s="140"/>
      <c r="G103" s="140"/>
      <c r="H103" s="39"/>
      <c r="I103" s="2305"/>
      <c r="J103" s="2305"/>
      <c r="K103" s="2305"/>
      <c r="L103" s="2293"/>
      <c r="M103" s="2293"/>
      <c r="N103" s="2293"/>
      <c r="O103" s="2293"/>
      <c r="P103" s="2293"/>
      <c r="Q103" s="896"/>
    </row>
    <row r="104" spans="1:31" ht="44.25" customHeight="1">
      <c r="A104" s="3530" t="s">
        <v>5297</v>
      </c>
      <c r="B104" s="3531"/>
      <c r="C104" s="3531"/>
      <c r="D104" s="3531"/>
      <c r="E104" s="3531"/>
      <c r="F104" s="3531"/>
      <c r="G104" s="3531"/>
      <c r="H104" s="3531"/>
      <c r="I104" s="3531"/>
      <c r="J104" s="3531"/>
      <c r="K104" s="3531"/>
      <c r="L104" s="3531"/>
      <c r="M104" s="3531"/>
      <c r="N104" s="3531"/>
      <c r="O104" s="3531"/>
      <c r="P104" s="3531"/>
      <c r="Q104" s="3532"/>
      <c r="U104" s="135"/>
      <c r="V104" s="135"/>
      <c r="W104" s="135"/>
      <c r="X104" s="135"/>
      <c r="Y104" s="135"/>
      <c r="Z104" s="135"/>
      <c r="AA104" s="135"/>
      <c r="AB104" s="135"/>
      <c r="AC104" s="135"/>
      <c r="AD104" s="135"/>
      <c r="AE104" s="465"/>
    </row>
    <row r="105" spans="1:31" ht="9.75" customHeight="1">
      <c r="B105" s="136" t="s">
        <v>1866</v>
      </c>
      <c r="C105" s="137"/>
      <c r="D105" s="2296"/>
      <c r="E105" s="2296"/>
      <c r="F105" s="2296"/>
      <c r="G105" s="2296"/>
      <c r="H105" s="2296"/>
      <c r="I105" s="2296"/>
      <c r="J105" s="2296"/>
      <c r="K105" s="2296"/>
      <c r="L105" s="2296"/>
      <c r="M105" s="2296"/>
      <c r="N105" s="2296"/>
      <c r="O105" s="2296"/>
      <c r="P105" s="2296"/>
      <c r="Q105" s="2296"/>
    </row>
    <row r="106" spans="1:31" ht="44.25" customHeight="1">
      <c r="A106" s="3486"/>
      <c r="B106" s="3487"/>
      <c r="C106" s="3487"/>
      <c r="D106" s="3487"/>
      <c r="E106" s="3487"/>
      <c r="F106" s="3487"/>
      <c r="G106" s="3487"/>
      <c r="H106" s="3487"/>
      <c r="I106" s="3487"/>
      <c r="J106" s="3487"/>
      <c r="K106" s="3487"/>
      <c r="L106" s="3487"/>
      <c r="M106" s="3487"/>
      <c r="N106" s="3487"/>
      <c r="O106" s="3487"/>
      <c r="P106" s="3487"/>
      <c r="Q106" s="3488"/>
    </row>
    <row r="107" spans="1:31" ht="13.95" customHeight="1">
      <c r="A107" s="2290" t="s">
        <v>530</v>
      </c>
      <c r="B107" s="2290" t="s">
        <v>2654</v>
      </c>
      <c r="C107" s="2290"/>
      <c r="D107" s="2296"/>
      <c r="E107" s="2296"/>
      <c r="F107" s="2296"/>
      <c r="G107" s="2296"/>
      <c r="H107" s="2296"/>
      <c r="I107" s="2296"/>
      <c r="J107" s="2296"/>
      <c r="K107" s="2296"/>
      <c r="L107" s="2296"/>
      <c r="M107" s="2296"/>
      <c r="O107" s="131" t="s">
        <v>1867</v>
      </c>
      <c r="P107" s="3489"/>
      <c r="Q107" s="3490"/>
    </row>
    <row r="108" spans="1:31" ht="3" customHeight="1"/>
    <row r="109" spans="1:31" ht="9.75" customHeight="1">
      <c r="B109" s="54" t="s">
        <v>4933</v>
      </c>
      <c r="P109" s="2674"/>
      <c r="Q109" s="533"/>
    </row>
    <row r="110" spans="1:31" ht="10.5" customHeight="1">
      <c r="A110" s="46" t="s">
        <v>1983</v>
      </c>
      <c r="B110" s="51" t="s">
        <v>493</v>
      </c>
      <c r="C110" s="51"/>
      <c r="E110" s="51"/>
      <c r="F110" s="51"/>
      <c r="G110" s="51"/>
      <c r="H110" s="51"/>
      <c r="I110" s="51"/>
      <c r="J110" s="51"/>
      <c r="K110" s="51"/>
      <c r="L110" s="51"/>
      <c r="M110" s="51"/>
      <c r="O110" s="463" t="s">
        <v>1983</v>
      </c>
      <c r="P110" s="2680" t="s">
        <v>2992</v>
      </c>
      <c r="Q110" s="940"/>
    </row>
    <row r="111" spans="1:31" ht="10.5" customHeight="1">
      <c r="A111" s="46" t="s">
        <v>1985</v>
      </c>
      <c r="B111" s="51" t="s">
        <v>1304</v>
      </c>
      <c r="C111" s="51"/>
      <c r="E111" s="51"/>
      <c r="F111" s="51"/>
      <c r="G111" s="51"/>
      <c r="H111" s="51"/>
      <c r="I111" s="51"/>
      <c r="J111" s="51"/>
      <c r="K111" s="51"/>
      <c r="L111" s="897"/>
      <c r="M111" s="897"/>
      <c r="O111" s="463" t="s">
        <v>1985</v>
      </c>
      <c r="P111" s="2673" t="s">
        <v>2992</v>
      </c>
      <c r="Q111" s="535"/>
    </row>
    <row r="112" spans="1:31" ht="10.5" customHeight="1">
      <c r="A112" s="35"/>
      <c r="B112" s="38" t="s">
        <v>554</v>
      </c>
      <c r="E112" s="41"/>
      <c r="F112" s="41"/>
      <c r="G112" s="41"/>
      <c r="H112" s="41"/>
      <c r="I112" s="41"/>
      <c r="L112" s="65" t="s">
        <v>555</v>
      </c>
      <c r="M112" s="3516"/>
      <c r="N112" s="3517"/>
      <c r="O112" s="3517"/>
      <c r="P112" s="3157"/>
      <c r="Q112" s="535"/>
    </row>
    <row r="113" spans="1:32" ht="10.5" customHeight="1">
      <c r="A113" s="2305"/>
      <c r="B113" s="2162" t="s">
        <v>1737</v>
      </c>
      <c r="C113" s="897" t="s">
        <v>4757</v>
      </c>
      <c r="D113" s="1027"/>
      <c r="E113" s="1027"/>
      <c r="F113" s="1027"/>
      <c r="G113" s="1027"/>
      <c r="H113" s="1027"/>
      <c r="I113" s="1027"/>
      <c r="J113" s="1027"/>
      <c r="K113" s="1027"/>
      <c r="L113" s="1027"/>
      <c r="M113" s="1027"/>
      <c r="O113" s="148" t="s">
        <v>1737</v>
      </c>
      <c r="P113" s="2671"/>
      <c r="Q113" s="535"/>
    </row>
    <row r="114" spans="1:32" ht="10.5" customHeight="1">
      <c r="A114" s="2305"/>
      <c r="B114" s="145" t="s">
        <v>1738</v>
      </c>
      <c r="C114" s="897" t="s">
        <v>3470</v>
      </c>
      <c r="D114" s="1027"/>
      <c r="E114" s="1027"/>
      <c r="F114" s="1027"/>
      <c r="G114" s="1027"/>
      <c r="H114" s="1027"/>
      <c r="I114" s="1027"/>
      <c r="J114" s="1027"/>
      <c r="K114" s="1027"/>
      <c r="L114" s="1027"/>
      <c r="M114" s="1027"/>
      <c r="O114" s="65" t="s">
        <v>1738</v>
      </c>
      <c r="P114" s="2672"/>
      <c r="Q114" s="535"/>
    </row>
    <row r="115" spans="1:32" ht="10.5" customHeight="1">
      <c r="A115" s="2305"/>
      <c r="B115" s="2162" t="s">
        <v>1739</v>
      </c>
      <c r="C115" s="897" t="s">
        <v>3471</v>
      </c>
      <c r="D115" s="1027"/>
      <c r="E115" s="1027"/>
      <c r="F115" s="1027"/>
      <c r="G115" s="1027"/>
      <c r="H115" s="1027"/>
      <c r="I115" s="1027"/>
      <c r="J115" s="1027"/>
      <c r="K115" s="1027"/>
      <c r="L115" s="1027"/>
      <c r="M115" s="1027"/>
      <c r="O115" s="148" t="s">
        <v>1739</v>
      </c>
      <c r="P115" s="2672"/>
      <c r="Q115" s="535"/>
    </row>
    <row r="116" spans="1:32" ht="10.5" customHeight="1">
      <c r="A116" s="2305"/>
      <c r="B116" s="477" t="s">
        <v>2365</v>
      </c>
      <c r="C116" s="897" t="s">
        <v>2879</v>
      </c>
      <c r="D116" s="897"/>
      <c r="E116" s="897"/>
      <c r="F116" s="897"/>
      <c r="G116" s="897"/>
      <c r="H116" s="897"/>
      <c r="I116" s="897"/>
      <c r="J116" s="897"/>
      <c r="K116" s="897"/>
      <c r="L116" s="897"/>
      <c r="M116" s="1168"/>
      <c r="O116" s="160" t="s">
        <v>2365</v>
      </c>
      <c r="P116" s="2672"/>
      <c r="Q116" s="535"/>
    </row>
    <row r="117" spans="1:32" s="132" customFormat="1" ht="24.75" customHeight="1">
      <c r="A117" s="434"/>
      <c r="B117" s="477" t="s">
        <v>1549</v>
      </c>
      <c r="C117" s="3485" t="s">
        <v>2689</v>
      </c>
      <c r="D117" s="3485"/>
      <c r="E117" s="3485"/>
      <c r="F117" s="3485"/>
      <c r="G117" s="3485"/>
      <c r="H117" s="3485"/>
      <c r="I117" s="3485"/>
      <c r="J117" s="3485"/>
      <c r="K117" s="3485"/>
      <c r="L117" s="3485"/>
      <c r="M117" s="3485"/>
      <c r="N117" s="3485"/>
      <c r="O117" s="160" t="s">
        <v>1549</v>
      </c>
      <c r="P117" s="2681"/>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3" t="s">
        <v>2992</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1" t="s">
        <v>2989</v>
      </c>
      <c r="Q120" s="534"/>
    </row>
    <row r="121" spans="1:32" ht="10.5" customHeight="1">
      <c r="B121" s="145" t="s">
        <v>1738</v>
      </c>
      <c r="C121" s="51" t="s">
        <v>1430</v>
      </c>
      <c r="E121" s="51"/>
      <c r="F121" s="51"/>
      <c r="G121" s="51"/>
      <c r="H121" s="51"/>
      <c r="I121" s="51"/>
      <c r="J121" s="51"/>
      <c r="K121" s="51"/>
      <c r="L121" s="897"/>
      <c r="M121" s="897"/>
      <c r="O121" s="65" t="s">
        <v>1738</v>
      </c>
      <c r="P121" s="2672"/>
      <c r="Q121" s="535"/>
    </row>
    <row r="122" spans="1:32" ht="10.5" customHeight="1">
      <c r="B122" s="145" t="s">
        <v>1739</v>
      </c>
      <c r="C122" s="51" t="s">
        <v>1431</v>
      </c>
      <c r="E122" s="51"/>
      <c r="F122" s="51"/>
      <c r="G122" s="51"/>
      <c r="H122" s="51"/>
      <c r="I122" s="51"/>
      <c r="J122" s="51"/>
      <c r="K122" s="51"/>
      <c r="L122" s="897"/>
      <c r="M122" s="897"/>
      <c r="O122" s="65" t="s">
        <v>1739</v>
      </c>
      <c r="P122" s="2673"/>
      <c r="Q122" s="536"/>
    </row>
    <row r="123" spans="1:32" ht="10.5" customHeight="1">
      <c r="B123" s="140" t="s">
        <v>3749</v>
      </c>
      <c r="D123" s="140"/>
      <c r="E123" s="140"/>
      <c r="F123" s="140"/>
      <c r="G123" s="140"/>
      <c r="H123" s="39"/>
      <c r="I123" s="2305"/>
      <c r="J123" s="2305"/>
      <c r="K123" s="2305"/>
      <c r="L123" s="2293"/>
      <c r="M123" s="2293"/>
      <c r="N123" s="2293"/>
      <c r="O123" s="2293"/>
      <c r="P123" s="2293"/>
      <c r="Q123" s="896"/>
    </row>
    <row r="124" spans="1:32" ht="22.5" customHeight="1">
      <c r="A124" s="3530" t="s">
        <v>5167</v>
      </c>
      <c r="B124" s="3531"/>
      <c r="C124" s="3531"/>
      <c r="D124" s="3531"/>
      <c r="E124" s="3531"/>
      <c r="F124" s="3531"/>
      <c r="G124" s="3531"/>
      <c r="H124" s="3531"/>
      <c r="I124" s="3531"/>
      <c r="J124" s="3531"/>
      <c r="K124" s="3531"/>
      <c r="L124" s="3531"/>
      <c r="M124" s="3531"/>
      <c r="N124" s="3531"/>
      <c r="O124" s="3531"/>
      <c r="P124" s="3531"/>
      <c r="Q124" s="3532"/>
      <c r="U124" s="135"/>
      <c r="V124" s="135"/>
      <c r="W124" s="135"/>
      <c r="X124" s="135"/>
      <c r="Y124" s="135"/>
      <c r="Z124" s="135"/>
      <c r="AA124" s="135"/>
      <c r="AB124" s="135"/>
      <c r="AC124" s="135"/>
      <c r="AD124" s="135"/>
      <c r="AE124" s="465"/>
    </row>
    <row r="125" spans="1:32" ht="11.25" customHeight="1">
      <c r="B125" s="136" t="s">
        <v>1866</v>
      </c>
      <c r="C125" s="137"/>
      <c r="D125" s="2296"/>
      <c r="E125" s="2296"/>
      <c r="F125" s="2296"/>
      <c r="G125" s="2296"/>
      <c r="H125" s="2296"/>
      <c r="I125" s="2296"/>
      <c r="J125" s="2296"/>
      <c r="K125" s="2296"/>
      <c r="L125" s="2296"/>
      <c r="M125" s="2296"/>
      <c r="N125" s="2296"/>
      <c r="O125" s="2296"/>
      <c r="P125" s="2296"/>
      <c r="Q125" s="2296"/>
    </row>
    <row r="126" spans="1:32" ht="22.5" customHeight="1">
      <c r="A126" s="3486"/>
      <c r="B126" s="3487"/>
      <c r="C126" s="3487"/>
      <c r="D126" s="3487"/>
      <c r="E126" s="3487"/>
      <c r="F126" s="3487"/>
      <c r="G126" s="3487"/>
      <c r="H126" s="3487"/>
      <c r="I126" s="3487"/>
      <c r="J126" s="3487"/>
      <c r="K126" s="3487"/>
      <c r="L126" s="3487"/>
      <c r="M126" s="3487"/>
      <c r="N126" s="3487"/>
      <c r="O126" s="3487"/>
      <c r="P126" s="3487"/>
      <c r="Q126" s="3488"/>
    </row>
    <row r="127" spans="1:32" ht="13.95" customHeight="1">
      <c r="A127" s="2290" t="s">
        <v>772</v>
      </c>
      <c r="B127" s="2290" t="s">
        <v>2655</v>
      </c>
      <c r="C127" s="39"/>
      <c r="D127" s="2296"/>
      <c r="E127" s="2296"/>
      <c r="F127" s="2296"/>
      <c r="G127" s="2296"/>
      <c r="H127" s="2296"/>
      <c r="I127" s="2296"/>
      <c r="J127" s="2296"/>
      <c r="K127" s="2296"/>
      <c r="L127" s="2296"/>
      <c r="M127" s="2296"/>
      <c r="O127" s="131" t="s">
        <v>1867</v>
      </c>
      <c r="P127" s="3489"/>
      <c r="Q127" s="3490"/>
    </row>
    <row r="128" spans="1:32" ht="6.6" customHeight="1"/>
    <row r="129" spans="1:17" ht="12" customHeight="1">
      <c r="A129" s="46" t="s">
        <v>1983</v>
      </c>
      <c r="B129" s="51" t="s">
        <v>3634</v>
      </c>
      <c r="D129" s="133"/>
      <c r="E129" s="133"/>
      <c r="F129" s="133"/>
      <c r="G129" s="133"/>
      <c r="H129" s="133"/>
      <c r="I129" s="41"/>
      <c r="J129" s="41"/>
      <c r="K129" s="463" t="s">
        <v>1983</v>
      </c>
      <c r="L129" s="3693" t="s">
        <v>5168</v>
      </c>
      <c r="M129" s="3693"/>
      <c r="N129" s="3693"/>
      <c r="O129" s="3693"/>
      <c r="P129" s="3693"/>
      <c r="Q129" s="533"/>
    </row>
    <row r="130" spans="1:17" ht="12" customHeight="1">
      <c r="A130" s="46" t="s">
        <v>1985</v>
      </c>
      <c r="B130" s="51" t="s">
        <v>1538</v>
      </c>
      <c r="D130" s="133"/>
      <c r="E130" s="133"/>
      <c r="F130" s="133"/>
      <c r="G130" s="133"/>
      <c r="H130" s="133"/>
      <c r="I130" s="41"/>
      <c r="J130" s="41"/>
      <c r="K130" s="133"/>
      <c r="L130" s="2301"/>
      <c r="O130" s="463" t="s">
        <v>1985</v>
      </c>
      <c r="P130" s="2680" t="s">
        <v>2989</v>
      </c>
      <c r="Q130" s="940"/>
    </row>
    <row r="131" spans="1:17" ht="12" customHeight="1">
      <c r="A131" s="46" t="s">
        <v>749</v>
      </c>
      <c r="B131" s="51" t="s">
        <v>151</v>
      </c>
      <c r="D131" s="133"/>
      <c r="E131" s="133"/>
      <c r="F131" s="133"/>
      <c r="G131" s="133"/>
      <c r="H131" s="133"/>
      <c r="I131" s="41"/>
      <c r="J131" s="41"/>
      <c r="K131" s="2301"/>
      <c r="L131" s="2301"/>
      <c r="O131" s="463" t="s">
        <v>749</v>
      </c>
      <c r="P131" s="2673" t="s">
        <v>2989</v>
      </c>
      <c r="Q131" s="903"/>
    </row>
    <row r="132" spans="1:17" ht="12" customHeight="1">
      <c r="A132" s="46"/>
      <c r="B132" s="897" t="s">
        <v>1737</v>
      </c>
      <c r="C132" s="51" t="s">
        <v>2688</v>
      </c>
      <c r="E132" s="133"/>
      <c r="F132" s="133"/>
      <c r="G132" s="133"/>
      <c r="H132" s="133"/>
      <c r="I132" s="41"/>
      <c r="J132" s="41"/>
      <c r="K132" s="65" t="s">
        <v>1737</v>
      </c>
      <c r="L132" s="3693" t="s">
        <v>5168</v>
      </c>
      <c r="M132" s="3693"/>
      <c r="N132" s="3693"/>
      <c r="O132" s="3693"/>
      <c r="P132" s="3693"/>
      <c r="Q132" s="533"/>
    </row>
    <row r="133" spans="1:17" ht="12" customHeight="1">
      <c r="A133" s="138"/>
      <c r="B133" s="145" t="s">
        <v>1738</v>
      </c>
      <c r="C133" s="35" t="s">
        <v>3472</v>
      </c>
      <c r="E133" s="41"/>
      <c r="F133" s="41"/>
      <c r="G133" s="41"/>
      <c r="H133" s="51"/>
      <c r="I133" s="41"/>
      <c r="J133" s="41"/>
      <c r="K133" s="133"/>
      <c r="L133" s="2301"/>
      <c r="M133" s="2301"/>
      <c r="O133" s="463" t="s">
        <v>1738</v>
      </c>
      <c r="P133" s="2679" t="s">
        <v>5289</v>
      </c>
      <c r="Q133" s="2304"/>
    </row>
    <row r="134" spans="1:17" ht="12" customHeight="1">
      <c r="A134" s="138"/>
      <c r="B134" s="39" t="s">
        <v>1739</v>
      </c>
      <c r="C134" s="35" t="s">
        <v>4741</v>
      </c>
      <c r="D134" s="147"/>
      <c r="E134" s="41"/>
      <c r="F134" s="41"/>
      <c r="G134" s="41"/>
      <c r="H134" s="51"/>
      <c r="I134" s="41"/>
      <c r="J134" s="41"/>
      <c r="K134" s="133"/>
      <c r="L134" s="2301"/>
      <c r="M134" s="2301"/>
      <c r="O134" s="463" t="s">
        <v>1739</v>
      </c>
      <c r="P134" s="2679"/>
      <c r="Q134" s="2304"/>
    </row>
    <row r="135" spans="1:17" ht="12" customHeight="1">
      <c r="A135" s="46" t="s">
        <v>2115</v>
      </c>
      <c r="B135" s="51" t="s">
        <v>1260</v>
      </c>
      <c r="D135" s="133"/>
      <c r="E135" s="133"/>
      <c r="F135" s="133"/>
      <c r="G135" s="133"/>
      <c r="H135" s="133"/>
      <c r="I135" s="41"/>
      <c r="J135" s="41"/>
      <c r="K135" s="133"/>
      <c r="L135" s="2301"/>
      <c r="M135" s="2301"/>
      <c r="N135" s="2301"/>
      <c r="O135" s="463" t="s">
        <v>2115</v>
      </c>
    </row>
    <row r="136" spans="1:17" ht="12" customHeight="1">
      <c r="A136" s="46"/>
      <c r="B136" s="145" t="s">
        <v>1737</v>
      </c>
      <c r="C136" s="51" t="s">
        <v>149</v>
      </c>
      <c r="E136" s="133"/>
      <c r="F136" s="133"/>
      <c r="G136" s="133"/>
      <c r="H136" s="133"/>
      <c r="I136" s="41"/>
      <c r="J136" s="41"/>
      <c r="K136" s="133"/>
      <c r="L136" s="2301"/>
      <c r="M136" s="2301"/>
      <c r="O136" s="65" t="s">
        <v>1737</v>
      </c>
      <c r="P136" s="2671" t="s">
        <v>2992</v>
      </c>
      <c r="Q136" s="534"/>
    </row>
    <row r="137" spans="1:17" ht="12" customHeight="1">
      <c r="A137" s="46"/>
      <c r="B137" s="145" t="s">
        <v>1738</v>
      </c>
      <c r="C137" s="51" t="s">
        <v>1261</v>
      </c>
      <c r="E137" s="133"/>
      <c r="F137" s="133"/>
      <c r="G137" s="133"/>
      <c r="H137" s="41"/>
      <c r="I137" s="41"/>
      <c r="J137" s="41"/>
      <c r="K137" s="133"/>
      <c r="L137" s="2301"/>
      <c r="M137" s="2301"/>
      <c r="O137" s="65" t="s">
        <v>1738</v>
      </c>
      <c r="P137" s="2672" t="s">
        <v>2992</v>
      </c>
      <c r="Q137" s="535"/>
    </row>
    <row r="138" spans="1:17" ht="12" customHeight="1">
      <c r="A138" s="46"/>
      <c r="B138" s="145"/>
      <c r="C138" s="51" t="s">
        <v>2632</v>
      </c>
      <c r="E138" s="463" t="s">
        <v>2435</v>
      </c>
      <c r="F138" s="51" t="s">
        <v>2633</v>
      </c>
      <c r="G138" s="41"/>
      <c r="H138" s="51"/>
      <c r="I138" s="41"/>
      <c r="J138" s="41"/>
      <c r="K138" s="133"/>
      <c r="L138" s="2301"/>
      <c r="M138" s="2301"/>
      <c r="O138" s="463" t="s">
        <v>2435</v>
      </c>
      <c r="P138" s="2682"/>
      <c r="Q138" s="858"/>
    </row>
    <row r="139" spans="1:17" ht="12" customHeight="1">
      <c r="A139" s="46"/>
      <c r="B139" s="145"/>
      <c r="E139" s="463" t="s">
        <v>2436</v>
      </c>
      <c r="F139" s="51" t="s">
        <v>2634</v>
      </c>
      <c r="G139" s="41"/>
      <c r="H139" s="51"/>
      <c r="I139" s="41"/>
      <c r="J139" s="41"/>
      <c r="K139" s="133"/>
      <c r="L139" s="2301"/>
      <c r="M139" s="2301"/>
      <c r="O139" s="463" t="s">
        <v>2436</v>
      </c>
      <c r="P139" s="2672"/>
      <c r="Q139" s="535"/>
    </row>
    <row r="140" spans="1:17" ht="12" customHeight="1">
      <c r="A140" s="46"/>
      <c r="B140" s="145"/>
      <c r="E140" s="463" t="s">
        <v>2437</v>
      </c>
      <c r="F140" s="51" t="s">
        <v>2635</v>
      </c>
      <c r="G140" s="41"/>
      <c r="H140" s="51"/>
      <c r="I140" s="41"/>
      <c r="J140" s="41"/>
      <c r="K140" s="133"/>
      <c r="L140" s="2301"/>
      <c r="M140" s="2301"/>
      <c r="O140" s="463" t="s">
        <v>2437</v>
      </c>
      <c r="P140" s="2672"/>
      <c r="Q140" s="535"/>
    </row>
    <row r="141" spans="1:17" ht="12" customHeight="1">
      <c r="A141" s="46"/>
      <c r="B141" s="145" t="s">
        <v>1739</v>
      </c>
      <c r="C141" s="51" t="s">
        <v>1262</v>
      </c>
      <c r="E141" s="133"/>
      <c r="F141" s="133"/>
      <c r="G141" s="133"/>
      <c r="H141" s="51"/>
      <c r="I141" s="41"/>
      <c r="J141" s="41"/>
      <c r="K141" s="133"/>
      <c r="L141" s="2301"/>
      <c r="M141" s="2301"/>
      <c r="O141" s="65" t="s">
        <v>1739</v>
      </c>
      <c r="P141" s="2672" t="s">
        <v>2992</v>
      </c>
      <c r="Q141" s="535"/>
    </row>
    <row r="142" spans="1:17" ht="12" customHeight="1">
      <c r="A142" s="46"/>
      <c r="B142" s="65"/>
      <c r="C142" s="51" t="s">
        <v>2632</v>
      </c>
      <c r="E142" s="463" t="s">
        <v>2435</v>
      </c>
      <c r="F142" s="51" t="s">
        <v>2636</v>
      </c>
      <c r="G142" s="41"/>
      <c r="H142" s="51"/>
      <c r="I142" s="41"/>
      <c r="J142" s="41"/>
      <c r="K142" s="133"/>
      <c r="L142" s="2301"/>
      <c r="O142" s="463" t="s">
        <v>2435</v>
      </c>
      <c r="P142" s="2682"/>
      <c r="Q142" s="858"/>
    </row>
    <row r="143" spans="1:17" ht="12" customHeight="1">
      <c r="A143" s="46"/>
      <c r="B143" s="65"/>
      <c r="E143" s="463" t="s">
        <v>2436</v>
      </c>
      <c r="F143" s="51" t="s">
        <v>2637</v>
      </c>
      <c r="G143" s="41"/>
      <c r="H143" s="51"/>
      <c r="I143" s="41"/>
      <c r="J143" s="41"/>
      <c r="O143" s="463" t="s">
        <v>2436</v>
      </c>
      <c r="P143" s="2672"/>
      <c r="Q143" s="535"/>
    </row>
    <row r="144" spans="1:17" ht="12" customHeight="1">
      <c r="A144" s="46"/>
      <c r="B144" s="65"/>
      <c r="E144" s="463" t="s">
        <v>2437</v>
      </c>
      <c r="F144" s="51" t="s">
        <v>2635</v>
      </c>
      <c r="G144" s="41"/>
      <c r="H144" s="51"/>
      <c r="I144" s="41"/>
      <c r="J144" s="41"/>
      <c r="O144" s="463" t="s">
        <v>2437</v>
      </c>
      <c r="P144" s="2673"/>
      <c r="Q144" s="536"/>
    </row>
    <row r="145" spans="1:32" ht="12" customHeight="1">
      <c r="A145" s="46" t="s">
        <v>1735</v>
      </c>
      <c r="B145" s="145" t="s">
        <v>2414</v>
      </c>
      <c r="D145" s="133"/>
      <c r="E145" s="133"/>
      <c r="F145" s="133"/>
      <c r="G145" s="133"/>
      <c r="H145" s="133"/>
      <c r="I145" s="41"/>
      <c r="J145" s="41"/>
      <c r="K145" s="133"/>
      <c r="L145" s="2301"/>
      <c r="M145" s="2301"/>
      <c r="N145" s="2301"/>
      <c r="O145" s="2301"/>
      <c r="P145" s="2301"/>
      <c r="Q145" s="2301"/>
    </row>
    <row r="146" spans="1:32" ht="12" customHeight="1">
      <c r="B146" s="145" t="s">
        <v>1737</v>
      </c>
      <c r="C146" s="51" t="s">
        <v>2495</v>
      </c>
      <c r="E146" s="133"/>
      <c r="F146" s="2671" t="s">
        <v>2992</v>
      </c>
      <c r="G146" s="534"/>
      <c r="H146" s="463" t="s">
        <v>4977</v>
      </c>
      <c r="I146" s="54" t="s">
        <v>2640</v>
      </c>
      <c r="L146" s="2671" t="s">
        <v>2992</v>
      </c>
      <c r="M146" s="534"/>
      <c r="N146" s="463" t="s">
        <v>4981</v>
      </c>
      <c r="O146" s="51" t="s">
        <v>1552</v>
      </c>
      <c r="P146" s="2671" t="s">
        <v>2992</v>
      </c>
      <c r="Q146" s="534"/>
    </row>
    <row r="147" spans="1:32" ht="12" customHeight="1">
      <c r="A147" s="35"/>
      <c r="B147" s="145" t="s">
        <v>1738</v>
      </c>
      <c r="C147" s="51" t="s">
        <v>2803</v>
      </c>
      <c r="E147" s="133"/>
      <c r="F147" s="2672" t="s">
        <v>2992</v>
      </c>
      <c r="G147" s="535"/>
      <c r="H147" s="463" t="s">
        <v>4978</v>
      </c>
      <c r="I147" s="54" t="s">
        <v>2641</v>
      </c>
      <c r="L147" s="2672" t="s">
        <v>2992</v>
      </c>
      <c r="M147" s="535"/>
      <c r="N147" s="463" t="s">
        <v>4982</v>
      </c>
      <c r="O147" s="51" t="s">
        <v>1551</v>
      </c>
      <c r="P147" s="2672" t="s">
        <v>2992</v>
      </c>
      <c r="Q147" s="535"/>
    </row>
    <row r="148" spans="1:32" ht="12" customHeight="1">
      <c r="A148" s="35"/>
      <c r="B148" s="145" t="s">
        <v>1739</v>
      </c>
      <c r="C148" s="51" t="s">
        <v>2639</v>
      </c>
      <c r="E148" s="133"/>
      <c r="F148" s="2672" t="s">
        <v>2992</v>
      </c>
      <c r="G148" s="535"/>
      <c r="H148" s="463" t="s">
        <v>4979</v>
      </c>
      <c r="I148" s="54" t="s">
        <v>3841</v>
      </c>
      <c r="L148" s="2672" t="s">
        <v>2992</v>
      </c>
      <c r="M148" s="535"/>
      <c r="N148" s="463" t="s">
        <v>4983</v>
      </c>
      <c r="O148" s="51" t="s">
        <v>1553</v>
      </c>
      <c r="P148" s="2673" t="s">
        <v>2992</v>
      </c>
      <c r="Q148" s="536"/>
    </row>
    <row r="149" spans="1:32" ht="12" customHeight="1">
      <c r="A149" s="35"/>
      <c r="B149" s="145" t="s">
        <v>2365</v>
      </c>
      <c r="C149" s="51" t="s">
        <v>2806</v>
      </c>
      <c r="E149" s="133"/>
      <c r="F149" s="2673" t="s">
        <v>2992</v>
      </c>
      <c r="G149" s="536"/>
      <c r="H149" s="463" t="s">
        <v>4980</v>
      </c>
      <c r="I149" s="51" t="s">
        <v>2802</v>
      </c>
      <c r="L149" s="2673" t="s">
        <v>2992</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692" t="s">
        <v>970</v>
      </c>
      <c r="D151" s="3692"/>
      <c r="E151" s="3692"/>
      <c r="F151" s="3692"/>
      <c r="G151" s="3692"/>
      <c r="H151" s="3692"/>
      <c r="I151" s="3692"/>
      <c r="J151" s="3692"/>
      <c r="K151" s="3692"/>
      <c r="L151" s="3692"/>
      <c r="M151" s="3692"/>
      <c r="N151" s="3692"/>
      <c r="O151" s="3692"/>
      <c r="P151" s="3692"/>
      <c r="Q151" s="3692"/>
    </row>
    <row r="152" spans="1:32" ht="12" customHeight="1">
      <c r="A152" s="46" t="s">
        <v>1736</v>
      </c>
      <c r="B152" s="51" t="s">
        <v>3570</v>
      </c>
      <c r="D152" s="133"/>
      <c r="E152" s="133"/>
      <c r="F152" s="133"/>
      <c r="G152" s="133"/>
      <c r="H152" s="133"/>
      <c r="I152" s="41"/>
      <c r="J152" s="41"/>
      <c r="K152" s="133"/>
      <c r="L152" s="133"/>
      <c r="M152" s="2301"/>
    </row>
    <row r="153" spans="1:32" ht="12" customHeight="1">
      <c r="A153" s="41"/>
      <c r="B153" s="145" t="s">
        <v>1737</v>
      </c>
      <c r="C153" s="51" t="s">
        <v>2807</v>
      </c>
      <c r="E153" s="133"/>
      <c r="F153" s="133"/>
      <c r="G153" s="133"/>
      <c r="H153" s="133"/>
      <c r="O153" s="65" t="s">
        <v>1737</v>
      </c>
      <c r="P153" s="2671"/>
      <c r="Q153" s="534"/>
    </row>
    <row r="154" spans="1:32" ht="12" customHeight="1">
      <c r="A154" s="2305"/>
      <c r="B154" s="145" t="s">
        <v>1738</v>
      </c>
      <c r="C154" s="51" t="s">
        <v>490</v>
      </c>
      <c r="E154" s="51"/>
      <c r="F154" s="51"/>
      <c r="G154" s="51"/>
      <c r="H154" s="51"/>
      <c r="I154" s="41"/>
      <c r="J154" s="41"/>
      <c r="K154" s="51"/>
      <c r="L154" s="51"/>
      <c r="M154" s="51"/>
      <c r="O154" s="65" t="s">
        <v>1738</v>
      </c>
      <c r="P154" s="2672"/>
      <c r="Q154" s="535"/>
    </row>
    <row r="155" spans="1:32" ht="12" customHeight="1">
      <c r="A155" s="2305"/>
      <c r="B155" s="145" t="s">
        <v>1739</v>
      </c>
      <c r="C155" s="51" t="s">
        <v>681</v>
      </c>
      <c r="E155" s="51"/>
      <c r="F155" s="51"/>
      <c r="G155" s="51"/>
      <c r="H155" s="51"/>
      <c r="I155" s="41"/>
      <c r="J155" s="41"/>
      <c r="K155" s="51"/>
      <c r="L155" s="51"/>
      <c r="M155" s="51"/>
      <c r="O155" s="65" t="s">
        <v>1739</v>
      </c>
      <c r="P155" s="2672"/>
      <c r="Q155" s="535"/>
    </row>
    <row r="156" spans="1:32" ht="12" customHeight="1">
      <c r="A156" s="2305"/>
      <c r="B156" s="39" t="s">
        <v>2365</v>
      </c>
      <c r="C156" s="51" t="s">
        <v>4959</v>
      </c>
      <c r="E156" s="51"/>
      <c r="F156" s="51"/>
      <c r="G156" s="51"/>
      <c r="H156" s="51"/>
      <c r="I156" s="41"/>
      <c r="J156" s="41"/>
      <c r="K156" s="51"/>
      <c r="L156" s="51"/>
      <c r="M156" s="51"/>
      <c r="O156" s="65" t="s">
        <v>1739</v>
      </c>
      <c r="P156" s="2673"/>
      <c r="Q156" s="536"/>
    </row>
    <row r="157" spans="1:32" ht="12" customHeight="1">
      <c r="A157" s="410" t="s">
        <v>3462</v>
      </c>
      <c r="C157" s="51"/>
      <c r="D157" s="133"/>
      <c r="E157" s="133"/>
      <c r="F157" s="133"/>
      <c r="G157" s="133"/>
      <c r="H157" s="133"/>
      <c r="I157" s="41"/>
      <c r="J157" s="41"/>
      <c r="K157" s="133"/>
      <c r="L157" s="133"/>
      <c r="M157" s="2301"/>
      <c r="N157" s="2301"/>
      <c r="O157" s="2301"/>
      <c r="P157" s="2301"/>
      <c r="Q157" s="2301"/>
      <c r="R157" s="2301"/>
    </row>
    <row r="158" spans="1:32" s="1" customFormat="1" ht="23.7" customHeight="1">
      <c r="A158" s="46" t="s">
        <v>1947</v>
      </c>
      <c r="B158" s="3485" t="s">
        <v>148</v>
      </c>
      <c r="C158" s="3485"/>
      <c r="D158" s="3485"/>
      <c r="E158" s="3485"/>
      <c r="F158" s="3485"/>
      <c r="G158" s="3485"/>
      <c r="H158" s="3485"/>
      <c r="I158" s="3485"/>
      <c r="J158" s="3485"/>
      <c r="K158" s="3485"/>
      <c r="L158" s="3485"/>
      <c r="M158" s="463" t="s">
        <v>1947</v>
      </c>
      <c r="N158" s="3698" t="s">
        <v>1771</v>
      </c>
      <c r="O158" s="3699"/>
      <c r="P158" s="3700" t="s">
        <v>1771</v>
      </c>
      <c r="Q158" s="3701"/>
      <c r="AE158" s="4"/>
      <c r="AF158" s="4"/>
    </row>
    <row r="159" spans="1:32" ht="11.25" customHeight="1">
      <c r="B159" s="140" t="s">
        <v>3749</v>
      </c>
      <c r="D159" s="140"/>
      <c r="E159" s="140"/>
      <c r="F159" s="140"/>
      <c r="G159" s="140"/>
      <c r="H159" s="39"/>
      <c r="I159" s="2305"/>
      <c r="J159" s="2305"/>
      <c r="K159" s="2305"/>
      <c r="L159" s="2293"/>
      <c r="M159" s="2293"/>
      <c r="N159" s="2293"/>
      <c r="O159" s="2293"/>
      <c r="P159" s="2293"/>
      <c r="Q159" s="896"/>
    </row>
    <row r="160" spans="1:32" ht="11.7" customHeight="1">
      <c r="A160" s="3530" t="s">
        <v>5255</v>
      </c>
      <c r="B160" s="3531"/>
      <c r="C160" s="3531"/>
      <c r="D160" s="3531"/>
      <c r="E160" s="3531"/>
      <c r="F160" s="3531"/>
      <c r="G160" s="3531"/>
      <c r="H160" s="3531"/>
      <c r="I160" s="3531"/>
      <c r="J160" s="3531"/>
      <c r="K160" s="3531"/>
      <c r="L160" s="3531"/>
      <c r="M160" s="3531"/>
      <c r="N160" s="3531"/>
      <c r="O160" s="3531"/>
      <c r="P160" s="3531"/>
      <c r="Q160" s="3532"/>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6"/>
      <c r="E162" s="2296"/>
      <c r="F162" s="2296"/>
      <c r="G162" s="2296"/>
      <c r="H162" s="2296"/>
      <c r="I162" s="2296"/>
      <c r="J162" s="2296"/>
      <c r="K162" s="2296"/>
      <c r="L162" s="2296"/>
      <c r="M162" s="2296"/>
      <c r="N162" s="2296"/>
      <c r="O162" s="2296"/>
      <c r="P162" s="2296"/>
      <c r="Q162" s="2296"/>
    </row>
    <row r="163" spans="1:32" ht="11.7" customHeight="1">
      <c r="A163" s="3486"/>
      <c r="B163" s="3487"/>
      <c r="C163" s="3487"/>
      <c r="D163" s="3487"/>
      <c r="E163" s="3487"/>
      <c r="F163" s="3487"/>
      <c r="G163" s="3487"/>
      <c r="H163" s="3487"/>
      <c r="I163" s="3487"/>
      <c r="J163" s="3487"/>
      <c r="K163" s="3487"/>
      <c r="L163" s="3487"/>
      <c r="M163" s="3487"/>
      <c r="N163" s="3487"/>
      <c r="O163" s="3487"/>
      <c r="P163" s="3487"/>
      <c r="Q163" s="3488"/>
    </row>
    <row r="164" spans="1:32" ht="3" customHeight="1">
      <c r="A164" s="2293"/>
      <c r="B164" s="2305"/>
      <c r="C164" s="2296"/>
      <c r="D164" s="2296"/>
      <c r="E164" s="2296"/>
      <c r="F164" s="2296"/>
      <c r="G164" s="2296"/>
      <c r="H164" s="2296"/>
      <c r="I164" s="2296"/>
      <c r="J164" s="2296"/>
      <c r="K164" s="2296"/>
      <c r="L164" s="2296"/>
      <c r="M164" s="2296"/>
      <c r="N164" s="2296"/>
      <c r="O164" s="2296"/>
      <c r="P164" s="2296"/>
      <c r="Q164" s="2293"/>
    </row>
    <row r="165" spans="1:32" ht="13.95" customHeight="1">
      <c r="A165" s="2290" t="s">
        <v>292</v>
      </c>
      <c r="B165" s="2290" t="s">
        <v>2656</v>
      </c>
      <c r="C165" s="2290"/>
      <c r="D165" s="2296"/>
      <c r="E165" s="2296"/>
      <c r="F165" s="2296"/>
      <c r="G165" s="2296"/>
      <c r="H165" s="2296"/>
      <c r="I165" s="2296"/>
      <c r="J165" s="2296"/>
      <c r="K165" s="2296"/>
      <c r="O165" s="131" t="s">
        <v>1867</v>
      </c>
      <c r="P165" s="3489"/>
      <c r="Q165" s="3490"/>
    </row>
    <row r="166" spans="1:32" ht="12" customHeight="1">
      <c r="A166" s="46" t="s">
        <v>1983</v>
      </c>
      <c r="B166" s="51" t="s">
        <v>4742</v>
      </c>
      <c r="D166" s="51"/>
      <c r="E166" s="51"/>
      <c r="F166" s="51"/>
      <c r="G166" s="51"/>
      <c r="H166" s="51" t="s">
        <v>2707</v>
      </c>
      <c r="K166" s="3679" t="s">
        <v>5226</v>
      </c>
      <c r="L166" s="3680"/>
      <c r="N166" s="51"/>
      <c r="O166" s="463" t="s">
        <v>1983</v>
      </c>
      <c r="P166" s="2670" t="s">
        <v>2989</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681" t="s">
        <v>5227</v>
      </c>
      <c r="O167" s="3682"/>
      <c r="P167" s="3683" t="s">
        <v>1771</v>
      </c>
      <c r="Q167" s="3684"/>
    </row>
    <row r="168" spans="1:32" ht="12" customHeight="1">
      <c r="A168" s="46" t="s">
        <v>749</v>
      </c>
      <c r="B168" s="139" t="s">
        <v>682</v>
      </c>
      <c r="D168" s="139"/>
      <c r="E168" s="139"/>
      <c r="F168" s="139"/>
      <c r="G168" s="139"/>
      <c r="H168" s="139"/>
      <c r="J168" s="463" t="s">
        <v>749</v>
      </c>
      <c r="K168" s="3516" t="s">
        <v>5228</v>
      </c>
      <c r="L168" s="3517"/>
      <c r="M168" s="3517"/>
      <c r="N168" s="3517"/>
      <c r="O168" s="3517"/>
      <c r="P168" s="3518"/>
      <c r="Q168" s="532"/>
    </row>
    <row r="169" spans="1:32" ht="12" customHeight="1">
      <c r="B169" s="140" t="s">
        <v>3749</v>
      </c>
      <c r="D169" s="140"/>
      <c r="E169" s="140"/>
      <c r="F169" s="140"/>
      <c r="G169" s="140"/>
      <c r="H169" s="39"/>
      <c r="I169" s="2305"/>
      <c r="J169" s="2305"/>
      <c r="K169" s="2305"/>
      <c r="L169" s="2293"/>
      <c r="M169" s="2293"/>
      <c r="N169" s="2293"/>
      <c r="O169" s="2293"/>
      <c r="P169" s="2293"/>
      <c r="Q169" s="896"/>
    </row>
    <row r="170" spans="1:32" ht="11.7" customHeight="1">
      <c r="A170" s="3530" t="s">
        <v>5256</v>
      </c>
      <c r="B170" s="3531"/>
      <c r="C170" s="3531"/>
      <c r="D170" s="3531"/>
      <c r="E170" s="3531"/>
      <c r="F170" s="3531"/>
      <c r="G170" s="3531"/>
      <c r="H170" s="3531"/>
      <c r="I170" s="3531"/>
      <c r="J170" s="3531"/>
      <c r="K170" s="3531"/>
      <c r="L170" s="3531"/>
      <c r="M170" s="3531"/>
      <c r="N170" s="3531"/>
      <c r="O170" s="3531"/>
      <c r="P170" s="3531"/>
      <c r="Q170" s="3532"/>
      <c r="U170" s="135"/>
      <c r="V170" s="135"/>
      <c r="W170" s="135"/>
      <c r="X170" s="135"/>
      <c r="Y170" s="135"/>
      <c r="Z170" s="135"/>
      <c r="AA170" s="135"/>
      <c r="AB170" s="135"/>
      <c r="AC170" s="135"/>
      <c r="AD170" s="135"/>
      <c r="AE170" s="465"/>
    </row>
    <row r="171" spans="1:32" ht="12" customHeight="1">
      <c r="B171" s="136" t="s">
        <v>1866</v>
      </c>
      <c r="C171" s="137"/>
      <c r="D171" s="2296"/>
      <c r="E171" s="2296"/>
      <c r="F171" s="2296"/>
      <c r="G171" s="2296"/>
      <c r="H171" s="2296"/>
      <c r="I171" s="2296"/>
      <c r="J171" s="2296"/>
      <c r="K171" s="2296"/>
      <c r="L171" s="2296"/>
      <c r="M171" s="2296"/>
      <c r="N171" s="2296"/>
      <c r="O171" s="2296"/>
      <c r="P171" s="2296"/>
      <c r="Q171" s="2296"/>
    </row>
    <row r="172" spans="1:32" ht="11.7" customHeight="1">
      <c r="A172" s="3486"/>
      <c r="B172" s="3487"/>
      <c r="C172" s="3487"/>
      <c r="D172" s="3487"/>
      <c r="E172" s="3487"/>
      <c r="F172" s="3487"/>
      <c r="G172" s="3487"/>
      <c r="H172" s="3487"/>
      <c r="I172" s="3487"/>
      <c r="J172" s="3487"/>
      <c r="K172" s="3487"/>
      <c r="L172" s="3487"/>
      <c r="M172" s="3487"/>
      <c r="N172" s="3487"/>
      <c r="O172" s="3487"/>
      <c r="P172" s="3487"/>
      <c r="Q172" s="3488"/>
    </row>
    <row r="173" spans="1:32" ht="3" customHeight="1">
      <c r="A173" s="2293"/>
      <c r="B173" s="2305"/>
      <c r="C173" s="2296"/>
      <c r="D173" s="2296"/>
      <c r="E173" s="2296"/>
      <c r="F173" s="2296"/>
      <c r="G173" s="2296"/>
      <c r="H173" s="2296"/>
      <c r="I173" s="2296"/>
      <c r="J173" s="2296"/>
      <c r="K173" s="2296"/>
      <c r="L173" s="2296"/>
      <c r="M173" s="2296"/>
      <c r="Q173" s="2293"/>
    </row>
    <row r="174" spans="1:32" ht="13.95" customHeight="1">
      <c r="A174" s="2290" t="s">
        <v>426</v>
      </c>
      <c r="B174" s="2290" t="s">
        <v>2657</v>
      </c>
      <c r="C174" s="2290"/>
      <c r="D174" s="2296"/>
      <c r="E174" s="2296"/>
      <c r="F174" s="2296"/>
      <c r="G174" s="2296"/>
      <c r="H174" s="2296"/>
      <c r="I174" s="2296"/>
      <c r="J174" s="2296"/>
      <c r="K174" s="2296"/>
      <c r="L174" s="2296"/>
      <c r="M174" s="2296"/>
      <c r="O174" s="131" t="s">
        <v>1867</v>
      </c>
      <c r="P174" s="3489"/>
      <c r="Q174" s="3490"/>
    </row>
    <row r="175" spans="1:32" ht="21.75" customHeight="1">
      <c r="A175" s="141" t="s">
        <v>1983</v>
      </c>
      <c r="B175" s="3485" t="s">
        <v>3740</v>
      </c>
      <c r="C175" s="3485"/>
      <c r="D175" s="3485"/>
      <c r="E175" s="3485"/>
      <c r="F175" s="3485"/>
      <c r="G175" s="3485"/>
      <c r="H175" s="3485"/>
      <c r="I175" s="3485"/>
      <c r="J175" s="3485"/>
      <c r="K175" s="3485"/>
      <c r="L175" s="3485"/>
      <c r="M175" s="3485"/>
      <c r="N175" s="3485"/>
      <c r="O175" s="160" t="s">
        <v>1983</v>
      </c>
      <c r="P175" s="2683" t="s">
        <v>2989</v>
      </c>
      <c r="Q175" s="1149"/>
    </row>
    <row r="176" spans="1:32" ht="22.2" customHeight="1">
      <c r="A176" s="141" t="s">
        <v>1985</v>
      </c>
      <c r="B176" s="3485" t="s">
        <v>4758</v>
      </c>
      <c r="C176" s="3485"/>
      <c r="D176" s="3485"/>
      <c r="E176" s="3485"/>
      <c r="F176" s="3485"/>
      <c r="G176" s="3485"/>
      <c r="H176" s="3485"/>
      <c r="I176" s="3485"/>
      <c r="J176" s="3485"/>
      <c r="K176" s="3485"/>
      <c r="L176" s="3485"/>
      <c r="M176" s="3485"/>
      <c r="N176" s="3485"/>
      <c r="O176" s="160" t="s">
        <v>1985</v>
      </c>
      <c r="P176" s="2681" t="s">
        <v>5171</v>
      </c>
      <c r="Q176" s="2299"/>
    </row>
    <row r="177" spans="1:32" ht="22.2" customHeight="1">
      <c r="A177" s="141" t="s">
        <v>749</v>
      </c>
      <c r="B177" s="3485" t="s">
        <v>3741</v>
      </c>
      <c r="C177" s="3485"/>
      <c r="D177" s="3485"/>
      <c r="E177" s="3485"/>
      <c r="F177" s="3485"/>
      <c r="G177" s="3485"/>
      <c r="H177" s="3485"/>
      <c r="I177" s="3485"/>
      <c r="J177" s="3485"/>
      <c r="K177" s="3485"/>
      <c r="L177" s="3485"/>
      <c r="M177" s="3485"/>
      <c r="N177" s="3485"/>
      <c r="O177" s="160" t="s">
        <v>749</v>
      </c>
      <c r="P177" s="2681" t="s">
        <v>5171</v>
      </c>
      <c r="Q177" s="2299"/>
    </row>
    <row r="178" spans="1:32" ht="21.75" customHeight="1">
      <c r="A178" s="141" t="s">
        <v>2115</v>
      </c>
      <c r="B178" s="3485" t="s">
        <v>4903</v>
      </c>
      <c r="C178" s="3485"/>
      <c r="D178" s="3485"/>
      <c r="E178" s="3485"/>
      <c r="F178" s="3485"/>
      <c r="G178" s="3485"/>
      <c r="H178" s="3485"/>
      <c r="I178" s="3485"/>
      <c r="J178" s="3485"/>
      <c r="K178" s="3485"/>
      <c r="L178" s="3485"/>
      <c r="M178" s="3485"/>
      <c r="N178" s="3485"/>
      <c r="O178" s="160" t="s">
        <v>2115</v>
      </c>
      <c r="P178" s="2684" t="s">
        <v>5171</v>
      </c>
      <c r="Q178" s="2308"/>
    </row>
    <row r="179" spans="1:32" ht="12" customHeight="1">
      <c r="B179" s="140" t="s">
        <v>3749</v>
      </c>
      <c r="D179" s="140"/>
      <c r="E179" s="140"/>
      <c r="F179" s="140"/>
      <c r="G179" s="140"/>
      <c r="H179" s="39"/>
      <c r="I179" s="2305"/>
      <c r="J179" s="2305"/>
      <c r="K179" s="2305"/>
      <c r="L179" s="2293"/>
      <c r="M179" s="2293"/>
      <c r="N179" s="2293"/>
      <c r="O179" s="2293"/>
      <c r="P179" s="2293"/>
      <c r="Q179" s="896"/>
    </row>
    <row r="180" spans="1:32" ht="11.7" customHeight="1">
      <c r="A180" s="3530" t="s">
        <v>5290</v>
      </c>
      <c r="B180" s="3531"/>
      <c r="C180" s="3531"/>
      <c r="D180" s="3531"/>
      <c r="E180" s="3531"/>
      <c r="F180" s="3531"/>
      <c r="G180" s="3531"/>
      <c r="H180" s="3531"/>
      <c r="I180" s="3531"/>
      <c r="J180" s="3531"/>
      <c r="K180" s="3531"/>
      <c r="L180" s="3531"/>
      <c r="M180" s="3531"/>
      <c r="N180" s="3531"/>
      <c r="O180" s="3531"/>
      <c r="P180" s="3531"/>
      <c r="Q180" s="3532"/>
      <c r="U180" s="135"/>
      <c r="V180" s="135"/>
      <c r="W180" s="135"/>
      <c r="X180" s="135"/>
      <c r="Y180" s="135"/>
      <c r="Z180" s="135"/>
      <c r="AA180" s="135"/>
      <c r="AB180" s="135"/>
      <c r="AC180" s="135"/>
      <c r="AD180" s="135"/>
      <c r="AE180" s="465"/>
    </row>
    <row r="181" spans="1:32" ht="12" customHeight="1">
      <c r="B181" s="136" t="s">
        <v>1866</v>
      </c>
      <c r="C181" s="137"/>
      <c r="D181" s="2296"/>
      <c r="E181" s="2296"/>
      <c r="F181" s="2296"/>
      <c r="G181" s="2296"/>
      <c r="H181" s="2296"/>
      <c r="I181" s="2296"/>
      <c r="J181" s="2296"/>
      <c r="K181" s="2296"/>
      <c r="L181" s="2296"/>
      <c r="M181" s="2296"/>
      <c r="N181" s="2296"/>
      <c r="O181" s="2296"/>
      <c r="P181" s="2296"/>
      <c r="Q181" s="2296"/>
    </row>
    <row r="182" spans="1:32" ht="11.7" customHeight="1">
      <c r="A182" s="3486"/>
      <c r="B182" s="3487"/>
      <c r="C182" s="3487"/>
      <c r="D182" s="3487"/>
      <c r="E182" s="3487"/>
      <c r="F182" s="3487"/>
      <c r="G182" s="3487"/>
      <c r="H182" s="3487"/>
      <c r="I182" s="3487"/>
      <c r="J182" s="3487"/>
      <c r="K182" s="3487"/>
      <c r="L182" s="3487"/>
      <c r="M182" s="3487"/>
      <c r="N182" s="3487"/>
      <c r="O182" s="3487"/>
      <c r="P182" s="3487"/>
      <c r="Q182" s="3488"/>
    </row>
    <row r="183" spans="1:32" ht="3" customHeight="1">
      <c r="B183" s="2305"/>
      <c r="C183" s="2296"/>
      <c r="D183" s="2296"/>
      <c r="E183" s="2296"/>
      <c r="F183" s="2296"/>
      <c r="G183" s="2296"/>
      <c r="H183" s="2296"/>
      <c r="I183" s="2296"/>
      <c r="J183" s="2296"/>
      <c r="K183" s="2296"/>
      <c r="L183" s="2296"/>
      <c r="M183" s="2296"/>
      <c r="N183" s="2296"/>
      <c r="O183" s="2296"/>
      <c r="P183" s="2296"/>
      <c r="Q183" s="2293"/>
    </row>
    <row r="184" spans="1:32" ht="13.95" customHeight="1">
      <c r="A184" s="2276" t="s">
        <v>362</v>
      </c>
      <c r="B184" s="3403" t="s">
        <v>2658</v>
      </c>
      <c r="C184" s="3403"/>
      <c r="D184" s="3403"/>
      <c r="O184" s="131" t="s">
        <v>1867</v>
      </c>
      <c r="P184" s="3489"/>
      <c r="Q184" s="3490"/>
    </row>
    <row r="185" spans="1:32" ht="12" customHeight="1">
      <c r="A185" s="141" t="s">
        <v>1983</v>
      </c>
      <c r="B185" s="879" t="s">
        <v>468</v>
      </c>
      <c r="D185" s="879"/>
      <c r="E185" s="879"/>
      <c r="F185" s="879"/>
      <c r="G185" s="879"/>
      <c r="H185" s="879"/>
      <c r="I185" s="879"/>
      <c r="J185" s="879"/>
      <c r="K185" s="879"/>
      <c r="L185" s="879"/>
      <c r="M185" s="879"/>
      <c r="O185" s="160" t="s">
        <v>1983</v>
      </c>
      <c r="P185" s="2671" t="s">
        <v>2989</v>
      </c>
      <c r="Q185" s="534"/>
    </row>
    <row r="186" spans="1:32" ht="12" customHeight="1">
      <c r="A186" s="141" t="s">
        <v>1985</v>
      </c>
      <c r="B186" s="879" t="s">
        <v>2643</v>
      </c>
      <c r="D186" s="879"/>
      <c r="E186" s="879"/>
      <c r="F186" s="879"/>
      <c r="G186" s="879"/>
      <c r="H186" s="879"/>
      <c r="I186" s="879"/>
      <c r="J186" s="879"/>
      <c r="K186" s="879"/>
      <c r="L186" s="879"/>
      <c r="M186" s="879"/>
      <c r="O186" s="160" t="s">
        <v>1985</v>
      </c>
      <c r="P186" s="2672" t="s">
        <v>2989</v>
      </c>
      <c r="Q186" s="535"/>
    </row>
    <row r="187" spans="1:32" ht="12" customHeight="1">
      <c r="A187" s="141" t="s">
        <v>749</v>
      </c>
      <c r="B187" s="879" t="s">
        <v>2644</v>
      </c>
      <c r="D187" s="879"/>
      <c r="E187" s="879"/>
      <c r="F187" s="879"/>
      <c r="G187" s="879"/>
      <c r="H187" s="879"/>
      <c r="I187" s="879"/>
      <c r="J187" s="139" t="s">
        <v>4920</v>
      </c>
      <c r="L187" s="879"/>
      <c r="M187" s="879"/>
      <c r="O187" s="160" t="s">
        <v>749</v>
      </c>
      <c r="P187" s="2672" t="s">
        <v>2989</v>
      </c>
      <c r="Q187" s="535"/>
    </row>
    <row r="188" spans="1:32" ht="12" customHeight="1">
      <c r="B188" s="39" t="s">
        <v>1737</v>
      </c>
      <c r="C188" s="897" t="s">
        <v>2645</v>
      </c>
      <c r="G188" s="879"/>
      <c r="H188" s="879"/>
      <c r="J188" s="879"/>
      <c r="K188" s="879"/>
      <c r="L188" s="879"/>
      <c r="M188" s="879"/>
      <c r="O188" s="443" t="s">
        <v>1737</v>
      </c>
      <c r="P188" s="2672" t="s">
        <v>2989</v>
      </c>
      <c r="Q188" s="535"/>
    </row>
    <row r="189" spans="1:32" ht="12" customHeight="1">
      <c r="A189" s="139"/>
      <c r="B189" s="39" t="s">
        <v>1738</v>
      </c>
      <c r="C189" s="897" t="s">
        <v>2646</v>
      </c>
      <c r="G189" s="879"/>
      <c r="H189" s="879"/>
      <c r="I189" s="879"/>
      <c r="J189" s="879"/>
      <c r="K189" s="879"/>
      <c r="L189" s="879"/>
      <c r="M189" s="879"/>
      <c r="O189" s="443" t="s">
        <v>1738</v>
      </c>
      <c r="P189" s="2672" t="s">
        <v>2989</v>
      </c>
      <c r="Q189" s="535"/>
    </row>
    <row r="190" spans="1:32" s="132" customFormat="1" ht="21.75" customHeight="1">
      <c r="A190" s="141"/>
      <c r="B190" s="477" t="s">
        <v>1739</v>
      </c>
      <c r="C190" s="3485" t="s">
        <v>3742</v>
      </c>
      <c r="D190" s="3485"/>
      <c r="E190" s="3485"/>
      <c r="F190" s="3485"/>
      <c r="G190" s="3485"/>
      <c r="H190" s="3485"/>
      <c r="I190" s="3485"/>
      <c r="J190" s="3485"/>
      <c r="K190" s="3485"/>
      <c r="L190" s="3485"/>
      <c r="M190" s="3485"/>
      <c r="N190" s="3485"/>
      <c r="O190" s="160" t="s">
        <v>1739</v>
      </c>
      <c r="P190" s="2681" t="s">
        <v>2989</v>
      </c>
      <c r="Q190" s="2299"/>
      <c r="AE190" s="466"/>
      <c r="AF190" s="466"/>
    </row>
    <row r="191" spans="1:32" ht="12" customHeight="1">
      <c r="A191" s="141"/>
      <c r="B191" s="39" t="s">
        <v>2365</v>
      </c>
      <c r="C191" s="897" t="s">
        <v>2647</v>
      </c>
      <c r="G191" s="879"/>
      <c r="H191" s="879"/>
      <c r="I191" s="879"/>
      <c r="J191" s="879"/>
      <c r="K191" s="879"/>
      <c r="L191" s="879"/>
      <c r="M191" s="879"/>
      <c r="O191" s="443" t="s">
        <v>2365</v>
      </c>
      <c r="P191" s="2672" t="s">
        <v>2989</v>
      </c>
      <c r="Q191" s="535"/>
    </row>
    <row r="192" spans="1:32" s="132" customFormat="1" ht="21.75" customHeight="1">
      <c r="A192" s="141"/>
      <c r="B192" s="477" t="s">
        <v>1549</v>
      </c>
      <c r="C192" s="3485" t="s">
        <v>2648</v>
      </c>
      <c r="D192" s="3485"/>
      <c r="E192" s="3485"/>
      <c r="F192" s="3485"/>
      <c r="G192" s="3485"/>
      <c r="H192" s="3485"/>
      <c r="I192" s="3485"/>
      <c r="J192" s="3485"/>
      <c r="K192" s="3485"/>
      <c r="L192" s="3485"/>
      <c r="M192" s="3485"/>
      <c r="N192" s="3485"/>
      <c r="O192" s="160" t="s">
        <v>1549</v>
      </c>
      <c r="P192" s="2681" t="s">
        <v>5171</v>
      </c>
      <c r="Q192" s="2299"/>
      <c r="AE192" s="466"/>
      <c r="AF192" s="466"/>
    </row>
    <row r="193" spans="1:32" s="132" customFormat="1" ht="21.75" customHeight="1">
      <c r="A193" s="141"/>
      <c r="B193" s="477" t="s">
        <v>1550</v>
      </c>
      <c r="C193" s="3485" t="s">
        <v>3891</v>
      </c>
      <c r="D193" s="3485"/>
      <c r="E193" s="3485"/>
      <c r="F193" s="3485"/>
      <c r="G193" s="3485"/>
      <c r="H193" s="3485"/>
      <c r="I193" s="3485"/>
      <c r="J193" s="3485"/>
      <c r="K193" s="3485"/>
      <c r="L193" s="3485"/>
      <c r="M193" s="3485"/>
      <c r="N193" s="3485"/>
      <c r="O193" s="160" t="s">
        <v>1550</v>
      </c>
      <c r="P193" s="2681" t="s">
        <v>5171</v>
      </c>
      <c r="Q193" s="2299"/>
      <c r="AE193" s="466"/>
      <c r="AF193" s="466"/>
    </row>
    <row r="194" spans="1:32" ht="21.75" customHeight="1">
      <c r="A194" s="141" t="s">
        <v>2115</v>
      </c>
      <c r="B194" s="3485" t="s">
        <v>2649</v>
      </c>
      <c r="C194" s="3485"/>
      <c r="D194" s="3485"/>
      <c r="E194" s="3485"/>
      <c r="F194" s="3485"/>
      <c r="G194" s="3485"/>
      <c r="H194" s="3485"/>
      <c r="I194" s="3485"/>
      <c r="J194" s="3485"/>
      <c r="K194" s="3485"/>
      <c r="L194" s="3485"/>
      <c r="M194" s="3485"/>
      <c r="N194" s="3485"/>
      <c r="O194" s="160" t="s">
        <v>2115</v>
      </c>
      <c r="P194" s="2681" t="s">
        <v>2989</v>
      </c>
      <c r="Q194" s="2299"/>
    </row>
    <row r="195" spans="1:32" ht="12" customHeight="1">
      <c r="A195" s="141" t="s">
        <v>1735</v>
      </c>
      <c r="B195" s="879" t="s">
        <v>2379</v>
      </c>
      <c r="D195" s="879"/>
      <c r="E195" s="879"/>
      <c r="F195" s="879"/>
      <c r="G195" s="879"/>
      <c r="H195" s="879"/>
      <c r="I195" s="879"/>
      <c r="J195" s="879"/>
      <c r="K195" s="879"/>
      <c r="L195" s="879"/>
      <c r="M195" s="879"/>
      <c r="O195" s="160" t="s">
        <v>1735</v>
      </c>
      <c r="P195" s="2673" t="s">
        <v>2989</v>
      </c>
      <c r="Q195" s="536"/>
    </row>
    <row r="196" spans="1:32" ht="12" customHeight="1">
      <c r="B196" s="140" t="s">
        <v>3749</v>
      </c>
      <c r="D196" s="140"/>
      <c r="E196" s="140"/>
      <c r="F196" s="140"/>
      <c r="G196" s="140"/>
      <c r="H196" s="39"/>
      <c r="I196" s="2305"/>
      <c r="J196" s="2305"/>
      <c r="K196" s="2305"/>
      <c r="L196" s="2293"/>
      <c r="M196" s="2293"/>
      <c r="N196" s="2293"/>
      <c r="O196" s="2293"/>
      <c r="P196" s="2293"/>
      <c r="Q196" s="896"/>
    </row>
    <row r="197" spans="1:32" ht="11.7" customHeight="1">
      <c r="A197" s="3530" t="s">
        <v>5257</v>
      </c>
      <c r="B197" s="3531"/>
      <c r="C197" s="3531"/>
      <c r="D197" s="3531"/>
      <c r="E197" s="3531"/>
      <c r="F197" s="3531"/>
      <c r="G197" s="3531"/>
      <c r="H197" s="3531"/>
      <c r="I197" s="3531"/>
      <c r="J197" s="3531"/>
      <c r="K197" s="3531"/>
      <c r="L197" s="3531"/>
      <c r="M197" s="3531"/>
      <c r="N197" s="3531"/>
      <c r="O197" s="3531"/>
      <c r="P197" s="3531"/>
      <c r="Q197" s="3532"/>
      <c r="U197" s="135"/>
      <c r="V197" s="135"/>
      <c r="W197" s="135"/>
      <c r="X197" s="135"/>
      <c r="Y197" s="135"/>
      <c r="Z197" s="135"/>
      <c r="AA197" s="135"/>
      <c r="AB197" s="135"/>
      <c r="AC197" s="135"/>
      <c r="AD197" s="135"/>
      <c r="AE197" s="465"/>
    </row>
    <row r="198" spans="1:32" ht="12" customHeight="1">
      <c r="B198" s="136" t="s">
        <v>1866</v>
      </c>
      <c r="C198" s="137"/>
      <c r="D198" s="2296"/>
      <c r="E198" s="2296"/>
      <c r="F198" s="2296"/>
      <c r="G198" s="2296"/>
      <c r="H198" s="2296"/>
      <c r="I198" s="2296"/>
      <c r="J198" s="2296"/>
      <c r="K198" s="2296"/>
      <c r="L198" s="2296"/>
      <c r="M198" s="2296"/>
      <c r="N198" s="2296"/>
      <c r="O198" s="2296"/>
      <c r="P198" s="2296"/>
      <c r="Q198" s="2296"/>
    </row>
    <row r="199" spans="1:32" ht="11.7" customHeight="1">
      <c r="A199" s="3486"/>
      <c r="B199" s="3487"/>
      <c r="C199" s="3487"/>
      <c r="D199" s="3487"/>
      <c r="E199" s="3487"/>
      <c r="F199" s="3487"/>
      <c r="G199" s="3487"/>
      <c r="H199" s="3487"/>
      <c r="I199" s="3487"/>
      <c r="J199" s="3487"/>
      <c r="K199" s="3487"/>
      <c r="L199" s="3487"/>
      <c r="M199" s="3487"/>
      <c r="N199" s="3487"/>
      <c r="O199" s="3487"/>
      <c r="P199" s="3487"/>
      <c r="Q199" s="3488"/>
    </row>
    <row r="200" spans="1:32" ht="3" customHeight="1">
      <c r="A200" s="2293"/>
      <c r="B200" s="2305"/>
      <c r="C200" s="2296"/>
      <c r="D200" s="2296"/>
      <c r="E200" s="2296"/>
      <c r="F200" s="2296"/>
      <c r="G200" s="2296"/>
      <c r="H200" s="2296"/>
      <c r="I200" s="2296"/>
      <c r="J200" s="2296"/>
      <c r="K200" s="2296"/>
      <c r="L200" s="2296"/>
      <c r="M200" s="2296"/>
      <c r="N200" s="2296"/>
      <c r="O200" s="2296"/>
      <c r="P200" s="2296"/>
      <c r="Q200" s="2293"/>
    </row>
    <row r="201" spans="1:32" ht="13.95" customHeight="1">
      <c r="A201" s="2290" t="s">
        <v>363</v>
      </c>
      <c r="B201" s="2290" t="s">
        <v>2659</v>
      </c>
      <c r="C201" s="2290"/>
      <c r="D201" s="2296"/>
      <c r="E201" s="146"/>
      <c r="F201" s="146"/>
      <c r="G201" s="2296"/>
      <c r="J201" s="898"/>
      <c r="K201" s="898"/>
      <c r="L201" s="898"/>
      <c r="M201" s="898"/>
      <c r="N201" s="898"/>
      <c r="O201" s="131" t="s">
        <v>1867</v>
      </c>
      <c r="P201" s="3489"/>
      <c r="Q201" s="3490"/>
    </row>
    <row r="202" spans="1:32" ht="22.5" customHeight="1">
      <c r="A202" s="3696" t="s">
        <v>5075</v>
      </c>
      <c r="B202" s="3696"/>
      <c r="C202" s="3696"/>
      <c r="D202" s="3696"/>
      <c r="E202" s="3696"/>
      <c r="F202" s="3696"/>
      <c r="G202" s="3696"/>
      <c r="H202" s="3696"/>
      <c r="I202" s="3696"/>
      <c r="J202" s="3696"/>
      <c r="K202" s="3696"/>
      <c r="L202" s="3696"/>
      <c r="M202" s="3696"/>
      <c r="N202" s="3696"/>
      <c r="O202" s="3696"/>
      <c r="P202" s="3696"/>
      <c r="Q202" s="3696"/>
    </row>
    <row r="203" spans="1:32" ht="11.25" customHeight="1">
      <c r="A203" s="138"/>
      <c r="B203" s="139" t="s">
        <v>97</v>
      </c>
      <c r="D203" s="139"/>
      <c r="E203" s="139"/>
      <c r="F203" s="139"/>
      <c r="G203" s="139"/>
      <c r="H203" s="65" t="s">
        <v>1737</v>
      </c>
      <c r="I203" s="51" t="s">
        <v>152</v>
      </c>
      <c r="J203" s="3533"/>
      <c r="K203" s="3534"/>
      <c r="L203" s="3534"/>
      <c r="M203" s="3534"/>
      <c r="N203" s="3535"/>
      <c r="O203" s="65" t="s">
        <v>1737</v>
      </c>
      <c r="P203" s="2671"/>
      <c r="Q203" s="534"/>
    </row>
    <row r="204" spans="1:32" ht="11.25" customHeight="1">
      <c r="A204" s="138"/>
      <c r="B204" s="140" t="s">
        <v>3749</v>
      </c>
      <c r="C204" s="104"/>
      <c r="D204" s="104"/>
      <c r="E204" s="104"/>
      <c r="F204" s="104"/>
      <c r="H204" s="65" t="s">
        <v>1738</v>
      </c>
      <c r="I204" s="51" t="s">
        <v>1596</v>
      </c>
      <c r="J204" s="3509" t="s">
        <v>5172</v>
      </c>
      <c r="K204" s="3536"/>
      <c r="L204" s="3536"/>
      <c r="M204" s="3536"/>
      <c r="N204" s="3510"/>
      <c r="O204" s="65" t="s">
        <v>1738</v>
      </c>
      <c r="P204" s="2673" t="s">
        <v>2989</v>
      </c>
      <c r="Q204" s="536"/>
    </row>
    <row r="205" spans="1:32" ht="11.7" customHeight="1">
      <c r="A205" s="3530" t="s">
        <v>5250</v>
      </c>
      <c r="B205" s="3531"/>
      <c r="C205" s="3531"/>
      <c r="D205" s="3531"/>
      <c r="E205" s="3531"/>
      <c r="F205" s="3531"/>
      <c r="G205" s="3531"/>
      <c r="H205" s="3531"/>
      <c r="I205" s="3531"/>
      <c r="J205" s="3531"/>
      <c r="K205" s="3531"/>
      <c r="L205" s="3531"/>
      <c r="M205" s="3531"/>
      <c r="N205" s="3531"/>
      <c r="O205" s="3531"/>
      <c r="P205" s="3531"/>
      <c r="Q205" s="3532"/>
      <c r="U205" s="135"/>
      <c r="V205" s="135"/>
      <c r="W205" s="135"/>
      <c r="X205" s="135"/>
      <c r="Y205" s="135"/>
      <c r="Z205" s="135"/>
      <c r="AA205" s="135"/>
      <c r="AB205" s="135"/>
      <c r="AC205" s="135"/>
      <c r="AD205" s="135"/>
      <c r="AE205" s="465"/>
    </row>
    <row r="206" spans="1:32" ht="11.25" customHeight="1">
      <c r="B206" s="136" t="s">
        <v>1866</v>
      </c>
      <c r="C206" s="137"/>
      <c r="D206" s="2296"/>
      <c r="E206" s="2296"/>
      <c r="F206" s="2296"/>
      <c r="G206" s="2296"/>
      <c r="H206" s="2296"/>
      <c r="I206" s="2296"/>
      <c r="J206" s="2296"/>
      <c r="K206" s="2296"/>
      <c r="L206" s="2296"/>
      <c r="M206" s="2296"/>
      <c r="N206" s="2296"/>
      <c r="O206" s="2296"/>
      <c r="P206" s="2296"/>
      <c r="Q206" s="2296"/>
    </row>
    <row r="207" spans="1:32" ht="11.7" customHeight="1">
      <c r="A207" s="3486"/>
      <c r="B207" s="3487"/>
      <c r="C207" s="3487"/>
      <c r="D207" s="3487"/>
      <c r="E207" s="3487"/>
      <c r="F207" s="3487"/>
      <c r="G207" s="3487"/>
      <c r="H207" s="3487"/>
      <c r="I207" s="3487"/>
      <c r="J207" s="3487"/>
      <c r="K207" s="3487"/>
      <c r="L207" s="3487"/>
      <c r="M207" s="3487"/>
      <c r="N207" s="3487"/>
      <c r="O207" s="3487"/>
      <c r="P207" s="3487"/>
      <c r="Q207" s="3488"/>
    </row>
    <row r="208" spans="1:32" ht="4.2" customHeight="1">
      <c r="B208" s="2305"/>
      <c r="C208" s="2296"/>
      <c r="D208" s="2296"/>
      <c r="E208" s="2296"/>
      <c r="F208" s="2296"/>
      <c r="G208" s="2296"/>
      <c r="H208" s="2296"/>
      <c r="I208" s="2296"/>
      <c r="J208" s="2296"/>
      <c r="K208" s="2296"/>
      <c r="L208" s="2296"/>
      <c r="M208" s="2296"/>
      <c r="Q208" s="896"/>
    </row>
    <row r="209" spans="1:32" ht="13.95" customHeight="1">
      <c r="A209" s="2290" t="s">
        <v>364</v>
      </c>
      <c r="B209" s="3" t="s">
        <v>2660</v>
      </c>
      <c r="C209" s="3"/>
      <c r="D209" s="86"/>
      <c r="E209" s="86"/>
      <c r="F209" s="86"/>
      <c r="G209" s="2296"/>
      <c r="H209" s="2296"/>
      <c r="I209" s="2296"/>
      <c r="J209" s="2296"/>
      <c r="K209" s="2296"/>
      <c r="L209" s="2296"/>
      <c r="M209" s="2296"/>
      <c r="O209" s="131" t="s">
        <v>1867</v>
      </c>
      <c r="P209" s="3489"/>
      <c r="Q209" s="3490"/>
    </row>
    <row r="210" spans="1:32" ht="11.7" customHeight="1">
      <c r="A210" s="141" t="s">
        <v>1983</v>
      </c>
      <c r="B210" s="3485" t="s">
        <v>1849</v>
      </c>
      <c r="C210" s="3485"/>
      <c r="D210" s="3485"/>
      <c r="E210" s="3485"/>
      <c r="F210" s="3485"/>
      <c r="G210" s="3485"/>
      <c r="H210" s="65" t="s">
        <v>1737</v>
      </c>
      <c r="I210" s="51" t="s">
        <v>635</v>
      </c>
      <c r="J210" s="3533" t="s">
        <v>5225</v>
      </c>
      <c r="K210" s="3534"/>
      <c r="L210" s="3534"/>
      <c r="M210" s="3534"/>
      <c r="N210" s="3535"/>
      <c r="O210" s="160" t="s">
        <v>1486</v>
      </c>
      <c r="P210" s="2685" t="s">
        <v>2989</v>
      </c>
      <c r="Q210" s="2249"/>
    </row>
    <row r="211" spans="1:32" ht="11.7" customHeight="1">
      <c r="A211" s="149"/>
      <c r="B211" s="3485"/>
      <c r="C211" s="3485"/>
      <c r="D211" s="3485"/>
      <c r="E211" s="3485"/>
      <c r="F211" s="3485"/>
      <c r="G211" s="3485"/>
      <c r="H211" s="65" t="s">
        <v>1738</v>
      </c>
      <c r="I211" s="51" t="s">
        <v>116</v>
      </c>
      <c r="J211" s="3509" t="s">
        <v>5225</v>
      </c>
      <c r="K211" s="3536"/>
      <c r="L211" s="3536"/>
      <c r="M211" s="3536"/>
      <c r="N211" s="3510"/>
      <c r="O211" s="160" t="s">
        <v>1738</v>
      </c>
      <c r="P211" s="2672" t="s">
        <v>2989</v>
      </c>
      <c r="Q211" s="535"/>
    </row>
    <row r="212" spans="1:32" ht="12" customHeight="1">
      <c r="A212" s="141" t="s">
        <v>1985</v>
      </c>
      <c r="B212" s="51" t="s">
        <v>3897</v>
      </c>
      <c r="D212" s="51"/>
      <c r="E212" s="51"/>
      <c r="F212" s="51"/>
      <c r="G212" s="51"/>
      <c r="H212" s="51"/>
      <c r="I212" s="51"/>
      <c r="J212" s="51"/>
      <c r="K212" s="41"/>
      <c r="L212" s="51"/>
      <c r="M212" s="51"/>
      <c r="O212" s="463" t="s">
        <v>1985</v>
      </c>
      <c r="P212" s="2672" t="s">
        <v>2992</v>
      </c>
      <c r="Q212" s="535"/>
    </row>
    <row r="213" spans="1:32" ht="12" customHeight="1">
      <c r="A213" s="46" t="s">
        <v>749</v>
      </c>
      <c r="B213" s="51" t="s">
        <v>3898</v>
      </c>
      <c r="D213" s="51"/>
      <c r="E213" s="51"/>
      <c r="F213" s="51"/>
      <c r="G213" s="51"/>
      <c r="H213" s="51"/>
      <c r="I213" s="51"/>
      <c r="J213" s="51"/>
      <c r="K213" s="41"/>
      <c r="L213" s="51"/>
      <c r="M213" s="51"/>
      <c r="O213" s="463" t="s">
        <v>749</v>
      </c>
      <c r="P213" s="2673" t="s">
        <v>2992</v>
      </c>
      <c r="Q213" s="536"/>
    </row>
    <row r="214" spans="1:32" ht="11.25" customHeight="1">
      <c r="B214" s="140" t="s">
        <v>3749</v>
      </c>
      <c r="D214" s="140"/>
      <c r="E214" s="140"/>
      <c r="F214" s="140"/>
      <c r="G214" s="140"/>
      <c r="H214" s="39"/>
      <c r="I214" s="2305"/>
      <c r="J214" s="2305"/>
      <c r="K214" s="2305"/>
      <c r="L214" s="2293"/>
      <c r="M214" s="2293"/>
      <c r="N214" s="2293"/>
      <c r="O214" s="2293"/>
      <c r="P214" s="2293"/>
      <c r="Q214" s="896"/>
    </row>
    <row r="215" spans="1:32" ht="11.7" customHeight="1">
      <c r="A215" s="3530" t="s">
        <v>5259</v>
      </c>
      <c r="B215" s="3531"/>
      <c r="C215" s="3531"/>
      <c r="D215" s="3531"/>
      <c r="E215" s="3531"/>
      <c r="F215" s="3531"/>
      <c r="G215" s="3531"/>
      <c r="H215" s="3531"/>
      <c r="I215" s="3531"/>
      <c r="J215" s="3531"/>
      <c r="K215" s="3531"/>
      <c r="L215" s="3531"/>
      <c r="M215" s="3531"/>
      <c r="N215" s="3531"/>
      <c r="O215" s="3531"/>
      <c r="P215" s="3531"/>
      <c r="Q215" s="3532"/>
      <c r="U215" s="135"/>
      <c r="V215" s="135"/>
      <c r="W215" s="135"/>
      <c r="X215" s="135"/>
      <c r="Y215" s="135"/>
      <c r="Z215" s="135"/>
      <c r="AA215" s="135"/>
      <c r="AB215" s="135"/>
      <c r="AC215" s="135"/>
      <c r="AD215" s="135"/>
      <c r="AE215" s="465"/>
    </row>
    <row r="216" spans="1:32" ht="11.25" customHeight="1">
      <c r="B216" s="136" t="s">
        <v>1866</v>
      </c>
      <c r="C216" s="137"/>
      <c r="D216" s="2296"/>
      <c r="E216" s="2296"/>
      <c r="F216" s="2296"/>
      <c r="G216" s="2296"/>
      <c r="H216" s="2296"/>
      <c r="I216" s="2296"/>
      <c r="J216" s="2296"/>
      <c r="K216" s="2296"/>
      <c r="L216" s="2296"/>
      <c r="M216" s="2296"/>
      <c r="N216" s="2296"/>
      <c r="O216" s="2296"/>
      <c r="P216" s="2296"/>
      <c r="Q216" s="2296"/>
    </row>
    <row r="217" spans="1:32" ht="11.7" customHeight="1">
      <c r="A217" s="3486"/>
      <c r="B217" s="3487"/>
      <c r="C217" s="3487"/>
      <c r="D217" s="3487"/>
      <c r="E217" s="3487"/>
      <c r="F217" s="3487"/>
      <c r="G217" s="3487"/>
      <c r="H217" s="3487"/>
      <c r="I217" s="3487"/>
      <c r="J217" s="3487"/>
      <c r="K217" s="3487"/>
      <c r="L217" s="3487"/>
      <c r="M217" s="3487"/>
      <c r="N217" s="3487"/>
      <c r="O217" s="3487"/>
      <c r="P217" s="3487"/>
      <c r="Q217" s="3488"/>
    </row>
    <row r="218" spans="1:32" ht="3" customHeight="1">
      <c r="A218" s="2293"/>
      <c r="B218" s="2305"/>
      <c r="C218" s="2296"/>
      <c r="D218" s="2296"/>
      <c r="E218" s="2296"/>
      <c r="F218" s="2296"/>
      <c r="G218" s="2296"/>
      <c r="H218" s="2296"/>
      <c r="I218" s="2296"/>
      <c r="J218" s="2296"/>
      <c r="K218" s="2296"/>
      <c r="L218" s="2296"/>
      <c r="M218" s="2296"/>
      <c r="Q218" s="2293"/>
    </row>
    <row r="219" spans="1:32" ht="13.95" customHeight="1">
      <c r="A219" s="2290" t="s">
        <v>1726</v>
      </c>
      <c r="B219" s="2290" t="s">
        <v>2661</v>
      </c>
      <c r="C219" s="113"/>
      <c r="D219" s="2296"/>
      <c r="E219" s="2296"/>
      <c r="F219" s="2296"/>
      <c r="G219" s="2296"/>
      <c r="H219" s="2296"/>
      <c r="I219" s="2296"/>
      <c r="J219" s="2296"/>
      <c r="K219" s="2296"/>
      <c r="L219" s="2296"/>
      <c r="M219" s="2296"/>
      <c r="O219" s="131" t="s">
        <v>1867</v>
      </c>
      <c r="P219" s="3489"/>
      <c r="Q219" s="3490"/>
    </row>
    <row r="220" spans="1:32" s="26" customFormat="1" ht="11.7" customHeight="1">
      <c r="B220" s="144" t="s">
        <v>1192</v>
      </c>
      <c r="N220" s="120"/>
      <c r="P220" s="2670" t="s">
        <v>2992</v>
      </c>
      <c r="Q220" s="532"/>
      <c r="AE220" s="116"/>
      <c r="AF220" s="116"/>
    </row>
    <row r="221" spans="1:32" ht="12" customHeight="1">
      <c r="A221" s="46" t="s">
        <v>1983</v>
      </c>
      <c r="B221" s="35" t="s">
        <v>3701</v>
      </c>
      <c r="D221" s="41"/>
      <c r="E221" s="41"/>
      <c r="F221" s="41"/>
      <c r="G221" s="41"/>
      <c r="H221" s="41"/>
      <c r="I221" s="41"/>
      <c r="J221" s="41"/>
      <c r="K221" s="41"/>
      <c r="L221" s="41"/>
      <c r="M221" s="41"/>
      <c r="O221" s="463" t="s">
        <v>1983</v>
      </c>
      <c r="P221" s="2670" t="s">
        <v>5164</v>
      </c>
      <c r="Q221" s="534"/>
    </row>
    <row r="222" spans="1:32" ht="11.7" customHeight="1">
      <c r="A222" s="46"/>
      <c r="B222" s="145" t="s">
        <v>1737</v>
      </c>
      <c r="C222" s="51" t="s">
        <v>1931</v>
      </c>
      <c r="E222" s="51"/>
      <c r="F222" s="51"/>
      <c r="G222" s="51"/>
      <c r="H222" s="51"/>
      <c r="I222" s="41"/>
      <c r="J222" s="65" t="s">
        <v>1486</v>
      </c>
      <c r="K222" s="3533" t="s">
        <v>532</v>
      </c>
      <c r="L222" s="3535"/>
      <c r="Q222" s="535"/>
    </row>
    <row r="223" spans="1:32" ht="11.7" customHeight="1">
      <c r="A223" s="46"/>
      <c r="B223" s="145" t="s">
        <v>1738</v>
      </c>
      <c r="C223" s="897" t="s">
        <v>4743</v>
      </c>
      <c r="E223" s="897"/>
      <c r="F223" s="897"/>
      <c r="G223" s="897"/>
      <c r="H223" s="897"/>
      <c r="I223" s="41"/>
      <c r="J223" s="65" t="s">
        <v>1487</v>
      </c>
      <c r="K223" s="3591" t="s">
        <v>5173</v>
      </c>
      <c r="L223" s="3592"/>
      <c r="M223" s="3588" t="s">
        <v>2724</v>
      </c>
      <c r="N223" s="3589"/>
      <c r="O223" s="3589"/>
      <c r="P223" s="3590"/>
      <c r="Q223" s="535"/>
    </row>
    <row r="224" spans="1:32" ht="11.7" customHeight="1">
      <c r="A224" s="46"/>
      <c r="B224" s="39" t="s">
        <v>1739</v>
      </c>
      <c r="C224" s="897" t="s">
        <v>4746</v>
      </c>
      <c r="D224" s="147"/>
      <c r="E224" s="897"/>
      <c r="F224" s="897"/>
      <c r="G224" s="897"/>
      <c r="H224" s="897"/>
      <c r="I224" s="94"/>
      <c r="J224" s="463" t="s">
        <v>1488</v>
      </c>
      <c r="K224" s="3593" t="s">
        <v>5174</v>
      </c>
      <c r="L224" s="3594"/>
      <c r="M224" s="3594"/>
      <c r="N224" s="3595"/>
      <c r="O224" s="2054"/>
      <c r="P224" s="1169"/>
      <c r="Q224" s="535"/>
      <c r="R224" s="41"/>
    </row>
    <row r="225" spans="1:32" ht="11.7" customHeight="1">
      <c r="A225" s="46"/>
      <c r="B225" s="39" t="s">
        <v>2365</v>
      </c>
      <c r="C225" s="897" t="s">
        <v>4745</v>
      </c>
      <c r="D225" s="147"/>
      <c r="E225" s="897"/>
      <c r="F225" s="897"/>
      <c r="G225" s="897"/>
      <c r="H225" s="897"/>
      <c r="I225" s="94"/>
      <c r="J225" s="463" t="s">
        <v>4744</v>
      </c>
      <c r="K225" s="3509" t="s">
        <v>5175</v>
      </c>
      <c r="L225" s="3536"/>
      <c r="M225" s="3536"/>
      <c r="N225" s="3510"/>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0" t="s">
        <v>5164</v>
      </c>
      <c r="Q226" s="532"/>
    </row>
    <row r="227" spans="1:32" ht="10.95" customHeight="1">
      <c r="A227" s="46"/>
      <c r="B227" s="51" t="s">
        <v>4972</v>
      </c>
      <c r="D227" s="51"/>
      <c r="E227" s="51"/>
      <c r="F227" s="51"/>
      <c r="G227" s="51"/>
      <c r="H227" s="51"/>
      <c r="I227" s="51"/>
      <c r="J227" s="51"/>
      <c r="K227" s="41"/>
      <c r="L227" s="41"/>
      <c r="M227" s="41"/>
      <c r="N227" s="463" t="s">
        <v>3603</v>
      </c>
      <c r="O227" s="2176">
        <f>'Part VI-Revenues &amp; Expenses'!$O$67</f>
        <v>72</v>
      </c>
      <c r="P227" s="3596" t="s">
        <v>4974</v>
      </c>
      <c r="Q227" s="3597"/>
    </row>
    <row r="228" spans="1:32" ht="10.95" customHeight="1">
      <c r="A228" s="46"/>
      <c r="B228" s="145" t="s">
        <v>1737</v>
      </c>
      <c r="C228" s="51" t="s">
        <v>4975</v>
      </c>
      <c r="D228" s="51"/>
      <c r="E228" s="51"/>
      <c r="F228" s="51"/>
      <c r="H228" s="463" t="s">
        <v>4976</v>
      </c>
      <c r="I228" s="51" t="s">
        <v>4985</v>
      </c>
      <c r="M228" s="41"/>
      <c r="N228" s="41"/>
      <c r="O228" s="293"/>
      <c r="P228" s="2160" t="s">
        <v>773</v>
      </c>
      <c r="Q228" s="2161" t="s">
        <v>4973</v>
      </c>
    </row>
    <row r="229" spans="1:32" s="42" customFormat="1" ht="11.7" customHeight="1">
      <c r="A229" s="50"/>
      <c r="B229" s="463" t="s">
        <v>2116</v>
      </c>
      <c r="C229" s="3598" t="s">
        <v>4968</v>
      </c>
      <c r="D229" s="3599"/>
      <c r="E229" s="3599"/>
      <c r="F229" s="3599"/>
      <c r="G229" s="3600"/>
      <c r="H229" s="463" t="s">
        <v>2116</v>
      </c>
      <c r="I229" s="3694" t="s">
        <v>4171</v>
      </c>
      <c r="J229" s="3011"/>
      <c r="K229" s="3011"/>
      <c r="L229" s="3011"/>
      <c r="M229" s="3011"/>
      <c r="N229" s="3011"/>
      <c r="O229" s="3695"/>
      <c r="P229" s="534"/>
      <c r="Q229" s="538"/>
      <c r="AE229" s="53"/>
      <c r="AF229" s="53"/>
    </row>
    <row r="230" spans="1:32" s="42" customFormat="1" ht="11.7" customHeight="1">
      <c r="A230" s="50"/>
      <c r="B230" s="463" t="s">
        <v>2117</v>
      </c>
      <c r="C230" s="3575" t="s">
        <v>1654</v>
      </c>
      <c r="D230" s="3576"/>
      <c r="E230" s="3576"/>
      <c r="F230" s="3576"/>
      <c r="G230" s="3577"/>
      <c r="H230" s="463" t="s">
        <v>2117</v>
      </c>
      <c r="I230" s="2950"/>
      <c r="J230" s="2951"/>
      <c r="K230" s="2951"/>
      <c r="L230" s="2951"/>
      <c r="M230" s="2951"/>
      <c r="N230" s="2951"/>
      <c r="O230" s="2953"/>
      <c r="P230" s="535"/>
      <c r="Q230" s="2139"/>
      <c r="AE230" s="53"/>
      <c r="AF230" s="53"/>
    </row>
    <row r="231" spans="1:32" s="42" customFormat="1" ht="11.7" customHeight="1">
      <c r="A231" s="50"/>
      <c r="B231" s="463" t="s">
        <v>1734</v>
      </c>
      <c r="C231" s="3575" t="s">
        <v>5069</v>
      </c>
      <c r="D231" s="3576"/>
      <c r="E231" s="3576"/>
      <c r="F231" s="3576"/>
      <c r="G231" s="3577"/>
      <c r="H231" s="463" t="s">
        <v>1734</v>
      </c>
      <c r="I231" s="2950" t="s">
        <v>4171</v>
      </c>
      <c r="J231" s="2951"/>
      <c r="K231" s="2951"/>
      <c r="L231" s="2951"/>
      <c r="M231" s="2951"/>
      <c r="N231" s="2951"/>
      <c r="O231" s="2953"/>
      <c r="P231" s="535"/>
      <c r="Q231" s="2139"/>
      <c r="AE231" s="53"/>
      <c r="AF231" s="53"/>
    </row>
    <row r="232" spans="1:32" s="42" customFormat="1" ht="11.7" customHeight="1">
      <c r="A232" s="50"/>
      <c r="B232" s="463" t="s">
        <v>4984</v>
      </c>
      <c r="C232" s="3583" t="s">
        <v>4970</v>
      </c>
      <c r="D232" s="3584"/>
      <c r="E232" s="3584"/>
      <c r="F232" s="3584"/>
      <c r="G232" s="3585"/>
      <c r="H232" s="463" t="s">
        <v>4984</v>
      </c>
      <c r="I232" s="2957"/>
      <c r="J232" s="2958"/>
      <c r="K232" s="2958"/>
      <c r="L232" s="2958"/>
      <c r="M232" s="2958"/>
      <c r="N232" s="2958"/>
      <c r="O232" s="2960"/>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1" t="s">
        <v>5164</v>
      </c>
      <c r="Q233" s="534"/>
    </row>
    <row r="234" spans="1:32" ht="11.7" customHeight="1">
      <c r="A234" s="46"/>
      <c r="B234" s="145" t="s">
        <v>1737</v>
      </c>
      <c r="C234" s="51" t="s">
        <v>3464</v>
      </c>
      <c r="E234" s="51"/>
      <c r="F234" s="51"/>
      <c r="L234" s="32"/>
      <c r="M234" s="32"/>
      <c r="O234" s="65" t="s">
        <v>1737</v>
      </c>
      <c r="P234" s="2672" t="s">
        <v>2989</v>
      </c>
      <c r="Q234" s="535"/>
    </row>
    <row r="235" spans="1:32" ht="11.7" customHeight="1">
      <c r="B235" s="145" t="s">
        <v>1738</v>
      </c>
      <c r="C235" s="897" t="s">
        <v>2808</v>
      </c>
      <c r="E235" s="897"/>
      <c r="F235" s="897"/>
      <c r="L235" s="32"/>
      <c r="M235" s="32"/>
      <c r="O235" s="65" t="s">
        <v>1738</v>
      </c>
      <c r="P235" s="2672" t="s">
        <v>2989</v>
      </c>
      <c r="Q235" s="535"/>
    </row>
    <row r="236" spans="1:32" ht="11.7" customHeight="1">
      <c r="B236" s="145" t="s">
        <v>1739</v>
      </c>
      <c r="C236" s="897" t="s">
        <v>2809</v>
      </c>
      <c r="E236" s="897"/>
      <c r="F236" s="897"/>
      <c r="G236" s="897"/>
      <c r="H236" s="897"/>
      <c r="I236" s="41"/>
      <c r="J236" s="32"/>
      <c r="K236" s="41"/>
      <c r="L236" s="32"/>
      <c r="M236" s="32"/>
      <c r="O236" s="65" t="s">
        <v>1739</v>
      </c>
      <c r="P236" s="2672" t="s">
        <v>2989</v>
      </c>
      <c r="Q236" s="535"/>
    </row>
    <row r="237" spans="1:32" ht="11.7" customHeight="1">
      <c r="A237" s="46"/>
      <c r="B237" s="145" t="s">
        <v>2365</v>
      </c>
      <c r="C237" s="897" t="s">
        <v>2810</v>
      </c>
      <c r="E237" s="897"/>
      <c r="F237" s="897"/>
      <c r="G237" s="897"/>
      <c r="H237" s="897"/>
      <c r="I237" s="41"/>
      <c r="J237" s="32"/>
      <c r="K237" s="41"/>
      <c r="L237" s="32"/>
      <c r="M237" s="32"/>
      <c r="O237" s="65" t="s">
        <v>2365</v>
      </c>
      <c r="P237" s="2672" t="s">
        <v>2989</v>
      </c>
      <c r="Q237" s="535"/>
    </row>
    <row r="238" spans="1:32" ht="11.7" customHeight="1">
      <c r="A238" s="46"/>
      <c r="B238" s="145" t="s">
        <v>1549</v>
      </c>
      <c r="C238" s="897" t="s">
        <v>2811</v>
      </c>
      <c r="E238" s="897"/>
      <c r="F238" s="897"/>
      <c r="G238" s="897"/>
      <c r="H238" s="897"/>
      <c r="I238" s="41"/>
      <c r="J238" s="32"/>
      <c r="K238" s="41"/>
      <c r="L238" s="32"/>
      <c r="M238" s="32"/>
      <c r="O238" s="65" t="s">
        <v>1549</v>
      </c>
      <c r="P238" s="2672" t="s">
        <v>2989</v>
      </c>
      <c r="Q238" s="535"/>
    </row>
    <row r="239" spans="1:32" ht="11.7" customHeight="1">
      <c r="A239" s="46"/>
      <c r="B239" s="39" t="s">
        <v>1550</v>
      </c>
      <c r="C239" s="51" t="s">
        <v>775</v>
      </c>
      <c r="E239" s="51"/>
      <c r="F239" s="51"/>
      <c r="G239" s="51"/>
      <c r="H239" s="51"/>
      <c r="I239" s="41"/>
      <c r="J239" s="32"/>
      <c r="K239" s="41"/>
      <c r="L239" s="32"/>
      <c r="M239" s="32"/>
      <c r="O239" s="463" t="s">
        <v>2799</v>
      </c>
      <c r="P239" s="2672" t="s">
        <v>2989</v>
      </c>
      <c r="Q239" s="535"/>
    </row>
    <row r="240" spans="1:32" ht="11.7" customHeight="1">
      <c r="A240" s="46"/>
      <c r="B240" s="65"/>
      <c r="C240" s="51" t="s">
        <v>1489</v>
      </c>
      <c r="E240" s="51"/>
      <c r="F240" s="51"/>
      <c r="G240" s="51"/>
      <c r="H240" s="51"/>
      <c r="I240" s="41"/>
      <c r="J240" s="32"/>
      <c r="K240" s="41"/>
      <c r="L240" s="32"/>
      <c r="M240" s="32"/>
      <c r="O240" s="463" t="s">
        <v>2800</v>
      </c>
      <c r="P240" s="2673"/>
      <c r="Q240" s="536"/>
    </row>
    <row r="241" spans="1:32" ht="11.25" customHeight="1">
      <c r="A241" s="46" t="s">
        <v>2115</v>
      </c>
      <c r="B241" s="51" t="s">
        <v>3660</v>
      </c>
      <c r="C241" s="51"/>
      <c r="E241" s="51"/>
      <c r="F241" s="51"/>
      <c r="G241" s="51"/>
      <c r="H241" s="51"/>
      <c r="I241" s="51"/>
      <c r="J241" s="51"/>
      <c r="K241" s="41"/>
      <c r="M241" s="64" t="s">
        <v>4828</v>
      </c>
      <c r="N241" s="2128" t="str">
        <f>'Part I-Project Information'!$H$82</f>
        <v>Family</v>
      </c>
      <c r="O241" s="463" t="s">
        <v>2115</v>
      </c>
      <c r="P241" s="2671" t="s">
        <v>970</v>
      </c>
      <c r="Q241" s="534"/>
    </row>
    <row r="242" spans="1:32" ht="11.7" customHeight="1">
      <c r="B242" s="65" t="s">
        <v>1737</v>
      </c>
      <c r="C242" s="38" t="s">
        <v>1255</v>
      </c>
      <c r="E242" s="41"/>
      <c r="F242" s="41"/>
      <c r="G242" s="38"/>
      <c r="H242" s="897"/>
      <c r="I242" s="41"/>
      <c r="J242" s="897"/>
      <c r="K242" s="41"/>
      <c r="L242" s="897"/>
      <c r="M242" s="897"/>
      <c r="O242" s="65" t="s">
        <v>1737</v>
      </c>
      <c r="P242" s="2672"/>
      <c r="Q242" s="535"/>
    </row>
    <row r="243" spans="1:32" ht="11.7" customHeight="1">
      <c r="B243" s="65" t="s">
        <v>1738</v>
      </c>
      <c r="C243" s="35" t="s">
        <v>4759</v>
      </c>
      <c r="E243" s="41"/>
      <c r="F243" s="41"/>
      <c r="G243" s="897"/>
      <c r="H243" s="897"/>
      <c r="I243" s="41"/>
      <c r="J243" s="897"/>
      <c r="K243" s="41"/>
      <c r="L243" s="897"/>
      <c r="M243" s="897"/>
      <c r="O243" s="65" t="s">
        <v>1738</v>
      </c>
      <c r="P243" s="2673"/>
      <c r="Q243" s="536"/>
    </row>
    <row r="244" spans="1:32" ht="11.25" customHeight="1">
      <c r="B244" s="140" t="s">
        <v>3749</v>
      </c>
      <c r="D244" s="140"/>
      <c r="E244" s="140"/>
      <c r="F244" s="140"/>
      <c r="G244" s="140"/>
      <c r="H244" s="39"/>
      <c r="I244" s="2305"/>
      <c r="J244" s="2305"/>
      <c r="K244" s="2305"/>
      <c r="L244" s="2293"/>
      <c r="M244" s="2293"/>
      <c r="N244" s="2293"/>
      <c r="O244" s="2293"/>
      <c r="P244" s="2293"/>
      <c r="Q244" s="896"/>
    </row>
    <row r="245" spans="1:32" ht="11.7" customHeight="1">
      <c r="A245" s="3530" t="s">
        <v>5258</v>
      </c>
      <c r="B245" s="3531"/>
      <c r="C245" s="3531"/>
      <c r="D245" s="3531"/>
      <c r="E245" s="3531"/>
      <c r="F245" s="3531"/>
      <c r="G245" s="3531"/>
      <c r="H245" s="3531"/>
      <c r="I245" s="3531"/>
      <c r="J245" s="3531"/>
      <c r="K245" s="3531"/>
      <c r="L245" s="3531"/>
      <c r="M245" s="3531"/>
      <c r="N245" s="3531"/>
      <c r="O245" s="3531"/>
      <c r="P245" s="3531"/>
      <c r="Q245" s="3532"/>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6"/>
      <c r="E246" s="2296"/>
      <c r="F246" s="2296"/>
      <c r="G246" s="2296"/>
      <c r="H246" s="2296"/>
      <c r="I246" s="2296"/>
      <c r="J246" s="2296"/>
      <c r="K246" s="2296"/>
      <c r="L246" s="2296"/>
      <c r="M246" s="2296"/>
      <c r="N246" s="2296"/>
      <c r="O246" s="2296"/>
      <c r="P246" s="2296"/>
      <c r="Q246" s="2296"/>
    </row>
    <row r="247" spans="1:32" ht="11.25" customHeight="1">
      <c r="A247" s="3486"/>
      <c r="B247" s="3487"/>
      <c r="C247" s="3487"/>
      <c r="D247" s="3487"/>
      <c r="E247" s="3487"/>
      <c r="F247" s="3487"/>
      <c r="G247" s="3487"/>
      <c r="H247" s="3487"/>
      <c r="I247" s="3487"/>
      <c r="J247" s="3487"/>
      <c r="K247" s="3487"/>
      <c r="L247" s="3487"/>
      <c r="M247" s="3487"/>
      <c r="N247" s="3487"/>
      <c r="O247" s="3487"/>
      <c r="P247" s="3487"/>
      <c r="Q247" s="3488"/>
    </row>
    <row r="248" spans="1:32" ht="3" customHeight="1">
      <c r="A248" s="2293"/>
      <c r="B248" s="2305"/>
      <c r="C248" s="2296"/>
      <c r="D248" s="2296"/>
      <c r="E248" s="2296"/>
      <c r="F248" s="2296"/>
      <c r="G248" s="2296"/>
      <c r="H248" s="2296"/>
      <c r="I248" s="2296"/>
      <c r="J248" s="2296"/>
      <c r="K248" s="2296"/>
      <c r="L248" s="2296"/>
      <c r="M248" s="2296"/>
      <c r="Q248" s="2293"/>
    </row>
    <row r="249" spans="1:32" ht="13.95" customHeight="1">
      <c r="A249" s="2290" t="s">
        <v>2782</v>
      </c>
      <c r="B249" s="3" t="s">
        <v>2662</v>
      </c>
      <c r="C249" s="3"/>
      <c r="D249" s="86"/>
      <c r="E249" s="86"/>
      <c r="F249" s="86"/>
      <c r="G249" s="86"/>
      <c r="H249" s="2296"/>
      <c r="I249" s="2296"/>
      <c r="J249" s="2296"/>
      <c r="K249" s="2296"/>
      <c r="L249" s="2232"/>
      <c r="M249" s="2233"/>
      <c r="O249" s="131" t="s">
        <v>1867</v>
      </c>
      <c r="P249" s="3489"/>
      <c r="Q249" s="3490"/>
    </row>
    <row r="250" spans="1:32" ht="11.7" customHeight="1">
      <c r="A250" s="46" t="s">
        <v>1983</v>
      </c>
      <c r="B250" s="51" t="s">
        <v>1268</v>
      </c>
      <c r="D250" s="41"/>
      <c r="E250" s="51"/>
      <c r="F250" s="51"/>
      <c r="J250" s="463" t="s">
        <v>1983</v>
      </c>
      <c r="K250" s="3516" t="s">
        <v>1771</v>
      </c>
      <c r="L250" s="3517"/>
      <c r="M250" s="3517"/>
      <c r="N250" s="3517"/>
      <c r="O250" s="3518"/>
      <c r="P250" s="3604" t="s">
        <v>1771</v>
      </c>
      <c r="Q250" s="3605"/>
    </row>
    <row r="251" spans="1:32" ht="11.7" customHeight="1">
      <c r="A251" s="46" t="s">
        <v>1985</v>
      </c>
      <c r="B251" s="51" t="s">
        <v>2812</v>
      </c>
      <c r="D251" s="51"/>
      <c r="E251" s="51"/>
      <c r="F251" s="51"/>
      <c r="J251" s="463" t="s">
        <v>1985</v>
      </c>
      <c r="K251" s="3601"/>
      <c r="L251" s="3602"/>
      <c r="M251" s="3602"/>
      <c r="N251" s="3602"/>
      <c r="O251" s="3603"/>
      <c r="P251" s="3566"/>
      <c r="Q251" s="3567"/>
    </row>
    <row r="252" spans="1:32" s="147" customFormat="1" ht="11.7" customHeight="1">
      <c r="A252" s="46"/>
      <c r="B252" s="51" t="s">
        <v>1945</v>
      </c>
      <c r="D252" s="51"/>
      <c r="E252" s="51"/>
      <c r="F252" s="51"/>
      <c r="K252" s="3509"/>
      <c r="L252" s="3536"/>
      <c r="M252" s="3536"/>
      <c r="N252" s="3536"/>
      <c r="O252" s="3510"/>
      <c r="P252" s="3568"/>
      <c r="Q252" s="3569"/>
      <c r="AE252" s="467"/>
      <c r="AF252" s="467"/>
    </row>
    <row r="253" spans="1:32" s="147" customFormat="1" ht="11.7" customHeight="1">
      <c r="A253" s="46"/>
      <c r="B253" s="51" t="s">
        <v>2543</v>
      </c>
      <c r="D253" s="51"/>
      <c r="E253" s="51"/>
      <c r="F253" s="51"/>
      <c r="G253" s="51"/>
      <c r="H253" s="51"/>
      <c r="I253" s="94"/>
      <c r="J253" s="94"/>
      <c r="M253" s="35"/>
      <c r="N253" s="1021"/>
      <c r="O253" s="463"/>
      <c r="P253" s="2672"/>
      <c r="Q253" s="535"/>
      <c r="AE253" s="467"/>
      <c r="AF253" s="467"/>
    </row>
    <row r="254" spans="1:32" s="147" customFormat="1" ht="11.7" customHeight="1">
      <c r="A254" s="46" t="s">
        <v>749</v>
      </c>
      <c r="B254" s="51" t="s">
        <v>4904</v>
      </c>
      <c r="D254" s="51"/>
      <c r="E254" s="51"/>
      <c r="F254" s="51"/>
      <c r="J254" s="463" t="s">
        <v>749</v>
      </c>
      <c r="K254" s="3570"/>
      <c r="L254" s="3571"/>
      <c r="M254" s="3571"/>
      <c r="N254" s="3571"/>
      <c r="O254" s="3572"/>
      <c r="P254" s="3573"/>
      <c r="Q254" s="3574"/>
      <c r="AE254" s="467"/>
      <c r="AF254" s="467"/>
    </row>
    <row r="255" spans="1:32" s="147" customFormat="1" ht="11.7" customHeight="1">
      <c r="A255" s="46"/>
      <c r="B255" s="51" t="s">
        <v>4765</v>
      </c>
      <c r="D255" s="51"/>
      <c r="E255" s="51"/>
      <c r="F255" s="51"/>
      <c r="AE255" s="467"/>
      <c r="AF255" s="467"/>
    </row>
    <row r="256" spans="1:32" s="147" customFormat="1" ht="11.7" customHeight="1">
      <c r="A256" s="46"/>
      <c r="C256" s="51" t="s">
        <v>4762</v>
      </c>
      <c r="D256" s="51"/>
      <c r="E256" s="51"/>
      <c r="F256" s="51"/>
      <c r="K256" s="463" t="s">
        <v>4761</v>
      </c>
      <c r="L256" s="2686"/>
      <c r="M256" s="35"/>
      <c r="N256" s="1021"/>
      <c r="O256" s="1021"/>
      <c r="P256" s="2671"/>
      <c r="Q256" s="534"/>
      <c r="AE256" s="467"/>
      <c r="AF256" s="467"/>
    </row>
    <row r="257" spans="1:32" s="147" customFormat="1" ht="11.7" customHeight="1">
      <c r="A257" s="46"/>
      <c r="B257" s="51"/>
      <c r="C257" s="54" t="s">
        <v>4763</v>
      </c>
      <c r="D257" s="51"/>
      <c r="E257" s="51"/>
      <c r="F257" s="51"/>
      <c r="K257" s="463" t="s">
        <v>4764</v>
      </c>
      <c r="L257" s="2687"/>
      <c r="M257" s="35"/>
      <c r="N257" s="1021"/>
      <c r="O257" s="1021"/>
      <c r="P257" s="2673"/>
      <c r="Q257" s="536"/>
      <c r="AE257" s="467"/>
      <c r="AF257" s="467"/>
    </row>
    <row r="258" spans="1:32" s="147" customFormat="1" ht="11.7" customHeight="1">
      <c r="A258" s="46"/>
      <c r="B258" s="51" t="s">
        <v>4760</v>
      </c>
      <c r="D258" s="51"/>
      <c r="E258" s="51"/>
      <c r="F258" s="51"/>
      <c r="K258" s="3516"/>
      <c r="L258" s="3517"/>
      <c r="M258" s="3517"/>
      <c r="N258" s="3517"/>
      <c r="O258" s="3518"/>
      <c r="P258" s="3586"/>
      <c r="Q258" s="3587"/>
      <c r="AE258" s="467"/>
      <c r="AF258" s="467"/>
    </row>
    <row r="259" spans="1:32" s="147" customFormat="1" ht="11.7" customHeight="1">
      <c r="A259" s="46" t="s">
        <v>2115</v>
      </c>
      <c r="B259" s="51" t="s">
        <v>3900</v>
      </c>
      <c r="D259" s="51"/>
      <c r="E259" s="51"/>
      <c r="F259" s="51"/>
      <c r="G259" s="51"/>
      <c r="H259" s="51"/>
      <c r="I259" s="94"/>
      <c r="J259" s="94"/>
      <c r="K259" s="94"/>
      <c r="M259" s="35"/>
      <c r="N259" s="1021"/>
      <c r="O259" s="463" t="s">
        <v>2115</v>
      </c>
      <c r="P259" s="2671"/>
      <c r="Q259" s="534"/>
      <c r="AE259" s="467"/>
      <c r="AF259" s="467"/>
    </row>
    <row r="260" spans="1:32" s="147" customFormat="1" ht="11.7" customHeight="1">
      <c r="A260" s="46"/>
      <c r="B260" s="3485" t="s">
        <v>3757</v>
      </c>
      <c r="C260" s="3485"/>
      <c r="D260" s="3485"/>
      <c r="E260" s="3485"/>
      <c r="F260" s="3485"/>
      <c r="G260" s="3485"/>
      <c r="H260" s="431" t="s">
        <v>4109</v>
      </c>
      <c r="K260" s="94"/>
      <c r="M260" s="35"/>
      <c r="N260" s="1021"/>
      <c r="O260" s="65" t="s">
        <v>1737</v>
      </c>
      <c r="P260" s="2672"/>
      <c r="Q260" s="535"/>
      <c r="AE260" s="467"/>
      <c r="AF260" s="467"/>
    </row>
    <row r="261" spans="1:32" s="147" customFormat="1" ht="11.7" customHeight="1">
      <c r="A261" s="46"/>
      <c r="B261" s="3485"/>
      <c r="C261" s="3485"/>
      <c r="D261" s="3485"/>
      <c r="E261" s="3485"/>
      <c r="F261" s="3485"/>
      <c r="G261" s="3485"/>
      <c r="H261" s="54" t="s">
        <v>4110</v>
      </c>
      <c r="K261" s="94"/>
      <c r="M261" s="35"/>
      <c r="N261" s="1021"/>
      <c r="O261" s="65" t="s">
        <v>1738</v>
      </c>
      <c r="P261" s="2672"/>
      <c r="Q261" s="535"/>
      <c r="AE261" s="467"/>
      <c r="AF261" s="467"/>
    </row>
    <row r="262" spans="1:32" s="147" customFormat="1" ht="11.7" customHeight="1">
      <c r="A262" s="46"/>
      <c r="B262" s="51"/>
      <c r="D262" s="51"/>
      <c r="E262" s="51"/>
      <c r="F262" s="51"/>
      <c r="G262" s="51"/>
      <c r="H262" s="54" t="s">
        <v>4111</v>
      </c>
      <c r="K262" s="94"/>
      <c r="M262" s="35"/>
      <c r="N262" s="1021"/>
      <c r="O262" s="65" t="s">
        <v>1739</v>
      </c>
      <c r="P262" s="2672"/>
      <c r="Q262" s="535"/>
      <c r="AE262" s="467"/>
      <c r="AF262" s="467"/>
    </row>
    <row r="263" spans="1:32" s="147" customFormat="1" ht="11.7" customHeight="1">
      <c r="A263" s="46"/>
      <c r="B263" s="51"/>
      <c r="D263" s="51"/>
      <c r="E263" s="51"/>
      <c r="F263" s="51"/>
      <c r="G263" s="51"/>
      <c r="H263" s="54" t="s">
        <v>4112</v>
      </c>
      <c r="K263" s="94"/>
      <c r="M263" s="35"/>
      <c r="N263" s="1021"/>
      <c r="O263" s="463" t="s">
        <v>2365</v>
      </c>
      <c r="P263" s="2672"/>
      <c r="Q263" s="535"/>
      <c r="AE263" s="467"/>
      <c r="AF263" s="467"/>
    </row>
    <row r="264" spans="1:32" s="147" customFormat="1" ht="21.75" customHeight="1">
      <c r="B264" s="3485" t="s">
        <v>3901</v>
      </c>
      <c r="C264" s="3485"/>
      <c r="D264" s="3485"/>
      <c r="E264" s="3485"/>
      <c r="F264" s="3485"/>
      <c r="G264" s="3485"/>
      <c r="H264" s="3485"/>
      <c r="I264" s="3485"/>
      <c r="J264" s="3485"/>
      <c r="K264" s="3485"/>
      <c r="L264" s="3485"/>
      <c r="M264" s="3485"/>
      <c r="N264" s="3485"/>
      <c r="O264" s="160"/>
      <c r="P264" s="2684"/>
      <c r="Q264" s="2308"/>
      <c r="T264" s="467"/>
      <c r="AE264" s="467"/>
      <c r="AF264" s="467"/>
    </row>
    <row r="265" spans="1:32" s="147" customFormat="1" ht="33.75" customHeight="1">
      <c r="A265" s="141" t="s">
        <v>1735</v>
      </c>
      <c r="B265" s="3485" t="s">
        <v>5079</v>
      </c>
      <c r="C265" s="3485"/>
      <c r="D265" s="3485"/>
      <c r="E265" s="3485"/>
      <c r="F265" s="3485"/>
      <c r="G265" s="3485"/>
      <c r="H265" s="3485"/>
      <c r="I265" s="3485"/>
      <c r="J265" s="3485"/>
      <c r="K265" s="3485"/>
      <c r="L265" s="3485"/>
      <c r="M265" s="3485"/>
      <c r="N265" s="3485"/>
      <c r="O265" s="160" t="s">
        <v>1735</v>
      </c>
      <c r="P265" s="2688"/>
      <c r="Q265" s="2309"/>
      <c r="T265" s="467"/>
      <c r="AE265" s="467"/>
      <c r="AF265" s="467"/>
    </row>
    <row r="266" spans="1:32" s="147" customFormat="1" ht="21.75" customHeight="1">
      <c r="B266" s="3485" t="s">
        <v>5078</v>
      </c>
      <c r="C266" s="3485"/>
      <c r="D266" s="3485"/>
      <c r="E266" s="3485"/>
      <c r="F266" s="3485"/>
      <c r="G266" s="3485"/>
      <c r="H266" s="3485"/>
      <c r="I266" s="3485"/>
      <c r="J266" s="3485"/>
      <c r="K266" s="3485"/>
      <c r="L266" s="3485"/>
      <c r="M266" s="3485"/>
      <c r="N266" s="3485"/>
      <c r="O266" s="160"/>
      <c r="P266" s="2681"/>
      <c r="Q266" s="2299"/>
      <c r="T266" s="467"/>
      <c r="AE266" s="467"/>
      <c r="AF266" s="467"/>
    </row>
    <row r="267" spans="1:32" ht="11.7" customHeight="1">
      <c r="B267" s="65" t="s">
        <v>1737</v>
      </c>
      <c r="C267" s="897" t="s">
        <v>5076</v>
      </c>
      <c r="E267" s="897"/>
      <c r="F267" s="897"/>
      <c r="L267" s="32"/>
      <c r="M267" s="32"/>
      <c r="O267" s="65" t="s">
        <v>1737</v>
      </c>
      <c r="P267" s="2689"/>
      <c r="Q267" s="2152"/>
    </row>
    <row r="268" spans="1:32" ht="11.7" customHeight="1">
      <c r="B268" s="65"/>
      <c r="D268" s="54" t="s">
        <v>3858</v>
      </c>
      <c r="E268" s="3371"/>
      <c r="F268" s="3372"/>
      <c r="G268" s="3373"/>
      <c r="H268" s="897" t="s">
        <v>4945</v>
      </c>
      <c r="I268" s="3371" t="s">
        <v>4946</v>
      </c>
      <c r="J268" s="3372"/>
      <c r="K268" s="3373"/>
      <c r="L268" s="134" t="s">
        <v>4947</v>
      </c>
      <c r="M268" s="3371"/>
      <c r="N268" s="3372"/>
      <c r="O268" s="3372"/>
      <c r="P268" s="3372"/>
      <c r="Q268" s="3373"/>
      <c r="U268" s="391"/>
    </row>
    <row r="269" spans="1:32" ht="11.7" customHeight="1">
      <c r="A269" s="46"/>
      <c r="B269" s="65" t="s">
        <v>1738</v>
      </c>
      <c r="C269" s="897" t="s">
        <v>5077</v>
      </c>
      <c r="E269" s="897"/>
      <c r="F269" s="897"/>
      <c r="G269" s="897"/>
      <c r="H269" s="897"/>
      <c r="I269" s="41"/>
      <c r="J269" s="32"/>
      <c r="K269" s="41"/>
      <c r="L269" s="32"/>
      <c r="M269" s="32"/>
      <c r="O269" s="65" t="s">
        <v>1738</v>
      </c>
      <c r="P269" s="2674"/>
      <c r="Q269" s="533"/>
      <c r="S269" s="65"/>
      <c r="U269" s="391"/>
    </row>
    <row r="270" spans="1:32" ht="11.7" customHeight="1">
      <c r="A270" s="46"/>
      <c r="B270" s="65"/>
      <c r="D270" s="54" t="s">
        <v>2301</v>
      </c>
      <c r="E270" s="3371"/>
      <c r="F270" s="3372"/>
      <c r="G270" s="3373"/>
      <c r="H270" s="134" t="s">
        <v>1800</v>
      </c>
      <c r="I270" s="3371"/>
      <c r="J270" s="3372"/>
      <c r="K270" s="3372"/>
      <c r="L270" s="3372"/>
      <c r="M270" s="3373"/>
      <c r="S270" s="65"/>
      <c r="U270" s="391"/>
    </row>
    <row r="271" spans="1:32" ht="11.25" customHeight="1">
      <c r="B271" s="140" t="s">
        <v>3749</v>
      </c>
      <c r="D271" s="140"/>
      <c r="E271" s="140"/>
      <c r="F271" s="140"/>
      <c r="G271" s="140"/>
      <c r="H271" s="39"/>
      <c r="I271" s="2305"/>
      <c r="J271" s="2305"/>
      <c r="K271" s="2305"/>
      <c r="L271" s="2293"/>
      <c r="M271" s="2293"/>
      <c r="N271" s="2293"/>
      <c r="O271" s="2293"/>
      <c r="P271" s="2293"/>
      <c r="Q271" s="896"/>
    </row>
    <row r="272" spans="1:32" ht="13.2" customHeight="1">
      <c r="A272" s="3530" t="s">
        <v>970</v>
      </c>
      <c r="B272" s="3531"/>
      <c r="C272" s="3531"/>
      <c r="D272" s="3531"/>
      <c r="E272" s="3531"/>
      <c r="F272" s="3531"/>
      <c r="G272" s="3531"/>
      <c r="H272" s="3531"/>
      <c r="I272" s="3531"/>
      <c r="J272" s="3531"/>
      <c r="K272" s="3531"/>
      <c r="L272" s="3531"/>
      <c r="M272" s="3531"/>
      <c r="N272" s="3531"/>
      <c r="O272" s="3531"/>
      <c r="P272" s="3531"/>
      <c r="Q272" s="3532"/>
      <c r="R272" s="445" t="s">
        <v>1254</v>
      </c>
      <c r="S272" s="446"/>
      <c r="U272" s="135"/>
      <c r="V272" s="135"/>
      <c r="W272" s="135"/>
      <c r="X272" s="135"/>
      <c r="Y272" s="135"/>
      <c r="Z272" s="135"/>
      <c r="AA272" s="135"/>
      <c r="AB272" s="135"/>
      <c r="AC272" s="135"/>
      <c r="AD272" s="135"/>
      <c r="AE272" s="465"/>
    </row>
    <row r="273" spans="1:32" ht="10.95" customHeight="1">
      <c r="B273" s="136" t="s">
        <v>1866</v>
      </c>
      <c r="C273" s="137"/>
      <c r="D273" s="2296"/>
      <c r="E273" s="2296"/>
      <c r="F273" s="2296"/>
      <c r="G273" s="2296"/>
      <c r="H273" s="2296"/>
      <c r="I273" s="2296"/>
      <c r="J273" s="2296"/>
      <c r="K273" s="2296"/>
      <c r="L273" s="2296"/>
      <c r="M273" s="2296"/>
      <c r="N273" s="2296"/>
      <c r="O273" s="2296"/>
      <c r="P273" s="2296"/>
      <c r="Q273" s="2296"/>
    </row>
    <row r="274" spans="1:32" ht="13.2" customHeight="1">
      <c r="A274" s="3486"/>
      <c r="B274" s="3487"/>
      <c r="C274" s="3487"/>
      <c r="D274" s="3487"/>
      <c r="E274" s="3487"/>
      <c r="F274" s="3487"/>
      <c r="G274" s="3487"/>
      <c r="H274" s="3487"/>
      <c r="I274" s="3487"/>
      <c r="J274" s="3487"/>
      <c r="K274" s="3487"/>
      <c r="L274" s="3487"/>
      <c r="M274" s="3487"/>
      <c r="N274" s="3487"/>
      <c r="O274" s="3487"/>
      <c r="P274" s="3487"/>
      <c r="Q274" s="3488"/>
    </row>
    <row r="275" spans="1:32" ht="3" customHeight="1">
      <c r="A275" s="2293"/>
      <c r="B275" s="2305"/>
      <c r="C275" s="2296"/>
      <c r="D275" s="2296"/>
      <c r="E275" s="2296"/>
      <c r="F275" s="2296"/>
      <c r="G275" s="2296"/>
      <c r="H275" s="2296"/>
      <c r="I275" s="2296"/>
      <c r="J275" s="2296"/>
      <c r="K275" s="2296"/>
      <c r="L275" s="2296"/>
      <c r="M275" s="2296"/>
      <c r="Q275" s="2293"/>
    </row>
    <row r="276" spans="1:32" ht="13.95" customHeight="1">
      <c r="A276" s="2290" t="s">
        <v>2251</v>
      </c>
      <c r="B276" s="3" t="s">
        <v>2663</v>
      </c>
      <c r="C276" s="3"/>
      <c r="D276" s="86"/>
      <c r="E276" s="86"/>
      <c r="F276" s="86"/>
      <c r="G276" s="86"/>
      <c r="H276" s="2296"/>
      <c r="I276" s="2296"/>
      <c r="J276" s="2296"/>
      <c r="K276" s="2296"/>
      <c r="L276" s="2296"/>
      <c r="M276" s="2296"/>
      <c r="O276" s="131" t="s">
        <v>1867</v>
      </c>
      <c r="P276" s="3489"/>
      <c r="Q276" s="3490"/>
    </row>
    <row r="277" spans="1:32" s="414" customFormat="1" ht="21.75" customHeight="1">
      <c r="A277" s="141" t="s">
        <v>1983</v>
      </c>
      <c r="B277" s="3485" t="s">
        <v>4958</v>
      </c>
      <c r="C277" s="3485"/>
      <c r="D277" s="3485"/>
      <c r="E277" s="3485"/>
      <c r="F277" s="3485"/>
      <c r="G277" s="3485"/>
      <c r="H277" s="3485"/>
      <c r="I277" s="3485"/>
      <c r="J277" s="3485"/>
      <c r="K277" s="3485"/>
      <c r="L277" s="3485"/>
      <c r="M277" s="3485"/>
      <c r="N277" s="3485"/>
      <c r="O277" s="160" t="s">
        <v>1983</v>
      </c>
      <c r="P277" s="2683" t="s">
        <v>2989</v>
      </c>
      <c r="Q277" s="1149"/>
      <c r="AE277" s="468"/>
      <c r="AF277" s="468"/>
    </row>
    <row r="278" spans="1:32" s="147" customFormat="1" ht="11.7" customHeight="1">
      <c r="A278" s="46"/>
      <c r="B278" s="51" t="s">
        <v>3752</v>
      </c>
      <c r="D278" s="51"/>
      <c r="E278" s="51"/>
      <c r="F278" s="51"/>
      <c r="G278" s="51"/>
      <c r="H278" s="51"/>
      <c r="I278" s="51"/>
      <c r="J278" s="51"/>
      <c r="K278" s="51"/>
      <c r="L278" s="51"/>
      <c r="M278" s="51"/>
      <c r="O278" s="463"/>
      <c r="P278" s="2673" t="s">
        <v>2989</v>
      </c>
      <c r="Q278" s="536"/>
      <c r="AE278" s="467"/>
      <c r="AF278" s="467"/>
    </row>
    <row r="279" spans="1:32" s="147" customFormat="1" ht="11.7" customHeight="1">
      <c r="A279" s="46" t="s">
        <v>1985</v>
      </c>
      <c r="B279" s="51" t="s">
        <v>3753</v>
      </c>
      <c r="D279" s="51"/>
      <c r="E279" s="51"/>
      <c r="F279" s="51"/>
      <c r="G279" s="51"/>
      <c r="H279" s="51"/>
      <c r="I279" s="51"/>
      <c r="J279" s="51"/>
      <c r="K279" s="51"/>
      <c r="L279" s="51"/>
      <c r="M279" s="51"/>
      <c r="O279" s="463" t="s">
        <v>1985</v>
      </c>
      <c r="P279" s="2673" t="s">
        <v>2989</v>
      </c>
      <c r="Q279" s="536"/>
      <c r="AE279" s="467"/>
      <c r="AF279" s="467"/>
    </row>
    <row r="280" spans="1:32" s="147" customFormat="1" ht="11.7" customHeight="1">
      <c r="A280" s="46" t="s">
        <v>749</v>
      </c>
      <c r="B280" s="51" t="s">
        <v>4113</v>
      </c>
      <c r="D280" s="51"/>
      <c r="E280" s="51"/>
      <c r="F280" s="51"/>
      <c r="G280" s="51"/>
      <c r="H280" s="51"/>
      <c r="I280" s="51"/>
      <c r="J280" s="51"/>
      <c r="K280" s="51"/>
      <c r="L280" s="51"/>
      <c r="M280" s="51"/>
      <c r="O280" s="463" t="s">
        <v>749</v>
      </c>
      <c r="P280" s="2671" t="s">
        <v>2989</v>
      </c>
      <c r="Q280" s="534"/>
      <c r="AE280" s="467"/>
      <c r="AF280" s="467"/>
    </row>
    <row r="281" spans="1:32" s="147" customFormat="1" ht="11.7" customHeight="1">
      <c r="A281" s="46"/>
      <c r="B281" s="51" t="s">
        <v>3754</v>
      </c>
      <c r="D281" s="51"/>
      <c r="E281" s="51"/>
      <c r="F281" s="51"/>
      <c r="G281" s="51"/>
      <c r="H281" s="51"/>
      <c r="I281" s="51"/>
      <c r="J281" s="51"/>
      <c r="K281" s="51"/>
      <c r="L281" s="51"/>
      <c r="M281" s="51"/>
      <c r="O281" s="463"/>
      <c r="P281" s="2673" t="s">
        <v>2989</v>
      </c>
      <c r="Q281" s="536"/>
      <c r="AE281" s="467"/>
      <c r="AF281" s="467"/>
    </row>
    <row r="282" spans="1:32" s="147" customFormat="1" ht="22.5" customHeight="1">
      <c r="A282" s="141" t="s">
        <v>2115</v>
      </c>
      <c r="B282" s="3485" t="s">
        <v>4961</v>
      </c>
      <c r="C282" s="3485"/>
      <c r="D282" s="3485"/>
      <c r="E282" s="3485"/>
      <c r="F282" s="3485"/>
      <c r="G282" s="3485"/>
      <c r="H282" s="3485"/>
      <c r="I282" s="3485"/>
      <c r="J282" s="3485"/>
      <c r="K282" s="3485"/>
      <c r="L282" s="3485"/>
      <c r="M282" s="3485"/>
      <c r="N282" s="3485"/>
      <c r="O282" s="463" t="s">
        <v>2115</v>
      </c>
      <c r="P282" s="2684" t="s">
        <v>2989</v>
      </c>
      <c r="Q282" s="2308"/>
      <c r="AE282" s="467"/>
      <c r="AF282" s="467"/>
    </row>
    <row r="283" spans="1:32" ht="11.25" customHeight="1">
      <c r="B283" s="140" t="s">
        <v>3749</v>
      </c>
      <c r="D283" s="140"/>
      <c r="E283" s="140"/>
      <c r="F283" s="140"/>
      <c r="G283" s="140"/>
      <c r="H283" s="39"/>
      <c r="I283" s="2305"/>
      <c r="J283" s="2305"/>
      <c r="K283" s="2305"/>
      <c r="L283" s="2293"/>
      <c r="M283" s="2293"/>
      <c r="N283" s="2293"/>
      <c r="O283" s="2293"/>
      <c r="P283" s="2293"/>
      <c r="Q283" s="896"/>
    </row>
    <row r="284" spans="1:32" ht="36" customHeight="1">
      <c r="A284" s="3530" t="s">
        <v>5291</v>
      </c>
      <c r="B284" s="3531"/>
      <c r="C284" s="3531"/>
      <c r="D284" s="3531"/>
      <c r="E284" s="3531"/>
      <c r="F284" s="3531"/>
      <c r="G284" s="3531"/>
      <c r="H284" s="3531"/>
      <c r="I284" s="3531"/>
      <c r="J284" s="3531"/>
      <c r="K284" s="3531"/>
      <c r="L284" s="3531"/>
      <c r="M284" s="3531"/>
      <c r="N284" s="3531"/>
      <c r="O284" s="3531"/>
      <c r="P284" s="3531"/>
      <c r="Q284" s="3532"/>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6"/>
      <c r="E285" s="2296"/>
      <c r="F285" s="2296"/>
      <c r="G285" s="2296"/>
      <c r="H285" s="2296"/>
      <c r="I285" s="2296"/>
      <c r="J285" s="2296"/>
      <c r="K285" s="2296"/>
      <c r="L285" s="2296"/>
      <c r="M285" s="2296"/>
      <c r="N285" s="2296"/>
      <c r="O285" s="2296"/>
      <c r="P285" s="2296"/>
      <c r="Q285" s="2296"/>
    </row>
    <row r="286" spans="1:32" ht="13.2" customHeight="1">
      <c r="A286" s="3486"/>
      <c r="B286" s="3487"/>
      <c r="C286" s="3487"/>
      <c r="D286" s="3487"/>
      <c r="E286" s="3487"/>
      <c r="F286" s="3487"/>
      <c r="G286" s="3487"/>
      <c r="H286" s="3487"/>
      <c r="I286" s="3487"/>
      <c r="J286" s="3487"/>
      <c r="K286" s="3487"/>
      <c r="L286" s="3487"/>
      <c r="M286" s="3487"/>
      <c r="N286" s="3487"/>
      <c r="O286" s="3487"/>
      <c r="P286" s="3487"/>
      <c r="Q286" s="3488"/>
    </row>
    <row r="287" spans="1:32" ht="3" customHeight="1"/>
    <row r="288" spans="1:32" ht="13.95" customHeight="1">
      <c r="A288" s="2290" t="s">
        <v>4095</v>
      </c>
      <c r="B288" s="2290" t="s">
        <v>2664</v>
      </c>
      <c r="C288" s="2290"/>
      <c r="D288" s="2296"/>
      <c r="E288" s="2296"/>
      <c r="F288" s="2296"/>
      <c r="G288" s="2296"/>
      <c r="H288" s="2296"/>
      <c r="I288" s="2296"/>
      <c r="J288" s="2296"/>
      <c r="K288" s="2296"/>
      <c r="L288" s="2296"/>
      <c r="M288" s="2296"/>
      <c r="O288" s="131" t="s">
        <v>1867</v>
      </c>
      <c r="P288" s="3489"/>
      <c r="Q288" s="3490"/>
    </row>
    <row r="289" spans="1:32" s="414" customFormat="1" ht="33" customHeight="1">
      <c r="A289" s="141" t="s">
        <v>1983</v>
      </c>
      <c r="B289" s="3485" t="s">
        <v>4960</v>
      </c>
      <c r="C289" s="3485"/>
      <c r="D289" s="3485"/>
      <c r="E289" s="3485"/>
      <c r="F289" s="3485"/>
      <c r="G289" s="3485"/>
      <c r="H289" s="3485"/>
      <c r="I289" s="3485"/>
      <c r="J289" s="3485"/>
      <c r="K289" s="3485"/>
      <c r="L289" s="3485"/>
      <c r="M289" s="3485"/>
      <c r="N289" s="3485"/>
      <c r="O289" s="160" t="s">
        <v>1983</v>
      </c>
      <c r="P289" s="2683" t="s">
        <v>5164</v>
      </c>
      <c r="Q289" s="1149"/>
      <c r="AE289" s="468"/>
      <c r="AF289" s="468"/>
    </row>
    <row r="290" spans="1:32" s="414" customFormat="1" ht="21.75" customHeight="1">
      <c r="A290" s="141"/>
      <c r="B290" s="3485" t="s">
        <v>2814</v>
      </c>
      <c r="C290" s="3485"/>
      <c r="D290" s="3485"/>
      <c r="E290" s="3485"/>
      <c r="F290" s="3485"/>
      <c r="G290" s="3485"/>
      <c r="H290" s="3485"/>
      <c r="I290" s="3485"/>
      <c r="J290" s="3485"/>
      <c r="K290" s="3485"/>
      <c r="L290" s="3485"/>
      <c r="M290" s="3485"/>
      <c r="N290" s="3485"/>
      <c r="O290" s="160"/>
      <c r="P290" s="2684" t="s">
        <v>5164</v>
      </c>
      <c r="Q290" s="2308"/>
      <c r="AE290" s="468"/>
      <c r="AF290" s="468"/>
    </row>
    <row r="291" spans="1:32" s="26" customFormat="1" ht="11.7" customHeight="1">
      <c r="A291" s="138" t="s">
        <v>1985</v>
      </c>
      <c r="B291" s="177" t="s">
        <v>310</v>
      </c>
      <c r="C291" s="158"/>
      <c r="D291" s="572"/>
      <c r="E291" s="572"/>
      <c r="F291" s="158"/>
      <c r="H291" s="158"/>
      <c r="I291" s="158"/>
      <c r="J291" s="2094" t="s">
        <v>4780</v>
      </c>
      <c r="K291" s="3545" t="s">
        <v>3766</v>
      </c>
      <c r="L291" s="3546"/>
      <c r="M291" s="3546"/>
      <c r="N291" s="3547"/>
      <c r="O291" s="463" t="s">
        <v>1985</v>
      </c>
      <c r="P291" s="2684" t="s">
        <v>5164</v>
      </c>
      <c r="Q291" s="2308"/>
      <c r="R291" s="1020"/>
      <c r="S291" s="1134"/>
    </row>
    <row r="292" spans="1:32" s="26" customFormat="1" ht="11.7" customHeight="1">
      <c r="A292" s="138"/>
      <c r="B292" s="177"/>
      <c r="C292" s="158"/>
      <c r="D292" s="572"/>
      <c r="E292" s="572"/>
      <c r="F292" s="158"/>
      <c r="H292" s="158"/>
      <c r="I292" s="158"/>
      <c r="J292" s="2094" t="s">
        <v>4962</v>
      </c>
      <c r="K292" s="3545" t="s">
        <v>4768</v>
      </c>
      <c r="L292" s="3546"/>
      <c r="M292" s="3546"/>
      <c r="N292" s="3547"/>
      <c r="O292" s="463"/>
      <c r="P292" s="463"/>
      <c r="Q292" s="463"/>
      <c r="R292" s="463"/>
      <c r="S292" s="1134"/>
    </row>
    <row r="293" spans="1:32" s="102" customFormat="1" ht="11.7" customHeight="1">
      <c r="A293" s="41"/>
      <c r="B293" s="140" t="s">
        <v>3749</v>
      </c>
      <c r="C293" s="41"/>
      <c r="D293" s="47"/>
      <c r="E293" s="47"/>
      <c r="F293" s="47"/>
      <c r="G293" s="47"/>
      <c r="K293" s="35"/>
      <c r="M293" s="45"/>
      <c r="N293" s="5"/>
      <c r="O293" s="2"/>
      <c r="P293" s="2292"/>
    </row>
    <row r="294" spans="1:32" s="42" customFormat="1" ht="21.75" customHeight="1">
      <c r="A294" s="3530" t="s">
        <v>5292</v>
      </c>
      <c r="B294" s="3531"/>
      <c r="C294" s="3531"/>
      <c r="D294" s="3531"/>
      <c r="E294" s="3531"/>
      <c r="F294" s="3531"/>
      <c r="G294" s="3531"/>
      <c r="H294" s="3531"/>
      <c r="I294" s="3531"/>
      <c r="J294" s="3531"/>
      <c r="K294" s="3531"/>
      <c r="L294" s="3531"/>
      <c r="M294" s="3531"/>
      <c r="N294" s="3531"/>
      <c r="O294" s="3531"/>
      <c r="P294" s="3531"/>
      <c r="Q294" s="3532"/>
      <c r="R294" s="445" t="s">
        <v>1254</v>
      </c>
    </row>
    <row r="295" spans="1:32" s="42" customFormat="1" ht="11.25" customHeight="1">
      <c r="A295" s="34"/>
      <c r="B295" s="136" t="s">
        <v>1866</v>
      </c>
      <c r="C295" s="137"/>
      <c r="D295" s="2296"/>
      <c r="E295" s="2296"/>
      <c r="F295" s="2296"/>
      <c r="G295" s="2296"/>
      <c r="H295" s="2296"/>
      <c r="I295" s="2296"/>
      <c r="J295" s="2296"/>
      <c r="K295" s="2296"/>
      <c r="L295" s="2296"/>
      <c r="M295" s="2296"/>
      <c r="N295" s="2296"/>
      <c r="O295" s="2296"/>
      <c r="P295" s="2296"/>
      <c r="Q295" s="2296"/>
      <c r="R295" s="34"/>
    </row>
    <row r="296" spans="1:32" s="42" customFormat="1" ht="11.25" customHeight="1">
      <c r="A296" s="3486"/>
      <c r="B296" s="3487"/>
      <c r="C296" s="3487"/>
      <c r="D296" s="3487"/>
      <c r="E296" s="3487"/>
      <c r="F296" s="3487"/>
      <c r="G296" s="3487"/>
      <c r="H296" s="3487"/>
      <c r="I296" s="3487"/>
      <c r="J296" s="3487"/>
      <c r="K296" s="3487"/>
      <c r="L296" s="3487"/>
      <c r="M296" s="3487"/>
      <c r="N296" s="3487"/>
      <c r="O296" s="3487"/>
      <c r="P296" s="3487"/>
      <c r="Q296" s="3488"/>
      <c r="R296" s="34"/>
    </row>
    <row r="297" spans="1:32" s="42" customFormat="1" ht="3" customHeight="1">
      <c r="A297" s="41"/>
      <c r="D297" s="38"/>
      <c r="E297" s="35"/>
      <c r="F297" s="887"/>
      <c r="G297" s="887"/>
      <c r="H297" s="887"/>
      <c r="I297" s="887"/>
      <c r="J297" s="897"/>
      <c r="K297" s="897"/>
      <c r="L297" s="897"/>
      <c r="M297" s="59"/>
      <c r="N297" s="887"/>
      <c r="O297" s="2295"/>
      <c r="P297" s="2"/>
    </row>
    <row r="298" spans="1:32" ht="13.95" customHeight="1">
      <c r="A298" s="2290" t="s">
        <v>4096</v>
      </c>
      <c r="B298" s="2290" t="s">
        <v>2665</v>
      </c>
      <c r="C298" s="2289"/>
      <c r="D298" s="2302"/>
      <c r="E298" s="2296"/>
      <c r="F298" s="2296"/>
      <c r="G298" s="2296"/>
      <c r="H298" s="2296"/>
      <c r="I298" s="2296"/>
      <c r="J298" s="2296"/>
      <c r="K298" s="2296"/>
      <c r="L298" s="2296"/>
      <c r="M298" s="2296"/>
      <c r="O298" s="131" t="s">
        <v>1867</v>
      </c>
      <c r="P298" s="3489"/>
      <c r="Q298" s="3490"/>
    </row>
    <row r="299" spans="1:32" ht="12.75" customHeight="1">
      <c r="A299" s="13" t="s">
        <v>1983</v>
      </c>
      <c r="B299" s="2290" t="s">
        <v>4115</v>
      </c>
    </row>
    <row r="300" spans="1:32" s="147" customFormat="1" ht="44.25" customHeight="1">
      <c r="A300" s="141"/>
      <c r="B300" s="2162" t="s">
        <v>1737</v>
      </c>
      <c r="C300" s="3485" t="s">
        <v>3904</v>
      </c>
      <c r="D300" s="3485"/>
      <c r="E300" s="3485"/>
      <c r="F300" s="3485"/>
      <c r="G300" s="3485"/>
      <c r="H300" s="3485"/>
      <c r="I300" s="3485"/>
      <c r="J300" s="3485"/>
      <c r="K300" s="3485"/>
      <c r="L300" s="3485"/>
      <c r="M300" s="3485"/>
      <c r="N300" s="3485"/>
      <c r="O300" s="160" t="s">
        <v>2726</v>
      </c>
      <c r="P300" s="2683" t="s">
        <v>2989</v>
      </c>
      <c r="Q300" s="1149"/>
      <c r="AE300" s="467"/>
      <c r="AF300" s="467"/>
    </row>
    <row r="301" spans="1:32" s="414" customFormat="1" ht="12" customHeight="1">
      <c r="A301" s="141"/>
      <c r="B301" s="2162" t="s">
        <v>1738</v>
      </c>
      <c r="C301" s="3485" t="s">
        <v>3905</v>
      </c>
      <c r="D301" s="3485"/>
      <c r="E301" s="3485"/>
      <c r="F301" s="3485"/>
      <c r="G301" s="3485"/>
      <c r="H301" s="3485"/>
      <c r="I301" s="3485"/>
      <c r="J301" s="3485"/>
      <c r="K301" s="3485"/>
      <c r="L301" s="3485"/>
      <c r="M301" s="3485"/>
      <c r="N301" s="3485"/>
      <c r="O301" s="148" t="s">
        <v>1738</v>
      </c>
      <c r="P301" s="2681" t="s">
        <v>2989</v>
      </c>
      <c r="Q301" s="2299"/>
      <c r="AE301" s="468"/>
      <c r="AF301" s="468"/>
    </row>
    <row r="302" spans="1:32" s="414" customFormat="1" ht="21.75" customHeight="1">
      <c r="A302" s="141"/>
      <c r="B302" s="477" t="s">
        <v>1739</v>
      </c>
      <c r="C302" s="3485" t="s">
        <v>3903</v>
      </c>
      <c r="D302" s="3485"/>
      <c r="E302" s="3485"/>
      <c r="F302" s="3485"/>
      <c r="G302" s="3485"/>
      <c r="H302" s="3485"/>
      <c r="I302" s="3485"/>
      <c r="J302" s="3485"/>
      <c r="K302" s="3485"/>
      <c r="L302" s="3485"/>
      <c r="M302" s="3485"/>
      <c r="N302" s="3485"/>
      <c r="O302" s="160" t="s">
        <v>1739</v>
      </c>
      <c r="P302" s="2684"/>
      <c r="Q302" s="2308"/>
      <c r="AE302" s="468"/>
      <c r="AF302" s="468"/>
    </row>
    <row r="303" spans="1:32" s="94" customFormat="1" ht="12.75" customHeight="1">
      <c r="A303" s="13" t="s">
        <v>1985</v>
      </c>
      <c r="B303" s="2290" t="s">
        <v>3871</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485" t="s">
        <v>3746</v>
      </c>
      <c r="D304" s="3485"/>
      <c r="E304" s="3485"/>
      <c r="F304" s="3485"/>
      <c r="G304" s="3485"/>
      <c r="H304" s="3485"/>
      <c r="I304" s="139"/>
      <c r="J304" s="3554" t="s">
        <v>3789</v>
      </c>
      <c r="K304" s="3555"/>
      <c r="L304" s="3555"/>
      <c r="M304" s="3578" t="s">
        <v>3759</v>
      </c>
      <c r="N304" s="3578"/>
      <c r="AE304" s="469"/>
      <c r="AF304" s="469"/>
    </row>
    <row r="305" spans="1:33" s="294" customFormat="1" ht="10.5" customHeight="1">
      <c r="A305" s="305"/>
      <c r="B305" s="2263"/>
      <c r="C305" s="3485"/>
      <c r="D305" s="3485"/>
      <c r="E305" s="3485"/>
      <c r="F305" s="3485"/>
      <c r="G305" s="3485"/>
      <c r="H305" s="3485"/>
      <c r="I305" s="2274"/>
      <c r="J305" s="3555"/>
      <c r="K305" s="3555"/>
      <c r="L305" s="3555"/>
      <c r="M305" s="35" t="s">
        <v>3760</v>
      </c>
      <c r="N305" s="2305" t="s">
        <v>3788</v>
      </c>
      <c r="P305" s="303"/>
    </row>
    <row r="306" spans="1:33" s="294" customFormat="1" ht="13.2" customHeight="1">
      <c r="A306" s="305"/>
      <c r="B306" s="2263"/>
      <c r="C306" s="3485"/>
      <c r="D306" s="3485"/>
      <c r="E306" s="3485"/>
      <c r="F306" s="3485"/>
      <c r="G306" s="3485"/>
      <c r="H306" s="3485"/>
      <c r="I306" s="51" t="s">
        <v>4116</v>
      </c>
      <c r="K306" s="2690">
        <v>4</v>
      </c>
      <c r="L306" s="1016" t="str">
        <f>IF(K306&lt;M306,"Check!!!","")</f>
        <v/>
      </c>
      <c r="M306" s="1017">
        <f>ROUNDUP('Part VI-Revenues &amp; Expenses'!$O$67*'Part VIII-Threshold Criteria'!N306,0)</f>
        <v>4</v>
      </c>
      <c r="N306" s="2127">
        <f>'DCA Underwriting Assumptions'!$Q$139</f>
        <v>0.05</v>
      </c>
      <c r="O306" s="463" t="s">
        <v>3636</v>
      </c>
      <c r="P306" s="2671" t="s">
        <v>2989</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485" t="s">
        <v>3747</v>
      </c>
      <c r="D307" s="3485"/>
      <c r="E307" s="3485"/>
      <c r="F307" s="3485"/>
      <c r="G307" s="3485"/>
      <c r="H307" s="3485"/>
      <c r="I307" s="884" t="s">
        <v>4117</v>
      </c>
      <c r="J307" s="294"/>
      <c r="K307" s="2690">
        <v>2</v>
      </c>
      <c r="L307" s="1016" t="str">
        <f>IF(K307&lt;M307,"Check!!!","")</f>
        <v/>
      </c>
      <c r="M307" s="1017">
        <f>ROUNDUP(K306*'Part VIII-Threshold Criteria'!N307,0)</f>
        <v>2</v>
      </c>
      <c r="N307" s="2127">
        <f>'DCA Underwriting Assumptions'!$Q$140</f>
        <v>0.4</v>
      </c>
      <c r="O307" s="463" t="s">
        <v>2117</v>
      </c>
      <c r="P307" s="3550" t="s">
        <v>2989</v>
      </c>
      <c r="Q307" s="3549"/>
      <c r="T307" s="139"/>
      <c r="U307" s="139"/>
      <c r="V307" s="139"/>
      <c r="W307" s="139"/>
      <c r="X307" s="139"/>
      <c r="Y307" s="139"/>
      <c r="Z307" s="139"/>
      <c r="AA307" s="139"/>
      <c r="AB307" s="139"/>
      <c r="AC307" s="139"/>
      <c r="AD307" s="139"/>
      <c r="AE307" s="139"/>
      <c r="AF307" s="139"/>
      <c r="AG307" s="139"/>
    </row>
    <row r="308" spans="1:33" s="294" customFormat="1" ht="10.5" customHeight="1">
      <c r="A308" s="305"/>
      <c r="B308" s="2263"/>
      <c r="C308" s="3485"/>
      <c r="D308" s="3485"/>
      <c r="E308" s="3485"/>
      <c r="F308" s="3485"/>
      <c r="G308" s="3485"/>
      <c r="H308" s="3485"/>
      <c r="O308" s="39"/>
      <c r="P308" s="3550"/>
      <c r="Q308" s="3549"/>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485" t="s">
        <v>3748</v>
      </c>
      <c r="D309" s="3485"/>
      <c r="E309" s="3485"/>
      <c r="F309" s="3485"/>
      <c r="G309" s="3485"/>
      <c r="H309" s="3485"/>
      <c r="I309" s="51" t="s">
        <v>4118</v>
      </c>
      <c r="J309" s="294"/>
      <c r="K309" s="2690">
        <v>2</v>
      </c>
      <c r="L309" s="1016" t="str">
        <f>IF(K309&lt;M309,"Check!!!","")</f>
        <v/>
      </c>
      <c r="M309" s="1017">
        <f>ROUNDUP('Part VI-Revenues &amp; Expenses'!$O$67*'Part VIII-Threshold Criteria'!N309,0)</f>
        <v>2</v>
      </c>
      <c r="N309" s="2127">
        <f>'DCA Underwriting Assumptions'!$Q$141</f>
        <v>0.02</v>
      </c>
      <c r="O309" s="463" t="s">
        <v>1738</v>
      </c>
      <c r="P309" s="2673"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85"/>
      <c r="D310" s="3485"/>
      <c r="E310" s="3485"/>
      <c r="F310" s="3485"/>
      <c r="G310" s="3485"/>
      <c r="H310" s="3485"/>
      <c r="J310" s="35"/>
      <c r="K310" s="35"/>
      <c r="L310" s="897"/>
      <c r="M310" s="2310"/>
      <c r="O310" s="35"/>
      <c r="P310" s="2305"/>
      <c r="Q310" s="35"/>
      <c r="T310" s="35"/>
      <c r="U310" s="884"/>
      <c r="V310" s="35"/>
      <c r="W310" s="884"/>
      <c r="X310" s="35"/>
      <c r="Y310" s="35"/>
      <c r="Z310" s="35"/>
      <c r="AA310" s="35"/>
      <c r="AB310" s="35"/>
      <c r="AC310" s="35"/>
      <c r="AD310" s="35"/>
      <c r="AE310" s="35"/>
      <c r="AF310" s="35"/>
      <c r="AG310" s="35"/>
    </row>
    <row r="311" spans="1:33" s="294" customFormat="1" ht="10.5" customHeight="1">
      <c r="A311" s="305"/>
      <c r="C311" s="3485"/>
      <c r="D311" s="3485"/>
      <c r="E311" s="3485"/>
      <c r="F311" s="3485"/>
      <c r="G311" s="3485"/>
      <c r="H311" s="3485"/>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3872</v>
      </c>
      <c r="D312" s="2296"/>
      <c r="E312" s="2296"/>
      <c r="F312" s="2296"/>
      <c r="G312" s="2296"/>
      <c r="H312" s="2296"/>
      <c r="O312" s="39"/>
      <c r="P312" s="463"/>
      <c r="V312" s="35"/>
      <c r="W312" s="884"/>
      <c r="X312" s="35"/>
      <c r="Z312" s="1016"/>
      <c r="AA312" s="1016"/>
      <c r="AB312" s="1016"/>
      <c r="AC312" s="1016"/>
      <c r="AD312" s="1016"/>
      <c r="AE312" s="1016"/>
      <c r="AF312" s="1016"/>
      <c r="AG312" s="1016"/>
    </row>
    <row r="313" spans="1:33" s="94" customFormat="1" ht="21.75" customHeight="1">
      <c r="B313" s="3548" t="s">
        <v>3638</v>
      </c>
      <c r="C313" s="3548"/>
      <c r="D313" s="3548"/>
      <c r="E313" s="3548"/>
      <c r="F313" s="3548"/>
      <c r="G313" s="3548"/>
      <c r="H313" s="3548"/>
      <c r="I313" s="3548"/>
      <c r="J313" s="3548"/>
      <c r="K313" s="3548"/>
      <c r="L313" s="3548"/>
      <c r="M313" s="3548"/>
      <c r="N313" s="3548"/>
      <c r="O313" s="160" t="s">
        <v>749</v>
      </c>
      <c r="P313" s="2691" t="s">
        <v>2989</v>
      </c>
      <c r="Q313" s="1150"/>
      <c r="AE313" s="469"/>
      <c r="AF313" s="469"/>
    </row>
    <row r="314" spans="1:33" s="94" customFormat="1" ht="11.25" customHeight="1">
      <c r="B314" s="391" t="s">
        <v>3639</v>
      </c>
      <c r="D314" s="391"/>
      <c r="E314" s="391"/>
      <c r="F314" s="391"/>
      <c r="G314" s="391"/>
      <c r="H314" s="391"/>
      <c r="I314" s="391" t="s">
        <v>3758</v>
      </c>
      <c r="J314" s="391"/>
      <c r="K314" s="391"/>
      <c r="L314" s="3551" t="s">
        <v>5176</v>
      </c>
      <c r="M314" s="3552"/>
      <c r="N314" s="3552"/>
      <c r="O314" s="3553"/>
      <c r="P314" s="391"/>
      <c r="Q314" s="391"/>
      <c r="R314" s="391"/>
      <c r="AE314" s="469"/>
      <c r="AF314" s="469"/>
    </row>
    <row r="315" spans="1:33" s="414" customFormat="1" ht="44.25" customHeight="1">
      <c r="B315" s="2162" t="s">
        <v>1737</v>
      </c>
      <c r="C315" s="3485" t="s">
        <v>3637</v>
      </c>
      <c r="D315" s="3485"/>
      <c r="E315" s="3485"/>
      <c r="F315" s="3485"/>
      <c r="G315" s="3485"/>
      <c r="H315" s="3485"/>
      <c r="I315" s="3485"/>
      <c r="J315" s="3485"/>
      <c r="K315" s="3485"/>
      <c r="L315" s="3485"/>
      <c r="M315" s="3485"/>
      <c r="N315" s="3485"/>
      <c r="O315" s="160" t="s">
        <v>3642</v>
      </c>
      <c r="P315" s="2683" t="s">
        <v>2989</v>
      </c>
      <c r="Q315" s="1149"/>
      <c r="AE315" s="468"/>
      <c r="AF315" s="468"/>
    </row>
    <row r="316" spans="1:33" s="414" customFormat="1" ht="34.5" customHeight="1">
      <c r="B316" s="2162" t="s">
        <v>1738</v>
      </c>
      <c r="C316" s="3485" t="s">
        <v>4905</v>
      </c>
      <c r="D316" s="3485"/>
      <c r="E316" s="3485"/>
      <c r="F316" s="3485"/>
      <c r="G316" s="3485"/>
      <c r="H316" s="3485"/>
      <c r="I316" s="3485"/>
      <c r="J316" s="3485"/>
      <c r="K316" s="3485"/>
      <c r="L316" s="3485"/>
      <c r="M316" s="3485"/>
      <c r="N316" s="3485"/>
      <c r="O316" s="160" t="s">
        <v>3643</v>
      </c>
      <c r="P316" s="2681" t="s">
        <v>2989</v>
      </c>
      <c r="Q316" s="2299"/>
      <c r="AE316" s="468"/>
      <c r="AF316" s="468"/>
    </row>
    <row r="317" spans="1:33" s="414" customFormat="1" ht="22.5" customHeight="1">
      <c r="B317" s="477" t="s">
        <v>1739</v>
      </c>
      <c r="C317" s="3485" t="s">
        <v>3640</v>
      </c>
      <c r="D317" s="3485"/>
      <c r="E317" s="3485"/>
      <c r="F317" s="3485"/>
      <c r="G317" s="3485"/>
      <c r="H317" s="3485"/>
      <c r="I317" s="3485"/>
      <c r="J317" s="3485"/>
      <c r="K317" s="3485"/>
      <c r="L317" s="3485"/>
      <c r="M317" s="3485"/>
      <c r="N317" s="3485"/>
      <c r="O317" s="160" t="s">
        <v>3644</v>
      </c>
      <c r="P317" s="2681" t="s">
        <v>2989</v>
      </c>
      <c r="Q317" s="2299"/>
      <c r="AE317" s="468"/>
      <c r="AF317" s="468"/>
    </row>
    <row r="318" spans="1:33" s="414" customFormat="1" ht="32.25" customHeight="1">
      <c r="B318" s="477" t="s">
        <v>2365</v>
      </c>
      <c r="C318" s="3485" t="s">
        <v>3641</v>
      </c>
      <c r="D318" s="3485"/>
      <c r="E318" s="3485"/>
      <c r="F318" s="3485"/>
      <c r="G318" s="3485"/>
      <c r="H318" s="3485"/>
      <c r="I318" s="3485"/>
      <c r="J318" s="3485"/>
      <c r="K318" s="3485"/>
      <c r="L318" s="3485"/>
      <c r="M318" s="3485"/>
      <c r="N318" s="3485"/>
      <c r="O318" s="160" t="s">
        <v>3645</v>
      </c>
      <c r="P318" s="2684" t="s">
        <v>2989</v>
      </c>
      <c r="Q318" s="2308"/>
      <c r="AE318" s="468"/>
      <c r="AF318" s="468"/>
    </row>
    <row r="319" spans="1:33" ht="11.25" customHeight="1">
      <c r="B319" s="140" t="s">
        <v>3749</v>
      </c>
      <c r="D319" s="140"/>
      <c r="E319" s="140"/>
      <c r="F319" s="140"/>
      <c r="G319" s="140"/>
      <c r="H319" s="39"/>
      <c r="I319" s="2305"/>
      <c r="J319" s="2305"/>
      <c r="K319" s="2305"/>
      <c r="L319" s="2293"/>
      <c r="M319" s="2293"/>
      <c r="N319" s="2293"/>
      <c r="O319" s="2293"/>
      <c r="P319" s="2293"/>
      <c r="Q319" s="896"/>
    </row>
    <row r="320" spans="1:33" ht="32.25" customHeight="1">
      <c r="A320" s="3530" t="s">
        <v>5260</v>
      </c>
      <c r="B320" s="3531"/>
      <c r="C320" s="3531"/>
      <c r="D320" s="3531"/>
      <c r="E320" s="3531"/>
      <c r="F320" s="3531"/>
      <c r="G320" s="3531"/>
      <c r="H320" s="3531"/>
      <c r="I320" s="3531"/>
      <c r="J320" s="3531"/>
      <c r="K320" s="3531"/>
      <c r="L320" s="3531"/>
      <c r="M320" s="3531"/>
      <c r="N320" s="3531"/>
      <c r="O320" s="3531"/>
      <c r="P320" s="3531"/>
      <c r="Q320" s="3532"/>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6"/>
      <c r="E321" s="2296"/>
      <c r="F321" s="2296"/>
      <c r="G321" s="2296"/>
      <c r="H321" s="2296"/>
      <c r="I321" s="2296"/>
      <c r="J321" s="2296"/>
      <c r="K321" s="2296"/>
      <c r="L321" s="2296"/>
      <c r="M321" s="2296"/>
      <c r="N321" s="2296"/>
      <c r="O321" s="2296"/>
      <c r="P321" s="2296"/>
      <c r="Q321" s="2296"/>
    </row>
    <row r="322" spans="1:256 1523:1523" ht="45.75" customHeight="1">
      <c r="A322" s="3556"/>
      <c r="B322" s="3557"/>
      <c r="C322" s="3557"/>
      <c r="D322" s="3557"/>
      <c r="E322" s="3557"/>
      <c r="F322" s="3557"/>
      <c r="G322" s="3557"/>
      <c r="H322" s="3557"/>
      <c r="I322" s="3557"/>
      <c r="J322" s="3557"/>
      <c r="K322" s="3557"/>
      <c r="L322" s="3557"/>
      <c r="M322" s="3557"/>
      <c r="N322" s="3557"/>
      <c r="O322" s="3557"/>
      <c r="P322" s="3557"/>
      <c r="Q322" s="3558"/>
    </row>
    <row r="323" spans="1:256 1523:1523" ht="13.95" customHeight="1">
      <c r="A323" s="2290" t="s">
        <v>4094</v>
      </c>
      <c r="B323" s="9" t="s">
        <v>2666</v>
      </c>
      <c r="C323" s="9"/>
      <c r="D323" s="9"/>
      <c r="E323" s="9"/>
      <c r="F323" s="9"/>
      <c r="G323" s="9"/>
      <c r="H323" s="2296"/>
      <c r="I323" s="2296"/>
      <c r="J323" s="2296"/>
      <c r="K323" s="2296"/>
      <c r="L323" s="2296"/>
      <c r="M323" s="2296"/>
      <c r="O323" s="131" t="s">
        <v>1867</v>
      </c>
      <c r="P323" s="3559"/>
      <c r="Q323" s="3560"/>
    </row>
    <row r="324" spans="1:256 1523:1523" ht="11.7" customHeight="1">
      <c r="B324" s="144" t="s">
        <v>2252</v>
      </c>
      <c r="P324" s="2671" t="s">
        <v>2992</v>
      </c>
      <c r="Q324" s="534"/>
    </row>
    <row r="325" spans="1:256 1523:1523" ht="12" customHeight="1">
      <c r="B325" s="879" t="s">
        <v>2211</v>
      </c>
      <c r="C325" s="879"/>
      <c r="D325" s="879"/>
      <c r="E325" s="879"/>
      <c r="F325" s="879"/>
      <c r="G325" s="879"/>
      <c r="H325" s="879"/>
      <c r="I325" s="879"/>
      <c r="J325" s="879"/>
      <c r="K325" s="879"/>
      <c r="L325" s="879"/>
      <c r="P325" s="2673" t="s">
        <v>2989</v>
      </c>
      <c r="Q325" s="536"/>
    </row>
    <row r="326" spans="1:256 1523:1523" ht="11.7" customHeight="1">
      <c r="A326" s="141" t="s">
        <v>1983</v>
      </c>
      <c r="B326" s="180" t="s">
        <v>459</v>
      </c>
      <c r="D326" s="897"/>
      <c r="E326" s="897"/>
      <c r="F326" s="897"/>
      <c r="G326" s="897"/>
      <c r="H326" s="897"/>
      <c r="I326" s="897"/>
      <c r="J326" s="897"/>
      <c r="K326" s="897"/>
      <c r="L326" s="897"/>
      <c r="M326" s="897"/>
      <c r="N326" s="160"/>
    </row>
    <row r="327" spans="1:256 1523:1523" ht="22.5" customHeight="1">
      <c r="B327" s="3485" t="s">
        <v>2880</v>
      </c>
      <c r="C327" s="3485"/>
      <c r="D327" s="3485"/>
      <c r="E327" s="3485"/>
      <c r="F327" s="3485"/>
      <c r="G327" s="3485"/>
      <c r="H327" s="3485"/>
      <c r="I327" s="3485"/>
      <c r="J327" s="3485"/>
      <c r="K327" s="3485"/>
      <c r="L327" s="3485"/>
      <c r="M327" s="3485"/>
      <c r="N327" s="3485"/>
      <c r="O327" s="160" t="s">
        <v>1983</v>
      </c>
      <c r="P327" s="2692"/>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540" t="s">
        <v>4918</v>
      </c>
      <c r="H329" s="3541"/>
      <c r="I329" s="3541"/>
      <c r="J329" s="3541"/>
      <c r="K329" s="3541"/>
      <c r="L329" s="3541"/>
      <c r="M329" s="3541"/>
      <c r="N329" s="3542"/>
      <c r="O329" s="216" t="s">
        <v>1737</v>
      </c>
      <c r="P329" s="2683" t="s">
        <v>2989</v>
      </c>
      <c r="Q329" s="1149"/>
      <c r="BFO329" s="147" t="s">
        <v>2727</v>
      </c>
    </row>
    <row r="330" spans="1:256 1523:1523" ht="23.25" customHeight="1">
      <c r="B330" s="879" t="s">
        <v>1738</v>
      </c>
      <c r="C330" s="3485" t="s">
        <v>1132</v>
      </c>
      <c r="D330" s="3485"/>
      <c r="E330" s="3485"/>
      <c r="F330" s="3561"/>
      <c r="G330" s="2957" t="s">
        <v>3761</v>
      </c>
      <c r="H330" s="3543"/>
      <c r="I330" s="3543"/>
      <c r="J330" s="3543"/>
      <c r="K330" s="3543"/>
      <c r="L330" s="3543"/>
      <c r="M330" s="3543"/>
      <c r="N330" s="3544"/>
      <c r="O330" s="216" t="s">
        <v>1738</v>
      </c>
      <c r="P330" s="2684" t="s">
        <v>2989</v>
      </c>
      <c r="Q330" s="2308"/>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582" t="s">
        <v>2672</v>
      </c>
      <c r="C332" s="3582"/>
      <c r="D332" s="3582"/>
      <c r="E332" s="3582"/>
      <c r="F332" s="3582"/>
      <c r="G332" s="3582"/>
      <c r="H332" s="3582"/>
      <c r="I332" s="3582"/>
      <c r="J332" s="3582"/>
      <c r="K332" s="3582"/>
      <c r="L332" s="3582"/>
      <c r="M332" s="3582"/>
      <c r="N332" s="3582"/>
      <c r="O332" s="443" t="s">
        <v>749</v>
      </c>
      <c r="P332" s="2293"/>
      <c r="Q332" s="896"/>
      <c r="AE332" s="466"/>
      <c r="AF332" s="466"/>
    </row>
    <row r="333" spans="1:256 1523:1523" s="132" customFormat="1" ht="11.25" customHeight="1">
      <c r="A333" s="143"/>
      <c r="B333" s="879" t="s">
        <v>1737</v>
      </c>
      <c r="C333" s="3562"/>
      <c r="D333" s="3563"/>
      <c r="E333" s="3563"/>
      <c r="F333" s="3563"/>
      <c r="G333" s="3563"/>
      <c r="H333" s="3563"/>
      <c r="I333" s="3563"/>
      <c r="J333" s="3563"/>
      <c r="K333" s="3563"/>
      <c r="L333" s="3563"/>
      <c r="M333" s="3563"/>
      <c r="N333" s="3564"/>
      <c r="O333" s="216" t="s">
        <v>1737</v>
      </c>
      <c r="P333" s="2683"/>
      <c r="Q333" s="1149"/>
      <c r="AE333" s="466"/>
      <c r="AF333" s="466"/>
    </row>
    <row r="334" spans="1:256 1523:1523" s="132" customFormat="1" ht="11.25" customHeight="1">
      <c r="A334" s="143"/>
      <c r="B334" s="879" t="s">
        <v>1738</v>
      </c>
      <c r="C334" s="3583"/>
      <c r="D334" s="3584"/>
      <c r="E334" s="3584"/>
      <c r="F334" s="3584"/>
      <c r="G334" s="3584"/>
      <c r="H334" s="3584"/>
      <c r="I334" s="3584"/>
      <c r="J334" s="3584"/>
      <c r="K334" s="3584"/>
      <c r="L334" s="3584"/>
      <c r="M334" s="3584"/>
      <c r="N334" s="3585"/>
      <c r="O334" s="216" t="s">
        <v>1738</v>
      </c>
      <c r="P334" s="2684"/>
      <c r="Q334" s="2308"/>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3749</v>
      </c>
      <c r="D336" s="140"/>
      <c r="E336" s="140"/>
      <c r="F336" s="140"/>
      <c r="G336" s="140"/>
      <c r="H336" s="39"/>
      <c r="I336" s="2305"/>
      <c r="J336" s="2305"/>
      <c r="K336" s="2305"/>
      <c r="L336" s="2293"/>
      <c r="M336" s="2293"/>
      <c r="N336" s="2293"/>
      <c r="O336" s="2293"/>
      <c r="P336" s="2293"/>
      <c r="Q336" s="896"/>
    </row>
    <row r="337" spans="1:31" ht="11.7" customHeight="1">
      <c r="A337" s="3530" t="s">
        <v>5254</v>
      </c>
      <c r="B337" s="3531"/>
      <c r="C337" s="3531"/>
      <c r="D337" s="3531"/>
      <c r="E337" s="3531"/>
      <c r="F337" s="3531"/>
      <c r="G337" s="3531"/>
      <c r="H337" s="3531"/>
      <c r="I337" s="3531"/>
      <c r="J337" s="3531"/>
      <c r="K337" s="3531"/>
      <c r="L337" s="3531"/>
      <c r="M337" s="3531"/>
      <c r="N337" s="3531"/>
      <c r="O337" s="3531"/>
      <c r="P337" s="3531"/>
      <c r="Q337" s="3532"/>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6"/>
      <c r="E338" s="2296"/>
      <c r="F338" s="2296"/>
      <c r="G338" s="2296"/>
      <c r="H338" s="2296"/>
      <c r="I338" s="2296"/>
      <c r="J338" s="2296"/>
      <c r="K338" s="2296"/>
      <c r="L338" s="2296"/>
      <c r="M338" s="2296"/>
      <c r="N338" s="2296"/>
      <c r="O338" s="2296"/>
      <c r="P338" s="2296"/>
      <c r="Q338" s="2296"/>
    </row>
    <row r="339" spans="1:31" ht="11.7" customHeight="1">
      <c r="A339" s="3486"/>
      <c r="B339" s="3487"/>
      <c r="C339" s="3487"/>
      <c r="D339" s="3487"/>
      <c r="E339" s="3487"/>
      <c r="F339" s="3487"/>
      <c r="G339" s="3487"/>
      <c r="H339" s="3487"/>
      <c r="I339" s="3487"/>
      <c r="J339" s="3487"/>
      <c r="K339" s="3487"/>
      <c r="L339" s="3487"/>
      <c r="M339" s="3487"/>
      <c r="N339" s="3487"/>
      <c r="O339" s="3487"/>
      <c r="P339" s="3487"/>
      <c r="Q339" s="3488"/>
    </row>
    <row r="340" spans="1:31" ht="13.95" customHeight="1">
      <c r="A340" s="2290" t="s">
        <v>4097</v>
      </c>
      <c r="B340" s="2290" t="s">
        <v>4135</v>
      </c>
      <c r="C340" s="2290"/>
      <c r="D340" s="2296"/>
      <c r="E340" s="2296"/>
      <c r="F340" s="2296"/>
      <c r="G340" s="2296"/>
      <c r="H340" s="2296"/>
      <c r="O340" s="131" t="s">
        <v>1867</v>
      </c>
      <c r="P340" s="3489"/>
      <c r="Q340" s="3490"/>
    </row>
    <row r="341" spans="1:31" ht="11.7" customHeight="1">
      <c r="A341" s="46" t="s">
        <v>1983</v>
      </c>
      <c r="B341" s="54" t="s">
        <v>4992</v>
      </c>
      <c r="O341" s="160" t="s">
        <v>1983</v>
      </c>
      <c r="P341" s="2671" t="s">
        <v>2989</v>
      </c>
      <c r="Q341" s="534"/>
    </row>
    <row r="342" spans="1:31" ht="11.7" customHeight="1">
      <c r="A342" s="141" t="s">
        <v>1985</v>
      </c>
      <c r="B342" s="54" t="s">
        <v>4083</v>
      </c>
      <c r="O342" s="160" t="s">
        <v>1985</v>
      </c>
      <c r="P342" s="2672" t="s">
        <v>2989</v>
      </c>
      <c r="Q342" s="535"/>
    </row>
    <row r="343" spans="1:31" ht="11.7" customHeight="1">
      <c r="A343" s="141" t="s">
        <v>749</v>
      </c>
      <c r="B343" s="144" t="s">
        <v>2350</v>
      </c>
      <c r="O343" s="160" t="s">
        <v>749</v>
      </c>
      <c r="P343" s="2672" t="s">
        <v>2992</v>
      </c>
      <c r="Q343" s="535"/>
    </row>
    <row r="344" spans="1:31" ht="11.7" customHeight="1">
      <c r="A344" s="46" t="s">
        <v>2115</v>
      </c>
      <c r="B344" s="54" t="s">
        <v>3837</v>
      </c>
      <c r="O344" s="463" t="s">
        <v>2115</v>
      </c>
      <c r="P344" s="2673" t="s">
        <v>2992</v>
      </c>
      <c r="Q344" s="536"/>
    </row>
    <row r="345" spans="1:31" ht="11.7" customHeight="1">
      <c r="A345" s="141" t="s">
        <v>1735</v>
      </c>
      <c r="B345" s="54" t="s">
        <v>2883</v>
      </c>
      <c r="N345" s="160" t="s">
        <v>1735</v>
      </c>
      <c r="O345" s="3579" t="s">
        <v>3831</v>
      </c>
      <c r="P345" s="3580"/>
      <c r="Q345" s="3581"/>
    </row>
    <row r="346" spans="1:31" ht="11.7" customHeight="1">
      <c r="A346" s="141" t="s">
        <v>1736</v>
      </c>
      <c r="B346" s="410" t="s">
        <v>2351</v>
      </c>
      <c r="N346" s="160" t="s">
        <v>1736</v>
      </c>
      <c r="O346" s="3537" t="s">
        <v>2884</v>
      </c>
      <c r="P346" s="3538"/>
      <c r="Q346" s="3539"/>
    </row>
    <row r="347" spans="1:31" ht="11.25" customHeight="1">
      <c r="B347" s="140" t="s">
        <v>3749</v>
      </c>
      <c r="D347" s="140"/>
      <c r="E347" s="140"/>
      <c r="F347" s="140"/>
      <c r="G347" s="140"/>
      <c r="H347" s="39"/>
      <c r="I347" s="2305"/>
      <c r="J347" s="2305"/>
      <c r="K347" s="2305"/>
      <c r="L347" s="2293"/>
      <c r="M347" s="2293"/>
      <c r="N347" s="2293"/>
      <c r="O347" s="2293"/>
      <c r="P347" s="2293"/>
      <c r="Q347" s="896"/>
    </row>
    <row r="348" spans="1:31" ht="13.2" customHeight="1">
      <c r="A348" s="3530" t="s">
        <v>5253</v>
      </c>
      <c r="B348" s="3531"/>
      <c r="C348" s="3531"/>
      <c r="D348" s="3531"/>
      <c r="E348" s="3531"/>
      <c r="F348" s="3531"/>
      <c r="G348" s="3531"/>
      <c r="H348" s="3531"/>
      <c r="I348" s="3531"/>
      <c r="J348" s="3531"/>
      <c r="K348" s="3531"/>
      <c r="L348" s="3531"/>
      <c r="M348" s="3531"/>
      <c r="N348" s="3531"/>
      <c r="O348" s="3531"/>
      <c r="P348" s="3531"/>
      <c r="Q348" s="3532"/>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6"/>
      <c r="E349" s="2296"/>
      <c r="F349" s="2296"/>
      <c r="G349" s="2296"/>
      <c r="H349" s="2296"/>
      <c r="I349" s="2296"/>
      <c r="J349" s="2296"/>
      <c r="K349" s="2296"/>
      <c r="L349" s="2296"/>
      <c r="M349" s="2296"/>
      <c r="N349" s="2296"/>
      <c r="O349" s="2296"/>
      <c r="P349" s="2296"/>
      <c r="Q349" s="2296"/>
    </row>
    <row r="350" spans="1:31" ht="13.2" customHeight="1">
      <c r="A350" s="3486"/>
      <c r="B350" s="3487"/>
      <c r="C350" s="3487"/>
      <c r="D350" s="3487"/>
      <c r="E350" s="3487"/>
      <c r="F350" s="3487"/>
      <c r="G350" s="3487"/>
      <c r="H350" s="3487"/>
      <c r="I350" s="3487"/>
      <c r="J350" s="3487"/>
      <c r="K350" s="3487"/>
      <c r="L350" s="3487"/>
      <c r="M350" s="3487"/>
      <c r="N350" s="3487"/>
      <c r="O350" s="3487"/>
      <c r="P350" s="3487"/>
      <c r="Q350" s="3488"/>
    </row>
    <row r="351" spans="1:31" ht="13.95" customHeight="1">
      <c r="A351" s="2290" t="s">
        <v>4098</v>
      </c>
      <c r="B351" s="3" t="s">
        <v>2667</v>
      </c>
      <c r="C351" s="3"/>
      <c r="D351" s="86"/>
      <c r="E351" s="2296"/>
      <c r="F351" s="2296"/>
      <c r="G351" s="2296"/>
      <c r="H351" s="2296"/>
      <c r="I351" s="2296"/>
      <c r="J351" s="2296"/>
      <c r="K351" s="2296"/>
      <c r="L351" s="2296"/>
      <c r="M351" s="2296"/>
      <c r="O351" s="131" t="s">
        <v>1867</v>
      </c>
      <c r="P351" s="3489"/>
      <c r="Q351" s="3490"/>
    </row>
    <row r="352" spans="1:31" ht="12.75" customHeight="1">
      <c r="A352" s="141" t="s">
        <v>1983</v>
      </c>
      <c r="B352" s="139" t="s">
        <v>3654</v>
      </c>
      <c r="D352" s="139"/>
      <c r="E352" s="139"/>
      <c r="F352" s="139"/>
      <c r="G352" s="139"/>
      <c r="H352" s="139"/>
      <c r="I352" s="139"/>
      <c r="J352" s="139"/>
      <c r="K352" s="139"/>
      <c r="L352" s="139"/>
      <c r="M352" s="139"/>
      <c r="N352" s="139"/>
      <c r="O352" s="160" t="s">
        <v>1983</v>
      </c>
      <c r="P352" s="2671" t="s">
        <v>2989</v>
      </c>
      <c r="Q352" s="534"/>
    </row>
    <row r="353" spans="1:32" ht="12.75" customHeight="1">
      <c r="A353" s="141" t="s">
        <v>1985</v>
      </c>
      <c r="B353" s="139" t="s">
        <v>3846</v>
      </c>
      <c r="D353" s="139"/>
      <c r="E353" s="139"/>
      <c r="F353" s="139"/>
      <c r="G353" s="139"/>
      <c r="H353" s="139"/>
      <c r="I353" s="139"/>
      <c r="J353" s="139"/>
      <c r="K353" s="139"/>
      <c r="L353" s="139"/>
      <c r="M353" s="139"/>
      <c r="N353" s="139"/>
      <c r="O353" s="160" t="s">
        <v>1985</v>
      </c>
      <c r="P353" s="2672" t="s">
        <v>2992</v>
      </c>
      <c r="Q353" s="535"/>
    </row>
    <row r="354" spans="1:32" ht="22.5" customHeight="1">
      <c r="A354" s="141" t="s">
        <v>749</v>
      </c>
      <c r="B354" s="3485" t="s">
        <v>4084</v>
      </c>
      <c r="C354" s="3485"/>
      <c r="D354" s="3485"/>
      <c r="E354" s="3485"/>
      <c r="F354" s="3485"/>
      <c r="G354" s="3485"/>
      <c r="H354" s="3485"/>
      <c r="I354" s="3485"/>
      <c r="J354" s="3485"/>
      <c r="K354" s="3485"/>
      <c r="L354" s="3485"/>
      <c r="M354" s="3485"/>
      <c r="N354" s="3485"/>
      <c r="O354" s="160" t="s">
        <v>749</v>
      </c>
      <c r="P354" s="2673" t="s">
        <v>2989</v>
      </c>
      <c r="Q354" s="536"/>
    </row>
    <row r="355" spans="1:32" ht="11.25" customHeight="1">
      <c r="B355" s="140" t="s">
        <v>3749</v>
      </c>
      <c r="D355" s="140"/>
      <c r="E355" s="140"/>
      <c r="F355" s="140"/>
      <c r="G355" s="140"/>
      <c r="H355" s="39"/>
      <c r="I355" s="2305"/>
      <c r="J355" s="2305"/>
      <c r="K355" s="2305"/>
      <c r="L355" s="2293"/>
      <c r="M355" s="2293"/>
      <c r="N355" s="2293"/>
      <c r="O355" s="2293"/>
      <c r="P355" s="2293"/>
      <c r="Q355" s="896"/>
    </row>
    <row r="356" spans="1:32" ht="11.7" customHeight="1">
      <c r="A356" s="3530"/>
      <c r="B356" s="3531"/>
      <c r="C356" s="3531"/>
      <c r="D356" s="3531"/>
      <c r="E356" s="3531"/>
      <c r="F356" s="3531"/>
      <c r="G356" s="3531"/>
      <c r="H356" s="3531"/>
      <c r="I356" s="3531"/>
      <c r="J356" s="3531"/>
      <c r="K356" s="3531"/>
      <c r="L356" s="3531"/>
      <c r="M356" s="3531"/>
      <c r="N356" s="3531"/>
      <c r="O356" s="3531"/>
      <c r="P356" s="3531"/>
      <c r="Q356" s="3532"/>
      <c r="U356" s="135"/>
      <c r="V356" s="135"/>
      <c r="W356" s="135"/>
      <c r="X356" s="135"/>
      <c r="Y356" s="135"/>
      <c r="Z356" s="135"/>
      <c r="AA356" s="135"/>
      <c r="AB356" s="135"/>
      <c r="AC356" s="135"/>
      <c r="AD356" s="135"/>
      <c r="AE356" s="465"/>
    </row>
    <row r="357" spans="1:32" ht="11.25" customHeight="1">
      <c r="B357" s="136" t="s">
        <v>1866</v>
      </c>
      <c r="C357" s="137"/>
      <c r="D357" s="2296"/>
      <c r="E357" s="2296"/>
      <c r="F357" s="2296"/>
      <c r="G357" s="2296"/>
      <c r="H357" s="2296"/>
      <c r="I357" s="2296"/>
      <c r="J357" s="2296"/>
      <c r="K357" s="2296"/>
      <c r="L357" s="2296"/>
      <c r="M357" s="2296"/>
      <c r="N357" s="2296"/>
      <c r="O357" s="2296"/>
      <c r="P357" s="2296"/>
      <c r="Q357" s="2296"/>
    </row>
    <row r="358" spans="1:32" ht="11.7" customHeight="1">
      <c r="A358" s="3486"/>
      <c r="B358" s="3487"/>
      <c r="C358" s="3487"/>
      <c r="D358" s="3487"/>
      <c r="E358" s="3487"/>
      <c r="F358" s="3487"/>
      <c r="G358" s="3487"/>
      <c r="H358" s="3487"/>
      <c r="I358" s="3487"/>
      <c r="J358" s="3487"/>
      <c r="K358" s="3487"/>
      <c r="L358" s="3487"/>
      <c r="M358" s="3487"/>
      <c r="N358" s="3487"/>
      <c r="O358" s="3487"/>
      <c r="P358" s="3487"/>
      <c r="Q358" s="3488"/>
    </row>
    <row r="359" spans="1:32" ht="2.25" customHeight="1">
      <c r="A359" s="2293"/>
      <c r="B359" s="2305"/>
      <c r="C359" s="2296"/>
      <c r="D359" s="2296"/>
      <c r="E359" s="2296"/>
      <c r="F359" s="2296"/>
      <c r="G359" s="2296"/>
      <c r="H359" s="2296"/>
      <c r="I359" s="2296"/>
      <c r="J359" s="2296"/>
      <c r="K359" s="2296"/>
      <c r="L359" s="2296"/>
      <c r="M359" s="2296"/>
      <c r="N359" s="2296"/>
      <c r="O359" s="2296"/>
      <c r="P359" s="2296"/>
      <c r="Q359" s="896"/>
      <c r="R359" s="7"/>
      <c r="S359" s="7"/>
    </row>
    <row r="360" spans="1:32" ht="13.95" customHeight="1">
      <c r="A360" s="2290" t="s">
        <v>4101</v>
      </c>
      <c r="B360" s="3" t="s">
        <v>4074</v>
      </c>
      <c r="C360" s="3"/>
      <c r="D360" s="3"/>
      <c r="E360" s="3"/>
      <c r="F360" s="3"/>
      <c r="G360" s="3"/>
      <c r="H360" s="2296"/>
      <c r="I360" s="2296"/>
      <c r="J360" s="2296"/>
      <c r="K360" s="2296"/>
      <c r="L360" s="2296"/>
      <c r="M360" s="2296"/>
      <c r="O360" s="131" t="s">
        <v>1867</v>
      </c>
      <c r="P360" s="3717"/>
      <c r="Q360" s="3490"/>
    </row>
    <row r="361" spans="1:32" ht="10.5" customHeight="1">
      <c r="A361" s="46" t="s">
        <v>1983</v>
      </c>
      <c r="B361" s="134" t="s">
        <v>4075</v>
      </c>
      <c r="D361" s="149"/>
      <c r="E361" s="149"/>
      <c r="F361" s="149"/>
      <c r="G361" s="149"/>
      <c r="H361" s="463" t="s">
        <v>1983</v>
      </c>
      <c r="I361" s="3516"/>
      <c r="J361" s="3517"/>
      <c r="K361" s="3517"/>
      <c r="L361" s="3517"/>
      <c r="M361" s="3517"/>
      <c r="N361" s="3517"/>
      <c r="O361" s="3517"/>
      <c r="P361" s="3518"/>
      <c r="Q361" s="532"/>
    </row>
    <row r="362" spans="1:32" ht="10.5" customHeight="1">
      <c r="A362" s="141" t="s">
        <v>1985</v>
      </c>
      <c r="B362" s="134" t="s">
        <v>4076</v>
      </c>
      <c r="D362" s="149"/>
      <c r="E362" s="149"/>
      <c r="F362" s="149"/>
      <c r="G362" s="149"/>
      <c r="H362" s="160" t="s">
        <v>1985</v>
      </c>
      <c r="I362" s="3516"/>
      <c r="J362" s="3517"/>
      <c r="K362" s="3517"/>
      <c r="L362" s="3517"/>
      <c r="M362" s="3517"/>
      <c r="N362" s="3517"/>
      <c r="O362" s="3517"/>
      <c r="P362" s="3518"/>
      <c r="Q362" s="532"/>
    </row>
    <row r="363" spans="1:32" ht="21.75" customHeight="1">
      <c r="A363" s="141" t="s">
        <v>749</v>
      </c>
      <c r="B363" s="3565" t="s">
        <v>4066</v>
      </c>
      <c r="C363" s="3565"/>
      <c r="D363" s="3565"/>
      <c r="E363" s="3565"/>
      <c r="F363" s="3565"/>
      <c r="G363" s="3565"/>
      <c r="H363" s="3565"/>
      <c r="I363" s="3565"/>
      <c r="J363" s="3565"/>
      <c r="K363" s="3565"/>
      <c r="L363" s="3565"/>
      <c r="M363" s="3565"/>
      <c r="N363" s="3565"/>
      <c r="O363" s="160" t="s">
        <v>749</v>
      </c>
      <c r="P363" s="2693"/>
      <c r="Q363" s="1149"/>
    </row>
    <row r="364" spans="1:32" ht="21.75" customHeight="1">
      <c r="A364" s="141" t="s">
        <v>2115</v>
      </c>
      <c r="B364" s="3485" t="s">
        <v>4067</v>
      </c>
      <c r="C364" s="3485"/>
      <c r="D364" s="3485"/>
      <c r="E364" s="3485"/>
      <c r="F364" s="3485"/>
      <c r="G364" s="3485"/>
      <c r="H364" s="3485"/>
      <c r="I364" s="3485"/>
      <c r="J364" s="3485"/>
      <c r="K364" s="3485"/>
      <c r="L364" s="3485"/>
      <c r="M364" s="3485"/>
      <c r="N364" s="3485"/>
      <c r="O364" s="463" t="s">
        <v>2115</v>
      </c>
      <c r="P364" s="2681"/>
      <c r="Q364" s="2299"/>
    </row>
    <row r="365" spans="1:32" ht="10.5" customHeight="1">
      <c r="A365" s="141" t="s">
        <v>1735</v>
      </c>
      <c r="B365" s="51" t="s">
        <v>4068</v>
      </c>
      <c r="D365" s="51"/>
      <c r="E365" s="51"/>
      <c r="F365" s="51"/>
      <c r="G365" s="51"/>
      <c r="H365" s="51"/>
      <c r="I365" s="51"/>
      <c r="J365" s="51"/>
      <c r="K365" s="51"/>
      <c r="L365" s="51"/>
      <c r="M365" s="51"/>
      <c r="O365" s="160" t="s">
        <v>1735</v>
      </c>
      <c r="P365" s="2672"/>
      <c r="Q365" s="535"/>
    </row>
    <row r="366" spans="1:32" s="132" customFormat="1" ht="21.75" customHeight="1">
      <c r="A366" s="141" t="s">
        <v>1736</v>
      </c>
      <c r="B366" s="3485" t="s">
        <v>4069</v>
      </c>
      <c r="C366" s="3485"/>
      <c r="D366" s="3485"/>
      <c r="E366" s="3485"/>
      <c r="F366" s="3485"/>
      <c r="G366" s="3485"/>
      <c r="H366" s="3485"/>
      <c r="I366" s="3485"/>
      <c r="J366" s="3485"/>
      <c r="K366" s="3485"/>
      <c r="L366" s="3485"/>
      <c r="M366" s="3485"/>
      <c r="N366" s="3485"/>
      <c r="O366" s="160" t="s">
        <v>1736</v>
      </c>
      <c r="P366" s="2694"/>
      <c r="Q366" s="880"/>
      <c r="AE366" s="466"/>
      <c r="AF366" s="466"/>
    </row>
    <row r="367" spans="1:32" s="132" customFormat="1" ht="10.5" customHeight="1">
      <c r="A367" s="141" t="s">
        <v>1947</v>
      </c>
      <c r="B367" s="139" t="s">
        <v>4070</v>
      </c>
      <c r="D367" s="898"/>
      <c r="E367" s="898"/>
      <c r="F367" s="898"/>
      <c r="G367" s="898"/>
      <c r="H367" s="898"/>
      <c r="I367" s="898"/>
      <c r="J367" s="898"/>
      <c r="K367" s="898"/>
      <c r="L367" s="898"/>
      <c r="M367" s="898"/>
      <c r="N367" s="898"/>
      <c r="O367" s="160" t="s">
        <v>1947</v>
      </c>
      <c r="P367" s="2683"/>
      <c r="Q367" s="1149"/>
      <c r="AE367" s="466"/>
      <c r="AF367" s="466"/>
    </row>
    <row r="368" spans="1:32" s="132" customFormat="1" ht="10.5" customHeight="1">
      <c r="C368" s="879" t="s">
        <v>4991</v>
      </c>
      <c r="E368" s="2296"/>
      <c r="F368" s="2296"/>
      <c r="G368" s="2296"/>
      <c r="H368" s="2296"/>
      <c r="I368" s="2296"/>
      <c r="J368" s="2296"/>
      <c r="K368" s="2296"/>
      <c r="L368" s="2296"/>
      <c r="M368" s="2296"/>
      <c r="N368" s="2296"/>
      <c r="P368" s="2684"/>
      <c r="Q368" s="2308"/>
      <c r="AE368" s="466"/>
      <c r="AF368" s="466"/>
    </row>
    <row r="369" spans="1:32" ht="21.75" customHeight="1">
      <c r="A369" s="141" t="s">
        <v>3369</v>
      </c>
      <c r="B369" s="3485" t="s">
        <v>4071</v>
      </c>
      <c r="C369" s="3485"/>
      <c r="D369" s="3485"/>
      <c r="E369" s="3485"/>
      <c r="F369" s="3485"/>
      <c r="G369" s="3485"/>
      <c r="H369" s="3485"/>
      <c r="I369" s="3485"/>
      <c r="J369" s="3485"/>
      <c r="K369" s="3485"/>
      <c r="L369" s="3485"/>
      <c r="M369" s="3485"/>
      <c r="N369" s="3485"/>
      <c r="O369" s="160" t="s">
        <v>3369</v>
      </c>
      <c r="P369" s="2683"/>
      <c r="Q369" s="1149"/>
    </row>
    <row r="370" spans="1:32" ht="33" customHeight="1">
      <c r="A370" s="141" t="s">
        <v>616</v>
      </c>
      <c r="B370" s="3485" t="s">
        <v>4072</v>
      </c>
      <c r="C370" s="3485"/>
      <c r="D370" s="3485"/>
      <c r="E370" s="3485"/>
      <c r="F370" s="3485"/>
      <c r="G370" s="3485"/>
      <c r="H370" s="3485"/>
      <c r="I370" s="3485"/>
      <c r="J370" s="3485"/>
      <c r="K370" s="3485"/>
      <c r="L370" s="3485"/>
      <c r="M370" s="3485"/>
      <c r="N370" s="3485"/>
      <c r="O370" s="160" t="s">
        <v>616</v>
      </c>
      <c r="P370" s="2684"/>
      <c r="Q370" s="2308"/>
    </row>
    <row r="371" spans="1:32" ht="10.5" customHeight="1">
      <c r="B371" s="140" t="s">
        <v>3749</v>
      </c>
      <c r="D371" s="140"/>
      <c r="E371" s="140"/>
      <c r="F371" s="140"/>
      <c r="G371" s="140"/>
      <c r="H371" s="39"/>
      <c r="I371" s="2305"/>
      <c r="J371" s="2305"/>
      <c r="K371" s="2305"/>
      <c r="L371" s="2293"/>
      <c r="M371" s="2293"/>
      <c r="N371" s="2293"/>
      <c r="O371" s="2293"/>
      <c r="P371" s="2293"/>
      <c r="Q371" s="896"/>
    </row>
    <row r="372" spans="1:32" ht="31.5" customHeight="1">
      <c r="A372" s="3530" t="s">
        <v>5224</v>
      </c>
      <c r="B372" s="3531"/>
      <c r="C372" s="3531"/>
      <c r="D372" s="3531"/>
      <c r="E372" s="3531"/>
      <c r="F372" s="3531"/>
      <c r="G372" s="3531"/>
      <c r="H372" s="3531"/>
      <c r="I372" s="3531"/>
      <c r="J372" s="3531"/>
      <c r="K372" s="3531"/>
      <c r="L372" s="3531"/>
      <c r="M372" s="3531"/>
      <c r="N372" s="3531"/>
      <c r="O372" s="3531"/>
      <c r="P372" s="3531"/>
      <c r="Q372" s="3532"/>
      <c r="U372" s="135"/>
      <c r="V372" s="135"/>
      <c r="W372" s="135"/>
      <c r="X372" s="135"/>
      <c r="Y372" s="135"/>
      <c r="Z372" s="135"/>
      <c r="AA372" s="135"/>
      <c r="AB372" s="135"/>
      <c r="AC372" s="135"/>
      <c r="AD372" s="135"/>
      <c r="AE372" s="465"/>
    </row>
    <row r="373" spans="1:32" ht="10.5" customHeight="1">
      <c r="B373" s="136" t="s">
        <v>1866</v>
      </c>
      <c r="C373" s="137"/>
      <c r="D373" s="2296"/>
      <c r="E373" s="2296"/>
      <c r="F373" s="2296"/>
      <c r="G373" s="2296"/>
      <c r="H373" s="2296"/>
      <c r="I373" s="2296"/>
      <c r="J373" s="2296"/>
      <c r="K373" s="2296"/>
      <c r="L373" s="2296"/>
      <c r="M373" s="2296"/>
      <c r="N373" s="2296"/>
      <c r="O373" s="2296"/>
      <c r="P373" s="2296"/>
      <c r="Q373" s="2296"/>
    </row>
    <row r="374" spans="1:32" ht="23.25" customHeight="1">
      <c r="A374" s="3486"/>
      <c r="B374" s="3487"/>
      <c r="C374" s="3487"/>
      <c r="D374" s="3487"/>
      <c r="E374" s="3487"/>
      <c r="F374" s="3487"/>
      <c r="G374" s="3487"/>
      <c r="H374" s="3487"/>
      <c r="I374" s="3487"/>
      <c r="J374" s="3487"/>
      <c r="K374" s="3487"/>
      <c r="L374" s="3487"/>
      <c r="M374" s="3487"/>
      <c r="N374" s="3487"/>
      <c r="O374" s="3487"/>
      <c r="P374" s="3487"/>
      <c r="Q374" s="3488"/>
    </row>
    <row r="375" spans="1:32" ht="3" customHeight="1">
      <c r="A375" s="2293"/>
      <c r="B375" s="2305"/>
      <c r="C375" s="2296"/>
      <c r="D375" s="2296"/>
      <c r="E375" s="2296"/>
      <c r="F375" s="2296"/>
      <c r="G375" s="2296"/>
      <c r="H375" s="2296"/>
      <c r="I375" s="2296"/>
      <c r="J375" s="2296"/>
      <c r="K375" s="2296"/>
      <c r="L375" s="2296"/>
      <c r="M375" s="2296"/>
      <c r="Q375" s="896"/>
    </row>
    <row r="376" spans="1:32" ht="13.95" customHeight="1">
      <c r="A376" s="2290" t="s">
        <v>4102</v>
      </c>
      <c r="B376" s="3" t="s">
        <v>3908</v>
      </c>
      <c r="C376" s="3"/>
      <c r="D376" s="3"/>
      <c r="E376" s="3"/>
      <c r="F376" s="3"/>
      <c r="G376" s="3"/>
      <c r="H376" s="2296"/>
      <c r="I376" s="2296"/>
      <c r="J376" s="2296"/>
      <c r="O376" s="131" t="s">
        <v>1867</v>
      </c>
      <c r="P376" s="3489"/>
      <c r="Q376" s="3490"/>
    </row>
    <row r="377" spans="1:32" s="41" customFormat="1" ht="10.5" customHeight="1">
      <c r="A377" s="46" t="s">
        <v>1983</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27" t="s">
        <v>4917</v>
      </c>
      <c r="D378" s="3727"/>
      <c r="E378" s="3727"/>
      <c r="F378" s="3727"/>
      <c r="G378" s="49"/>
      <c r="H378" s="35" t="s">
        <v>617</v>
      </c>
      <c r="J378" s="3513"/>
      <c r="K378" s="3514"/>
      <c r="L378" s="3514"/>
      <c r="M378" s="3515"/>
      <c r="N378" s="3497" t="s">
        <v>3909</v>
      </c>
      <c r="O378" s="3498"/>
      <c r="P378" s="3499"/>
      <c r="Q378" s="3500"/>
      <c r="AE378" s="49"/>
      <c r="AF378" s="49"/>
    </row>
    <row r="379" spans="1:32" s="41" customFormat="1" ht="11.25" customHeight="1">
      <c r="A379" s="46"/>
      <c r="B379" s="39"/>
      <c r="C379" s="2311"/>
      <c r="D379" s="2311"/>
      <c r="E379" s="2311"/>
      <c r="F379" s="2311"/>
      <c r="G379" s="2311"/>
      <c r="H379" s="39" t="s">
        <v>4910</v>
      </c>
      <c r="I379" s="2311"/>
      <c r="J379" s="3516"/>
      <c r="K379" s="3517"/>
      <c r="L379" s="3517"/>
      <c r="M379" s="3517"/>
      <c r="N379" s="3517"/>
      <c r="O379" s="3517"/>
      <c r="P379" s="3517"/>
      <c r="Q379" s="3518"/>
      <c r="AE379" s="49"/>
      <c r="AF379" s="49"/>
    </row>
    <row r="380" spans="1:32" s="41" customFormat="1" ht="11.25" customHeight="1">
      <c r="B380" s="39" t="s">
        <v>1738</v>
      </c>
      <c r="C380" s="51" t="s">
        <v>3911</v>
      </c>
      <c r="J380" s="3503"/>
      <c r="K380" s="3504"/>
      <c r="O380" s="463"/>
      <c r="AE380" s="49"/>
      <c r="AF380" s="49"/>
    </row>
    <row r="381" spans="1:32" s="41" customFormat="1" ht="11.25" customHeight="1">
      <c r="A381" s="46"/>
      <c r="B381" s="39" t="s">
        <v>1739</v>
      </c>
      <c r="C381" s="51" t="s">
        <v>3912</v>
      </c>
      <c r="D381" s="45"/>
      <c r="E381" s="133"/>
      <c r="I381" s="133"/>
      <c r="J381" s="3519" t="str">
        <f>'Part I-Project Information'!K40</f>
        <v>Urban</v>
      </c>
      <c r="K381" s="3520"/>
      <c r="L381" s="2301" t="s">
        <v>3913</v>
      </c>
      <c r="M381" s="133"/>
      <c r="N381" s="133"/>
      <c r="O381" s="463" t="s">
        <v>1739</v>
      </c>
      <c r="P381" s="2674"/>
      <c r="Q381" s="533"/>
      <c r="AE381" s="49"/>
      <c r="AF381" s="49"/>
    </row>
    <row r="382" spans="1:32" s="41" customFormat="1" ht="11.25" customHeight="1">
      <c r="A382" s="46"/>
      <c r="B382" s="39" t="s">
        <v>2365</v>
      </c>
      <c r="C382" s="51" t="s">
        <v>4906</v>
      </c>
      <c r="E382" s="133"/>
      <c r="F382" s="133"/>
      <c r="G382" s="133"/>
      <c r="H382" s="51" t="s">
        <v>4907</v>
      </c>
      <c r="I382" s="133"/>
      <c r="J382" s="3501"/>
      <c r="K382" s="3502"/>
      <c r="L382" s="3525"/>
      <c r="M382" s="3526"/>
      <c r="O382" s="463"/>
      <c r="AE382" s="49"/>
      <c r="AF382" s="49"/>
    </row>
    <row r="383" spans="1:32" s="41" customFormat="1" ht="11.25" customHeight="1">
      <c r="A383" s="46"/>
      <c r="B383" s="39"/>
      <c r="C383" s="51"/>
      <c r="E383" s="133"/>
      <c r="F383" s="133"/>
      <c r="G383" s="133"/>
      <c r="H383" s="51" t="s">
        <v>4908</v>
      </c>
      <c r="I383" s="133"/>
      <c r="J383" s="3509"/>
      <c r="K383" s="3510"/>
      <c r="L383" s="3511"/>
      <c r="M383" s="3512"/>
      <c r="N383" s="51"/>
      <c r="O383" s="463"/>
      <c r="AE383" s="49"/>
      <c r="AF383" s="49"/>
    </row>
    <row r="384" spans="1:32" s="41" customFormat="1" ht="11.25" customHeight="1">
      <c r="A384" s="46"/>
      <c r="B384" s="39" t="s">
        <v>1549</v>
      </c>
      <c r="C384" s="51" t="s">
        <v>3915</v>
      </c>
      <c r="E384" s="51"/>
      <c r="F384" s="3505">
        <f>'Part IV-A-Uses of Funds'!J173</f>
        <v>1000000</v>
      </c>
      <c r="G384" s="3506"/>
      <c r="H384" s="51" t="s">
        <v>3916</v>
      </c>
      <c r="I384" s="51"/>
      <c r="J384" s="2128" t="str">
        <f>IF(F384&gt;'DCA Underwriting Assumptions'!$Q$131, "Request exceeds DCA per project maximum for set aside!!!","")</f>
        <v>Request exceeds DCA per project maximum for set aside!!!</v>
      </c>
      <c r="K384" s="897"/>
      <c r="L384" s="51"/>
      <c r="O384" s="463" t="s">
        <v>1549</v>
      </c>
      <c r="P384" s="2674"/>
      <c r="Q384" s="533"/>
      <c r="AE384" s="49"/>
      <c r="AF384" s="49"/>
    </row>
    <row r="385" spans="1:32" s="41" customFormat="1" ht="11.25" customHeight="1">
      <c r="A385" s="46"/>
      <c r="B385" s="39" t="s">
        <v>1550</v>
      </c>
      <c r="C385" s="51" t="s">
        <v>3918</v>
      </c>
      <c r="E385" s="51"/>
      <c r="F385" s="51"/>
      <c r="G385" s="51"/>
      <c r="H385" s="51" t="s">
        <v>4909</v>
      </c>
      <c r="I385" s="51"/>
      <c r="J385" s="3521"/>
      <c r="K385" s="3522"/>
      <c r="L385" s="3523"/>
      <c r="M385" s="3524"/>
      <c r="AE385" s="49"/>
      <c r="AF385" s="49"/>
    </row>
    <row r="386" spans="1:32" s="41" customFormat="1" ht="11.25" customHeight="1">
      <c r="B386" s="39" t="s">
        <v>98</v>
      </c>
      <c r="C386" s="51" t="s">
        <v>3920</v>
      </c>
      <c r="E386" s="133"/>
      <c r="F386" s="133"/>
      <c r="G386" s="133"/>
      <c r="H386" s="133"/>
      <c r="I386" s="133"/>
      <c r="J386" s="133"/>
      <c r="K386" s="133"/>
      <c r="L386" s="133"/>
      <c r="O386" s="463" t="s">
        <v>98</v>
      </c>
      <c r="P386" s="2674"/>
      <c r="Q386" s="533"/>
      <c r="AE386" s="49"/>
      <c r="AF386" s="49"/>
    </row>
    <row r="387" spans="1:32" s="41" customFormat="1" ht="11.25" customHeight="1">
      <c r="A387" s="46" t="s">
        <v>1985</v>
      </c>
      <c r="B387" s="615" t="s">
        <v>3921</v>
      </c>
      <c r="D387" s="133"/>
      <c r="E387" s="133"/>
      <c r="F387" s="133"/>
      <c r="G387" s="133"/>
      <c r="H387" s="133"/>
      <c r="P387" s="133"/>
      <c r="Q387" s="133"/>
      <c r="R387" s="133"/>
      <c r="AE387" s="49"/>
      <c r="AF387" s="49"/>
    </row>
    <row r="388" spans="1:32" s="41" customFormat="1" ht="11.25" customHeight="1">
      <c r="B388" s="39" t="s">
        <v>1737</v>
      </c>
      <c r="C388" s="897" t="s">
        <v>4963</v>
      </c>
      <c r="E388" s="2301"/>
      <c r="F388" s="2301"/>
      <c r="G388" s="2301"/>
      <c r="H388" s="2301"/>
      <c r="P388" s="2674"/>
      <c r="Q388" s="533"/>
      <c r="AE388" s="49"/>
      <c r="AF388" s="49"/>
    </row>
    <row r="389" spans="1:32" s="41" customFormat="1" ht="11.25" customHeight="1">
      <c r="B389" s="39"/>
      <c r="C389" s="897"/>
      <c r="E389" s="2301"/>
      <c r="F389" s="2301"/>
      <c r="G389" s="2301"/>
      <c r="H389" s="2301"/>
      <c r="J389" s="3726" t="s">
        <v>3926</v>
      </c>
      <c r="K389" s="3726"/>
      <c r="L389" s="3726"/>
      <c r="M389" s="3726"/>
      <c r="N389" s="3491" t="s">
        <v>3923</v>
      </c>
      <c r="O389" s="3491"/>
      <c r="AE389" s="49"/>
      <c r="AF389" s="49"/>
    </row>
    <row r="390" spans="1:32" s="41" customFormat="1" ht="11.25" customHeight="1">
      <c r="A390" s="2146"/>
      <c r="B390" s="39" t="s">
        <v>1738</v>
      </c>
      <c r="C390" s="897" t="s">
        <v>3922</v>
      </c>
      <c r="E390" s="133"/>
      <c r="F390" s="133"/>
      <c r="G390" s="133"/>
      <c r="H390" s="133"/>
      <c r="I390" s="463" t="s">
        <v>1738</v>
      </c>
      <c r="J390" s="3507"/>
      <c r="K390" s="3508"/>
      <c r="L390" s="3715"/>
      <c r="M390" s="3716"/>
      <c r="N390" s="1105" t="str">
        <f>IF(J390="","",J382/J390)</f>
        <v/>
      </c>
      <c r="O390" s="1106" t="str">
        <f>IF(L390="","",L382/L390)</f>
        <v/>
      </c>
      <c r="P390" s="2695"/>
      <c r="Q390" s="2147"/>
      <c r="AE390" s="49"/>
      <c r="AF390" s="49"/>
    </row>
    <row r="391" spans="1:32" s="41" customFormat="1" ht="11.25" customHeight="1">
      <c r="A391" s="2146"/>
      <c r="B391" s="39" t="s">
        <v>1739</v>
      </c>
      <c r="C391" s="51" t="s">
        <v>3925</v>
      </c>
      <c r="E391" s="133"/>
      <c r="F391" s="133"/>
      <c r="G391" s="133"/>
      <c r="H391" s="133"/>
      <c r="N391" s="133"/>
      <c r="O391" s="463" t="s">
        <v>1739</v>
      </c>
      <c r="P391" s="2696"/>
      <c r="Q391" s="1310"/>
      <c r="AE391" s="49"/>
      <c r="AF391" s="49"/>
    </row>
    <row r="392" spans="1:32" s="41" customFormat="1" ht="11.25" customHeight="1">
      <c r="B392" s="39" t="s">
        <v>2365</v>
      </c>
      <c r="C392" s="51" t="s">
        <v>3927</v>
      </c>
      <c r="E392" s="133"/>
      <c r="F392" s="133"/>
      <c r="G392" s="133"/>
      <c r="H392" s="133"/>
      <c r="M392" s="133"/>
      <c r="N392" s="133"/>
      <c r="O392" s="463" t="s">
        <v>2365</v>
      </c>
      <c r="P392" s="2673"/>
      <c r="Q392" s="536"/>
      <c r="AE392" s="49"/>
      <c r="AF392" s="49"/>
    </row>
    <row r="393" spans="1:32" ht="10.5" customHeight="1">
      <c r="B393" s="140" t="s">
        <v>3749</v>
      </c>
      <c r="D393" s="140"/>
      <c r="E393" s="140"/>
      <c r="F393" s="140"/>
      <c r="G393" s="140"/>
      <c r="H393" s="39"/>
      <c r="I393" s="2305"/>
      <c r="J393" s="2305"/>
      <c r="K393" s="2305"/>
      <c r="L393" s="2293"/>
      <c r="M393" s="2293"/>
      <c r="N393" s="2293"/>
      <c r="O393" s="2293"/>
      <c r="P393" s="2293"/>
      <c r="Q393" s="896"/>
    </row>
    <row r="394" spans="1:32" ht="31.5" customHeight="1">
      <c r="A394" s="3530" t="s">
        <v>970</v>
      </c>
      <c r="B394" s="3531"/>
      <c r="C394" s="3531"/>
      <c r="D394" s="3531"/>
      <c r="E394" s="3531"/>
      <c r="F394" s="3531"/>
      <c r="G394" s="3531"/>
      <c r="H394" s="3531"/>
      <c r="I394" s="3531"/>
      <c r="J394" s="3531"/>
      <c r="K394" s="3531"/>
      <c r="L394" s="3531"/>
      <c r="M394" s="3531"/>
      <c r="N394" s="3531"/>
      <c r="O394" s="3531"/>
      <c r="P394" s="3531"/>
      <c r="Q394" s="3532"/>
      <c r="U394" s="135"/>
      <c r="V394" s="135"/>
      <c r="W394" s="135"/>
      <c r="X394" s="135"/>
      <c r="Y394" s="135"/>
      <c r="Z394" s="135"/>
      <c r="AA394" s="135"/>
      <c r="AB394" s="135"/>
      <c r="AC394" s="135"/>
      <c r="AD394" s="135"/>
      <c r="AE394" s="465"/>
    </row>
    <row r="395" spans="1:32" ht="11.25" customHeight="1">
      <c r="B395" s="136" t="s">
        <v>1866</v>
      </c>
      <c r="C395" s="137"/>
      <c r="D395" s="2296"/>
      <c r="E395" s="2296"/>
      <c r="F395" s="2296"/>
      <c r="G395" s="2296"/>
      <c r="H395" s="2296"/>
      <c r="I395" s="2296"/>
      <c r="J395" s="2296"/>
      <c r="K395" s="2296"/>
      <c r="L395" s="2296"/>
      <c r="M395" s="2296"/>
      <c r="N395" s="2296"/>
      <c r="O395" s="2296"/>
      <c r="P395" s="2296"/>
      <c r="Q395" s="2296"/>
    </row>
    <row r="396" spans="1:32" ht="23.25" customHeight="1">
      <c r="A396" s="3486"/>
      <c r="B396" s="3487"/>
      <c r="C396" s="3487"/>
      <c r="D396" s="3487"/>
      <c r="E396" s="3487"/>
      <c r="F396" s="3487"/>
      <c r="G396" s="3487"/>
      <c r="H396" s="3487"/>
      <c r="I396" s="3487"/>
      <c r="J396" s="3487"/>
      <c r="K396" s="3487"/>
      <c r="L396" s="3487"/>
      <c r="M396" s="3487"/>
      <c r="N396" s="3487"/>
      <c r="O396" s="3487"/>
      <c r="P396" s="3487"/>
      <c r="Q396" s="3488"/>
    </row>
    <row r="397" spans="1:32" ht="3.6" customHeight="1">
      <c r="A397" s="2293"/>
      <c r="B397" s="2305"/>
      <c r="C397" s="2296"/>
      <c r="D397" s="2296"/>
      <c r="E397" s="2296"/>
      <c r="F397" s="2296"/>
      <c r="G397" s="2296"/>
      <c r="H397" s="2296"/>
      <c r="I397" s="2296"/>
      <c r="J397" s="2296"/>
      <c r="K397" s="2296"/>
      <c r="L397" s="2296"/>
      <c r="M397" s="2296"/>
      <c r="Q397" s="896"/>
    </row>
    <row r="398" spans="1:32" ht="3" customHeight="1">
      <c r="A398" s="2293"/>
      <c r="B398" s="2305"/>
      <c r="C398" s="2296"/>
      <c r="D398" s="2296"/>
      <c r="E398" s="2296"/>
      <c r="F398" s="2296"/>
      <c r="G398" s="2296"/>
      <c r="H398" s="2296"/>
      <c r="I398" s="2296"/>
      <c r="J398" s="2296"/>
      <c r="K398" s="2296"/>
      <c r="L398" s="2296"/>
      <c r="M398" s="2296"/>
      <c r="Q398" s="896"/>
    </row>
    <row r="399" spans="1:32" ht="13.95" customHeight="1">
      <c r="A399" s="2290" t="s">
        <v>4103</v>
      </c>
      <c r="B399" s="3" t="s">
        <v>2684</v>
      </c>
      <c r="C399" s="3"/>
      <c r="D399" s="3"/>
      <c r="E399" s="3"/>
      <c r="F399" s="3"/>
      <c r="G399" s="3"/>
      <c r="H399" s="2296"/>
      <c r="I399" s="2296"/>
      <c r="J399" s="2296"/>
      <c r="O399" s="131" t="s">
        <v>1867</v>
      </c>
      <c r="P399" s="3489"/>
      <c r="Q399" s="3490"/>
    </row>
    <row r="400" spans="1:32" ht="11.7" customHeight="1">
      <c r="A400" s="46" t="s">
        <v>1983</v>
      </c>
      <c r="B400" s="117" t="s">
        <v>1034</v>
      </c>
      <c r="E400" s="3705"/>
      <c r="F400" s="3706"/>
      <c r="G400" s="3706"/>
      <c r="H400" s="3706"/>
      <c r="I400" s="3707"/>
      <c r="J400" s="3708" t="s">
        <v>2671</v>
      </c>
      <c r="K400" s="3709"/>
      <c r="L400" s="3498"/>
      <c r="M400" s="3705"/>
      <c r="N400" s="3706"/>
      <c r="O400" s="3706"/>
      <c r="P400" s="3706"/>
      <c r="Q400" s="3707"/>
    </row>
    <row r="401" spans="1:31" ht="11.7" customHeight="1">
      <c r="A401" s="46" t="s">
        <v>1985</v>
      </c>
      <c r="B401" s="51" t="s">
        <v>3463</v>
      </c>
      <c r="D401" s="51"/>
      <c r="E401" s="51"/>
      <c r="F401" s="51"/>
      <c r="G401" s="51"/>
      <c r="H401" s="51"/>
      <c r="I401" s="51"/>
      <c r="J401" s="51"/>
      <c r="K401" s="51"/>
      <c r="L401" s="897"/>
      <c r="M401" s="897"/>
      <c r="O401" s="463" t="s">
        <v>1985</v>
      </c>
      <c r="P401" s="2671"/>
      <c r="Q401" s="534"/>
    </row>
    <row r="402" spans="1:31" ht="22.5" customHeight="1">
      <c r="A402" s="141" t="s">
        <v>749</v>
      </c>
      <c r="B402" s="3485" t="s">
        <v>3473</v>
      </c>
      <c r="C402" s="3485"/>
      <c r="D402" s="3485"/>
      <c r="E402" s="3485"/>
      <c r="F402" s="3485"/>
      <c r="G402" s="3485"/>
      <c r="H402" s="3485"/>
      <c r="I402" s="3485"/>
      <c r="J402" s="3485"/>
      <c r="K402" s="3485"/>
      <c r="L402" s="3485"/>
      <c r="M402" s="3485"/>
      <c r="N402" s="3485"/>
      <c r="O402" s="160" t="s">
        <v>749</v>
      </c>
      <c r="P402" s="2681"/>
      <c r="Q402" s="2299"/>
    </row>
    <row r="403" spans="1:31">
      <c r="A403" s="46" t="s">
        <v>2115</v>
      </c>
      <c r="B403" s="54" t="s">
        <v>3695</v>
      </c>
      <c r="G403" s="2301"/>
      <c r="H403" s="2301"/>
      <c r="I403" s="2301"/>
      <c r="J403" s="897" t="s">
        <v>3696</v>
      </c>
      <c r="L403" s="2301"/>
      <c r="M403" s="3528">
        <f>'Part III-Sources of Funds'!H5</f>
        <v>0</v>
      </c>
      <c r="N403" s="3529"/>
      <c r="O403" s="463" t="s">
        <v>2115</v>
      </c>
      <c r="P403" s="2673"/>
      <c r="Q403" s="536"/>
    </row>
    <row r="404" spans="1:31" ht="11.25" customHeight="1">
      <c r="B404" s="140" t="s">
        <v>3749</v>
      </c>
      <c r="D404" s="140"/>
      <c r="E404" s="140"/>
      <c r="F404" s="140"/>
      <c r="G404" s="140"/>
      <c r="H404" s="39"/>
      <c r="I404" s="2305"/>
      <c r="J404" s="2305"/>
      <c r="K404" s="2305"/>
      <c r="L404" s="2293"/>
      <c r="M404" s="2293"/>
      <c r="N404" s="2293"/>
      <c r="O404" s="2293"/>
      <c r="P404" s="2293"/>
      <c r="Q404" s="896"/>
    </row>
    <row r="405" spans="1:31" ht="11.7" customHeight="1">
      <c r="A405" s="3530" t="s">
        <v>5223</v>
      </c>
      <c r="B405" s="3531"/>
      <c r="C405" s="3531"/>
      <c r="D405" s="3531"/>
      <c r="E405" s="3531"/>
      <c r="F405" s="3531"/>
      <c r="G405" s="3531"/>
      <c r="H405" s="3531"/>
      <c r="I405" s="3531"/>
      <c r="J405" s="3531"/>
      <c r="K405" s="3531"/>
      <c r="L405" s="3531"/>
      <c r="M405" s="3531"/>
      <c r="N405" s="3531"/>
      <c r="O405" s="3531"/>
      <c r="P405" s="3531"/>
      <c r="Q405" s="3532"/>
      <c r="U405" s="135"/>
      <c r="V405" s="135"/>
      <c r="W405" s="135"/>
      <c r="X405" s="135"/>
      <c r="Y405" s="135"/>
      <c r="Z405" s="135"/>
      <c r="AA405" s="135"/>
      <c r="AB405" s="135"/>
      <c r="AC405" s="135"/>
      <c r="AD405" s="135"/>
      <c r="AE405" s="465"/>
    </row>
    <row r="406" spans="1:31" ht="11.25" customHeight="1">
      <c r="B406" s="136" t="s">
        <v>1866</v>
      </c>
      <c r="C406" s="137"/>
      <c r="D406" s="2296"/>
      <c r="E406" s="2296"/>
      <c r="F406" s="2296"/>
      <c r="G406" s="2296"/>
      <c r="H406" s="2296"/>
      <c r="I406" s="2296"/>
      <c r="J406" s="2296"/>
      <c r="K406" s="2296"/>
      <c r="L406" s="2296"/>
      <c r="M406" s="2296"/>
      <c r="N406" s="2296"/>
      <c r="O406" s="2296"/>
      <c r="P406" s="2296"/>
      <c r="Q406" s="2296"/>
    </row>
    <row r="407" spans="1:31" ht="11.7" customHeight="1">
      <c r="A407" s="3486"/>
      <c r="B407" s="3487"/>
      <c r="C407" s="3487"/>
      <c r="D407" s="3487"/>
      <c r="E407" s="3487"/>
      <c r="F407" s="3487"/>
      <c r="G407" s="3487"/>
      <c r="H407" s="3487"/>
      <c r="I407" s="3487"/>
      <c r="J407" s="3487"/>
      <c r="K407" s="3487"/>
      <c r="L407" s="3487"/>
      <c r="M407" s="3487"/>
      <c r="N407" s="3487"/>
      <c r="O407" s="3487"/>
      <c r="P407" s="3487"/>
      <c r="Q407" s="3488"/>
    </row>
    <row r="408" spans="1:31" ht="3.6" customHeight="1">
      <c r="A408" s="2293"/>
      <c r="B408" s="2305"/>
      <c r="C408" s="2296"/>
      <c r="D408" s="2296"/>
      <c r="E408" s="2296"/>
      <c r="F408" s="2296"/>
      <c r="G408" s="2296"/>
      <c r="H408" s="2296"/>
      <c r="I408" s="2296"/>
      <c r="J408" s="2296"/>
      <c r="K408" s="2296"/>
      <c r="L408" s="2296"/>
      <c r="M408" s="2296"/>
      <c r="Q408" s="896"/>
    </row>
    <row r="409" spans="1:31" ht="13.95" customHeight="1">
      <c r="A409" s="2290" t="s">
        <v>4104</v>
      </c>
      <c r="B409" s="3" t="s">
        <v>2668</v>
      </c>
      <c r="C409" s="3"/>
      <c r="D409" s="3"/>
      <c r="E409" s="2296"/>
      <c r="G409" s="139" t="s">
        <v>701</v>
      </c>
      <c r="H409" s="2296"/>
      <c r="I409" s="2296"/>
      <c r="J409" s="2296"/>
      <c r="K409" s="2296"/>
      <c r="L409" s="2296"/>
      <c r="M409" s="2296"/>
      <c r="O409" s="131" t="s">
        <v>1867</v>
      </c>
      <c r="P409" s="3489"/>
      <c r="Q409" s="3527"/>
    </row>
    <row r="410" spans="1:31" ht="12" customHeight="1">
      <c r="A410" s="46" t="s">
        <v>1983</v>
      </c>
      <c r="B410" s="51" t="s">
        <v>2673</v>
      </c>
      <c r="D410" s="898"/>
      <c r="E410" s="898"/>
      <c r="H410" s="139"/>
      <c r="O410" s="463" t="s">
        <v>1983</v>
      </c>
      <c r="P410" s="2671"/>
      <c r="Q410" s="534"/>
    </row>
    <row r="411" spans="1:31" ht="12" customHeight="1">
      <c r="A411" s="46" t="s">
        <v>1985</v>
      </c>
      <c r="B411" s="51" t="s">
        <v>3582</v>
      </c>
      <c r="D411" s="898"/>
      <c r="E411" s="898"/>
      <c r="O411" s="463" t="s">
        <v>1985</v>
      </c>
      <c r="P411" s="2672"/>
      <c r="Q411" s="535"/>
    </row>
    <row r="412" spans="1:31" ht="12" customHeight="1">
      <c r="A412" s="46" t="s">
        <v>749</v>
      </c>
      <c r="B412" s="51" t="s">
        <v>4073</v>
      </c>
      <c r="D412" s="898"/>
      <c r="E412" s="898"/>
      <c r="O412" s="463" t="s">
        <v>749</v>
      </c>
      <c r="P412" s="2672"/>
      <c r="Q412" s="535"/>
    </row>
    <row r="413" spans="1:31" ht="12" customHeight="1">
      <c r="A413" s="46" t="s">
        <v>2115</v>
      </c>
      <c r="B413" s="51" t="s">
        <v>3583</v>
      </c>
      <c r="E413" s="139"/>
      <c r="O413" s="463" t="s">
        <v>2115</v>
      </c>
      <c r="P413" s="2672"/>
      <c r="Q413" s="535"/>
    </row>
    <row r="414" spans="1:31" ht="12" customHeight="1">
      <c r="A414" s="46" t="s">
        <v>1735</v>
      </c>
      <c r="B414" s="51" t="s">
        <v>2079</v>
      </c>
      <c r="E414" s="139"/>
      <c r="G414" s="463" t="s">
        <v>1735</v>
      </c>
      <c r="H414" s="3728"/>
      <c r="I414" s="3729"/>
      <c r="J414" s="3729"/>
      <c r="K414" s="3729"/>
      <c r="L414" s="3729"/>
      <c r="M414" s="3729"/>
      <c r="N414" s="3729"/>
      <c r="O414" s="3730"/>
      <c r="P414" s="2673"/>
      <c r="Q414" s="536"/>
    </row>
    <row r="415" spans="1:31" ht="11.25" customHeight="1">
      <c r="B415" s="140" t="s">
        <v>3749</v>
      </c>
      <c r="D415" s="140"/>
      <c r="E415" s="140"/>
      <c r="F415" s="140"/>
      <c r="G415" s="140"/>
      <c r="H415" s="39"/>
      <c r="I415" s="2305"/>
      <c r="J415" s="2305"/>
      <c r="K415" s="2305"/>
      <c r="L415" s="2293"/>
      <c r="M415" s="2293"/>
      <c r="N415" s="2293"/>
      <c r="O415" s="2293"/>
      <c r="P415" s="2293"/>
      <c r="Q415" s="896"/>
    </row>
    <row r="416" spans="1:31" ht="11.7" customHeight="1">
      <c r="A416" s="3530" t="s">
        <v>970</v>
      </c>
      <c r="B416" s="3531"/>
      <c r="C416" s="3531"/>
      <c r="D416" s="3531"/>
      <c r="E416" s="3531"/>
      <c r="F416" s="3531"/>
      <c r="G416" s="3531"/>
      <c r="H416" s="3531"/>
      <c r="I416" s="3531"/>
      <c r="J416" s="3531"/>
      <c r="K416" s="3531"/>
      <c r="L416" s="3531"/>
      <c r="M416" s="3531"/>
      <c r="N416" s="3531"/>
      <c r="O416" s="3531"/>
      <c r="P416" s="3531"/>
      <c r="Q416" s="3532"/>
      <c r="U416" s="135"/>
      <c r="V416" s="135"/>
      <c r="W416" s="135"/>
      <c r="X416" s="135"/>
      <c r="Y416" s="135"/>
      <c r="Z416" s="135"/>
      <c r="AA416" s="135"/>
      <c r="AB416" s="135"/>
      <c r="AC416" s="135"/>
      <c r="AD416" s="135"/>
      <c r="AE416" s="465"/>
    </row>
    <row r="417" spans="1:32" ht="11.25" customHeight="1">
      <c r="B417" s="136" t="s">
        <v>1866</v>
      </c>
      <c r="C417" s="137"/>
      <c r="D417" s="2296"/>
      <c r="E417" s="2296"/>
      <c r="F417" s="2296"/>
      <c r="G417" s="2296"/>
      <c r="H417" s="2296"/>
      <c r="I417" s="2296"/>
      <c r="J417" s="2296"/>
      <c r="K417" s="2296"/>
      <c r="L417" s="2296"/>
      <c r="M417" s="2296"/>
      <c r="N417" s="2296"/>
      <c r="O417" s="2296"/>
      <c r="P417" s="2296"/>
      <c r="Q417" s="2296"/>
    </row>
    <row r="418" spans="1:32" ht="11.7" customHeight="1">
      <c r="A418" s="3486"/>
      <c r="B418" s="3487"/>
      <c r="C418" s="3487"/>
      <c r="D418" s="3487"/>
      <c r="E418" s="3487"/>
      <c r="F418" s="3487"/>
      <c r="G418" s="3487"/>
      <c r="H418" s="3487"/>
      <c r="I418" s="3487"/>
      <c r="J418" s="3487"/>
      <c r="K418" s="3487"/>
      <c r="L418" s="3487"/>
      <c r="M418" s="3487"/>
      <c r="N418" s="3487"/>
      <c r="O418" s="3487"/>
      <c r="P418" s="3487"/>
      <c r="Q418" s="3488"/>
    </row>
    <row r="419" spans="1:32" ht="3" customHeight="1">
      <c r="A419" s="2293"/>
      <c r="B419" s="2305"/>
      <c r="C419" s="2296"/>
      <c r="D419" s="2296"/>
      <c r="E419" s="2296"/>
      <c r="F419" s="2296"/>
      <c r="G419" s="2296"/>
      <c r="H419" s="2296"/>
      <c r="I419" s="2296"/>
      <c r="J419" s="2296"/>
      <c r="K419" s="2296"/>
      <c r="L419" s="2296"/>
      <c r="M419" s="2296"/>
      <c r="N419" s="2296"/>
      <c r="O419" s="2296"/>
      <c r="P419" s="2296"/>
      <c r="Q419" s="2293"/>
    </row>
    <row r="420" spans="1:32" ht="13.95" customHeight="1">
      <c r="A420" s="2290" t="s">
        <v>4105</v>
      </c>
      <c r="B420" s="3" t="s">
        <v>2669</v>
      </c>
      <c r="C420" s="3"/>
      <c r="D420" s="3"/>
      <c r="E420" s="3"/>
      <c r="F420" s="3"/>
      <c r="G420" s="3"/>
      <c r="H420" s="2296"/>
      <c r="I420" s="2296"/>
      <c r="J420" s="2296"/>
      <c r="K420" s="2296"/>
      <c r="L420" s="2296"/>
      <c r="M420" s="2296"/>
      <c r="O420" s="131" t="s">
        <v>1867</v>
      </c>
      <c r="P420" s="3489"/>
      <c r="Q420" s="3527"/>
    </row>
    <row r="421" spans="1:32" ht="12" customHeight="1">
      <c r="A421" s="46" t="s">
        <v>1983</v>
      </c>
      <c r="B421" s="38" t="s">
        <v>752</v>
      </c>
      <c r="D421" s="41"/>
      <c r="E421" s="41"/>
      <c r="F421" s="41"/>
      <c r="G421" s="41"/>
      <c r="H421" s="41"/>
      <c r="I421" s="41"/>
      <c r="J421" s="41"/>
      <c r="K421" s="41"/>
      <c r="L421" s="41"/>
      <c r="M421" s="41"/>
      <c r="N421" s="41"/>
      <c r="O421" s="463" t="s">
        <v>1983</v>
      </c>
      <c r="P421" s="2671" t="s">
        <v>2992</v>
      </c>
      <c r="Q421" s="534"/>
    </row>
    <row r="422" spans="1:32" ht="12" customHeight="1">
      <c r="A422" s="46" t="s">
        <v>1985</v>
      </c>
      <c r="B422" s="35" t="s">
        <v>3475</v>
      </c>
      <c r="D422" s="41"/>
      <c r="E422" s="41"/>
      <c r="F422" s="41"/>
      <c r="G422" s="41"/>
      <c r="H422" s="41"/>
      <c r="I422" s="41"/>
      <c r="J422" s="41"/>
      <c r="K422" s="41"/>
      <c r="L422" s="41"/>
      <c r="M422" s="41"/>
      <c r="N422" s="41"/>
      <c r="O422" s="463" t="s">
        <v>1446</v>
      </c>
      <c r="P422" s="2673"/>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671"/>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72"/>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2"/>
      <c r="Q426" s="535"/>
    </row>
    <row r="427" spans="1:32" ht="12" customHeight="1">
      <c r="A427" s="46" t="s">
        <v>2115</v>
      </c>
      <c r="B427" s="3485" t="s">
        <v>2815</v>
      </c>
      <c r="C427" s="3485"/>
      <c r="D427" s="3485"/>
      <c r="E427" s="3485"/>
      <c r="F427" s="897"/>
      <c r="G427" s="134" t="s">
        <v>2202</v>
      </c>
      <c r="J427" s="2697"/>
      <c r="K427" s="540"/>
      <c r="M427" s="134" t="s">
        <v>2205</v>
      </c>
      <c r="P427" s="2698"/>
      <c r="Q427" s="541"/>
    </row>
    <row r="428" spans="1:32" ht="12" customHeight="1">
      <c r="A428" s="46"/>
      <c r="B428" s="3485"/>
      <c r="C428" s="3485"/>
      <c r="D428" s="3485"/>
      <c r="E428" s="3485"/>
      <c r="F428" s="897"/>
      <c r="G428" s="134" t="s">
        <v>2203</v>
      </c>
      <c r="J428" s="2698"/>
      <c r="K428" s="541"/>
      <c r="M428" s="134" t="s">
        <v>2206</v>
      </c>
      <c r="P428" s="2699"/>
      <c r="Q428" s="542"/>
    </row>
    <row r="429" spans="1:32" ht="12" customHeight="1">
      <c r="A429" s="46"/>
      <c r="B429" s="3485"/>
      <c r="C429" s="3485"/>
      <c r="D429" s="3485"/>
      <c r="E429" s="3485"/>
      <c r="F429" s="897"/>
      <c r="G429" s="134" t="s">
        <v>2204</v>
      </c>
      <c r="J429" s="2699"/>
      <c r="K429" s="542"/>
      <c r="L429" s="897"/>
      <c r="M429" s="41"/>
      <c r="N429" s="463"/>
    </row>
    <row r="430" spans="1:32" ht="12" customHeight="1">
      <c r="A430" s="46" t="s">
        <v>1735</v>
      </c>
      <c r="B430" s="897" t="s">
        <v>4924</v>
      </c>
      <c r="C430" s="897"/>
      <c r="E430" s="897"/>
      <c r="F430" s="897"/>
      <c r="G430" s="897"/>
      <c r="J430" s="41"/>
      <c r="K430" s="897"/>
      <c r="L430" s="897"/>
      <c r="M430" s="41"/>
      <c r="N430" s="463"/>
      <c r="P430" s="463"/>
      <c r="Q430" s="463"/>
    </row>
    <row r="431" spans="1:32" ht="12" customHeight="1">
      <c r="A431" s="46"/>
      <c r="B431" s="431" t="s">
        <v>1737</v>
      </c>
      <c r="C431" s="897" t="s">
        <v>4774</v>
      </c>
      <c r="E431" s="897"/>
      <c r="G431" s="431" t="s">
        <v>4769</v>
      </c>
      <c r="H431" s="897"/>
      <c r="I431" s="897"/>
      <c r="J431" s="2671"/>
      <c r="K431" s="534"/>
      <c r="L431" s="897"/>
      <c r="M431" s="431" t="s">
        <v>4772</v>
      </c>
    </row>
    <row r="432" spans="1:32" ht="12" customHeight="1">
      <c r="A432" s="41"/>
      <c r="G432" s="431" t="s">
        <v>4770</v>
      </c>
      <c r="H432" s="897"/>
      <c r="I432" s="897"/>
      <c r="J432" s="2672"/>
      <c r="K432" s="535"/>
      <c r="M432" s="3720"/>
      <c r="N432" s="3721"/>
      <c r="O432" s="3721"/>
      <c r="P432" s="3721"/>
      <c r="Q432" s="3722"/>
    </row>
    <row r="433" spans="1:32" ht="12" customHeight="1">
      <c r="A433" s="41"/>
      <c r="G433" s="431" t="s">
        <v>4771</v>
      </c>
      <c r="H433" s="897"/>
      <c r="J433" s="2673"/>
      <c r="K433" s="536"/>
      <c r="M433" s="3723"/>
      <c r="N433" s="3724"/>
      <c r="O433" s="3724"/>
      <c r="P433" s="3724"/>
      <c r="Q433" s="3725"/>
    </row>
    <row r="434" spans="1:32" ht="12" customHeight="1">
      <c r="A434" s="46"/>
      <c r="B434" s="431" t="s">
        <v>1738</v>
      </c>
      <c r="C434" s="897" t="s">
        <v>4773</v>
      </c>
      <c r="D434" s="147"/>
      <c r="E434" s="897"/>
      <c r="F434" s="897"/>
      <c r="L434" s="897"/>
      <c r="M434" s="897"/>
      <c r="O434" s="463" t="s">
        <v>1738</v>
      </c>
      <c r="P434" s="2674" t="s">
        <v>1771</v>
      </c>
      <c r="Q434" s="533" t="s">
        <v>1771</v>
      </c>
    </row>
    <row r="435" spans="1:32" ht="12" customHeight="1">
      <c r="A435" s="41"/>
      <c r="B435" s="147"/>
      <c r="C435" s="431" t="s">
        <v>2435</v>
      </c>
      <c r="D435" s="431" t="s">
        <v>4781</v>
      </c>
      <c r="E435" s="897"/>
      <c r="F435" s="897"/>
      <c r="G435" s="3494"/>
      <c r="H435" s="3495"/>
      <c r="I435" s="3495"/>
      <c r="J435" s="3495"/>
      <c r="K435" s="3496"/>
      <c r="L435" s="2094"/>
    </row>
    <row r="436" spans="1:32" ht="12" customHeight="1">
      <c r="A436" s="41"/>
      <c r="B436" s="147"/>
      <c r="C436" s="431" t="s">
        <v>2436</v>
      </c>
      <c r="D436" s="431" t="s">
        <v>4782</v>
      </c>
      <c r="E436" s="897"/>
      <c r="F436" s="2094"/>
      <c r="G436" s="3702" t="s">
        <v>3698</v>
      </c>
      <c r="H436" s="3703"/>
      <c r="I436" s="3704"/>
      <c r="J436" s="431" t="s">
        <v>4783</v>
      </c>
      <c r="K436" s="147"/>
      <c r="M436" s="3494"/>
      <c r="N436" s="3495"/>
      <c r="O436" s="3495"/>
      <c r="P436" s="3495"/>
      <c r="Q436" s="3496"/>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51" customHeight="1">
      <c r="B438" s="3710"/>
      <c r="C438" s="3711"/>
      <c r="D438" s="3711"/>
      <c r="E438" s="3711"/>
      <c r="F438" s="3711"/>
      <c r="G438" s="3711"/>
      <c r="H438" s="3711"/>
      <c r="I438" s="3711"/>
      <c r="J438" s="3711"/>
      <c r="K438" s="3711"/>
      <c r="L438" s="3711"/>
      <c r="M438" s="3711"/>
      <c r="N438" s="3711"/>
      <c r="O438" s="3711"/>
      <c r="P438" s="3711"/>
      <c r="Q438" s="3712"/>
      <c r="R438" s="445" t="s">
        <v>4775</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305"/>
      <c r="J439" s="2305"/>
      <c r="K439" s="2305"/>
    </row>
    <row r="440" spans="1:32" ht="12" customHeight="1">
      <c r="A440" s="3530" t="s">
        <v>5222</v>
      </c>
      <c r="B440" s="3531"/>
      <c r="C440" s="3531"/>
      <c r="D440" s="3531"/>
      <c r="E440" s="3531"/>
      <c r="F440" s="3531"/>
      <c r="G440" s="3531"/>
      <c r="H440" s="3531"/>
      <c r="I440" s="3531"/>
      <c r="J440" s="3531"/>
      <c r="K440" s="3531"/>
      <c r="L440" s="3531"/>
      <c r="M440" s="3531"/>
      <c r="N440" s="3531"/>
      <c r="O440" s="3531"/>
      <c r="P440" s="3531"/>
      <c r="Q440" s="3532"/>
      <c r="U440" s="135"/>
      <c r="V440" s="135"/>
      <c r="W440" s="135"/>
      <c r="X440" s="135"/>
      <c r="Y440" s="135"/>
      <c r="Z440" s="135"/>
      <c r="AA440" s="135"/>
      <c r="AB440" s="135"/>
      <c r="AC440" s="135"/>
      <c r="AD440" s="135"/>
      <c r="AE440" s="465"/>
    </row>
    <row r="441" spans="1:32" ht="12" customHeight="1">
      <c r="B441" s="136" t="s">
        <v>1866</v>
      </c>
      <c r="C441" s="137"/>
      <c r="D441" s="2296"/>
      <c r="E441" s="2296"/>
      <c r="F441" s="2296"/>
      <c r="G441" s="2296"/>
      <c r="H441" s="2296"/>
      <c r="I441" s="2296"/>
      <c r="J441" s="2296"/>
      <c r="K441" s="2296"/>
      <c r="L441" s="2296"/>
      <c r="M441" s="2296"/>
      <c r="N441" s="2296"/>
      <c r="O441" s="2296"/>
      <c r="P441" s="2296"/>
      <c r="Q441" s="2296"/>
    </row>
    <row r="442" spans="1:32" ht="12" customHeight="1">
      <c r="A442" s="3486"/>
      <c r="B442" s="3487"/>
      <c r="C442" s="3487"/>
      <c r="D442" s="3487"/>
      <c r="E442" s="3487"/>
      <c r="F442" s="3487"/>
      <c r="G442" s="3487"/>
      <c r="H442" s="3487"/>
      <c r="I442" s="3487"/>
      <c r="J442" s="3487"/>
      <c r="K442" s="3487"/>
      <c r="L442" s="3487"/>
      <c r="M442" s="3487"/>
      <c r="N442" s="3487"/>
      <c r="O442" s="3487"/>
      <c r="P442" s="3487"/>
      <c r="Q442" s="3488"/>
    </row>
    <row r="443" spans="1:32" ht="3" customHeight="1">
      <c r="A443" s="2293"/>
      <c r="B443" s="2305"/>
      <c r="C443" s="2296"/>
      <c r="D443" s="2296"/>
      <c r="E443" s="2296"/>
      <c r="F443" s="2296"/>
      <c r="G443" s="2296"/>
      <c r="H443" s="2296"/>
      <c r="I443" s="2296"/>
      <c r="J443" s="2296"/>
      <c r="K443" s="2296"/>
      <c r="L443" s="2296"/>
      <c r="M443" s="2296"/>
      <c r="Q443" s="896"/>
    </row>
    <row r="444" spans="1:32" ht="13.95" customHeight="1">
      <c r="A444" s="2290" t="s">
        <v>4106</v>
      </c>
      <c r="B444" s="3" t="s">
        <v>2816</v>
      </c>
      <c r="C444" s="3"/>
      <c r="D444" s="86"/>
      <c r="E444" s="2296"/>
      <c r="F444" s="2296"/>
      <c r="G444" s="2296"/>
      <c r="H444" s="2296"/>
      <c r="O444" s="131" t="s">
        <v>1867</v>
      </c>
      <c r="P444" s="3489"/>
      <c r="Q444" s="3490"/>
    </row>
    <row r="445" spans="1:32" ht="13.95" customHeight="1">
      <c r="B445" s="86" t="s">
        <v>5043</v>
      </c>
      <c r="C445" s="3"/>
      <c r="D445" s="86"/>
      <c r="E445" s="2296"/>
      <c r="F445" s="2296"/>
      <c r="G445" s="2296"/>
      <c r="H445" s="2296"/>
    </row>
    <row r="446" spans="1:32" s="132" customFormat="1" ht="21.75" customHeight="1">
      <c r="A446" s="141" t="s">
        <v>1983</v>
      </c>
      <c r="B446" s="3548" t="s">
        <v>3931</v>
      </c>
      <c r="C446" s="3548"/>
      <c r="D446" s="3548"/>
      <c r="E446" s="3548"/>
      <c r="F446" s="3548"/>
      <c r="G446" s="3548"/>
      <c r="H446" s="3548"/>
      <c r="I446" s="3548"/>
      <c r="J446" s="3548"/>
      <c r="K446" s="3548"/>
      <c r="L446" s="3548"/>
      <c r="M446" s="3548"/>
      <c r="N446" s="3548"/>
      <c r="O446" s="160" t="s">
        <v>1983</v>
      </c>
      <c r="P446" s="2683" t="s">
        <v>5164</v>
      </c>
      <c r="Q446" s="1149"/>
      <c r="AE446" s="466"/>
      <c r="AF446" s="466"/>
    </row>
    <row r="447" spans="1:32" s="132" customFormat="1" ht="22.5" customHeight="1">
      <c r="A447" s="141" t="s">
        <v>1985</v>
      </c>
      <c r="B447" s="3548" t="s">
        <v>3929</v>
      </c>
      <c r="C447" s="3548"/>
      <c r="D447" s="3548"/>
      <c r="E447" s="3548"/>
      <c r="F447" s="3548"/>
      <c r="G447" s="3548"/>
      <c r="H447" s="3548"/>
      <c r="I447" s="3548"/>
      <c r="J447" s="3548"/>
      <c r="K447" s="3548"/>
      <c r="L447" s="3548"/>
      <c r="M447" s="3548"/>
      <c r="N447" s="3548"/>
      <c r="O447" s="160" t="s">
        <v>1985</v>
      </c>
      <c r="P447" s="2681" t="s">
        <v>5164</v>
      </c>
      <c r="Q447" s="2299"/>
      <c r="AE447" s="466"/>
      <c r="AF447" s="466"/>
    </row>
    <row r="448" spans="1:32" s="132" customFormat="1" ht="22.5" customHeight="1">
      <c r="B448" s="2162" t="s">
        <v>1737</v>
      </c>
      <c r="C448" s="3548" t="s">
        <v>4987</v>
      </c>
      <c r="D448" s="3548"/>
      <c r="E448" s="3548"/>
      <c r="F448" s="3548"/>
      <c r="G448" s="3548"/>
      <c r="H448" s="3548"/>
      <c r="I448" s="3548"/>
      <c r="J448" s="3548"/>
      <c r="K448" s="3548"/>
      <c r="L448" s="3548"/>
      <c r="M448" s="3548"/>
      <c r="N448" s="3548"/>
      <c r="O448" s="160" t="s">
        <v>1737</v>
      </c>
      <c r="P448" s="2681" t="s">
        <v>5164</v>
      </c>
      <c r="Q448" s="2299"/>
      <c r="AE448" s="466"/>
      <c r="AF448" s="466"/>
    </row>
    <row r="449" spans="1:32" s="41" customFormat="1" ht="12" customHeight="1">
      <c r="B449" s="2162" t="s">
        <v>1738</v>
      </c>
      <c r="C449" s="35" t="s">
        <v>4988</v>
      </c>
      <c r="D449" s="1115"/>
      <c r="E449" s="1115"/>
      <c r="F449" s="1115"/>
      <c r="G449" s="1115"/>
      <c r="H449" s="1115"/>
      <c r="I449" s="1115"/>
      <c r="J449" s="1115"/>
      <c r="K449" s="1115"/>
      <c r="L449" s="1115"/>
      <c r="M449" s="1115"/>
      <c r="N449" s="1115"/>
      <c r="O449" s="463" t="s">
        <v>1738</v>
      </c>
      <c r="P449" s="2672" t="s">
        <v>5164</v>
      </c>
      <c r="Q449" s="535"/>
      <c r="AE449" s="49"/>
      <c r="AF449" s="49"/>
    </row>
    <row r="450" spans="1:32" s="132" customFormat="1" ht="33" customHeight="1">
      <c r="B450" s="477" t="s">
        <v>1739</v>
      </c>
      <c r="C450" s="3548" t="s">
        <v>4989</v>
      </c>
      <c r="D450" s="3548"/>
      <c r="E450" s="3548"/>
      <c r="F450" s="3548"/>
      <c r="G450" s="3548"/>
      <c r="H450" s="3548"/>
      <c r="I450" s="3548"/>
      <c r="J450" s="3548"/>
      <c r="K450" s="3548"/>
      <c r="L450" s="3548"/>
      <c r="M450" s="3548"/>
      <c r="N450" s="3548"/>
      <c r="O450" s="160" t="s">
        <v>1739</v>
      </c>
      <c r="P450" s="2681" t="s">
        <v>5164</v>
      </c>
      <c r="Q450" s="2299"/>
      <c r="AE450" s="466"/>
      <c r="AF450" s="466"/>
    </row>
    <row r="451" spans="1:32" s="132" customFormat="1" ht="22.5" customHeight="1">
      <c r="B451" s="477" t="s">
        <v>2365</v>
      </c>
      <c r="C451" s="3548" t="s">
        <v>4990</v>
      </c>
      <c r="D451" s="3548"/>
      <c r="E451" s="3548"/>
      <c r="F451" s="3548"/>
      <c r="G451" s="3548"/>
      <c r="H451" s="3548"/>
      <c r="I451" s="3548"/>
      <c r="J451" s="3548"/>
      <c r="K451" s="3548"/>
      <c r="L451" s="3548"/>
      <c r="M451" s="3548"/>
      <c r="N451" s="3548"/>
      <c r="O451" s="160" t="s">
        <v>2365</v>
      </c>
      <c r="P451" s="2681" t="s">
        <v>5164</v>
      </c>
      <c r="Q451" s="2299"/>
      <c r="AE451" s="466"/>
      <c r="AF451" s="466"/>
    </row>
    <row r="452" spans="1:32" s="132" customFormat="1" ht="22.5" customHeight="1">
      <c r="A452" s="141" t="s">
        <v>749</v>
      </c>
      <c r="B452" s="3548" t="s">
        <v>3935</v>
      </c>
      <c r="C452" s="3548"/>
      <c r="D452" s="3548"/>
      <c r="E452" s="3548"/>
      <c r="F452" s="3548"/>
      <c r="G452" s="3548"/>
      <c r="H452" s="3548"/>
      <c r="I452" s="3548"/>
      <c r="J452" s="3548"/>
      <c r="K452" s="3548"/>
      <c r="L452" s="3548"/>
      <c r="M452" s="3548"/>
      <c r="N452" s="3548"/>
      <c r="O452" s="160" t="s">
        <v>749</v>
      </c>
      <c r="P452" s="2681" t="s">
        <v>5164</v>
      </c>
      <c r="Q452" s="2299"/>
      <c r="AE452" s="466"/>
      <c r="AF452" s="466"/>
    </row>
    <row r="453" spans="1:32" s="132" customFormat="1" ht="22.5" customHeight="1">
      <c r="A453" s="141" t="s">
        <v>2115</v>
      </c>
      <c r="B453" s="3548" t="s">
        <v>3936</v>
      </c>
      <c r="C453" s="3548"/>
      <c r="D453" s="3548"/>
      <c r="E453" s="3548"/>
      <c r="F453" s="3548"/>
      <c r="G453" s="3548"/>
      <c r="H453" s="3548"/>
      <c r="I453" s="3548"/>
      <c r="J453" s="3548"/>
      <c r="K453" s="3548"/>
      <c r="L453" s="3548"/>
      <c r="M453" s="3548"/>
      <c r="N453" s="3548"/>
      <c r="O453" s="160" t="s">
        <v>2115</v>
      </c>
      <c r="P453" s="2681" t="s">
        <v>5164</v>
      </c>
      <c r="Q453" s="2299"/>
      <c r="AE453" s="466"/>
      <c r="AF453" s="466"/>
    </row>
    <row r="454" spans="1:32" s="132" customFormat="1" ht="21.75" customHeight="1">
      <c r="A454" s="141" t="s">
        <v>1735</v>
      </c>
      <c r="B454" s="3548" t="s">
        <v>3937</v>
      </c>
      <c r="C454" s="3548"/>
      <c r="D454" s="3548"/>
      <c r="E454" s="3548"/>
      <c r="F454" s="3548"/>
      <c r="G454" s="3548"/>
      <c r="H454" s="3548"/>
      <c r="I454" s="3548"/>
      <c r="J454" s="3548"/>
      <c r="K454" s="3548"/>
      <c r="L454" s="3548"/>
      <c r="M454" s="3548"/>
      <c r="N454" s="3548"/>
      <c r="O454" s="160" t="s">
        <v>1735</v>
      </c>
      <c r="P454" s="2681" t="s">
        <v>5164</v>
      </c>
      <c r="Q454" s="2299"/>
      <c r="AE454" s="466"/>
      <c r="AF454" s="466"/>
    </row>
    <row r="455" spans="1:32" s="414" customFormat="1" ht="21.75" customHeight="1">
      <c r="A455" s="141" t="s">
        <v>1736</v>
      </c>
      <c r="B455" s="3548" t="s">
        <v>3476</v>
      </c>
      <c r="C455" s="3548"/>
      <c r="D455" s="3548"/>
      <c r="E455" s="3548"/>
      <c r="F455" s="3548"/>
      <c r="G455" s="3548"/>
      <c r="H455" s="3548"/>
      <c r="I455" s="3548"/>
      <c r="J455" s="3548"/>
      <c r="K455" s="3548"/>
      <c r="L455" s="3548"/>
      <c r="M455" s="3548"/>
      <c r="N455" s="3548"/>
      <c r="O455" s="160" t="s">
        <v>1736</v>
      </c>
      <c r="P455" s="2684" t="s">
        <v>5164</v>
      </c>
      <c r="Q455" s="2308"/>
      <c r="AE455" s="468"/>
      <c r="AF455" s="468"/>
    </row>
    <row r="456" spans="1:32" ht="11.25" customHeight="1">
      <c r="B456" s="140" t="s">
        <v>3749</v>
      </c>
      <c r="D456" s="140"/>
      <c r="E456" s="140"/>
      <c r="F456" s="140"/>
      <c r="G456" s="140"/>
      <c r="H456" s="39"/>
      <c r="I456" s="2305"/>
      <c r="J456" s="2305"/>
      <c r="K456" s="2305"/>
      <c r="L456" s="2293"/>
      <c r="M456" s="2293"/>
      <c r="N456" s="2293"/>
      <c r="O456" s="2293"/>
      <c r="P456" s="2293"/>
      <c r="Q456" s="896"/>
    </row>
    <row r="457" spans="1:32" ht="22.5" customHeight="1">
      <c r="A457" s="3530" t="s">
        <v>5293</v>
      </c>
      <c r="B457" s="3531"/>
      <c r="C457" s="3531"/>
      <c r="D457" s="3531"/>
      <c r="E457" s="3531"/>
      <c r="F457" s="3531"/>
      <c r="G457" s="3531"/>
      <c r="H457" s="3531"/>
      <c r="I457" s="3531"/>
      <c r="J457" s="3531"/>
      <c r="K457" s="3531"/>
      <c r="L457" s="3531"/>
      <c r="M457" s="3531"/>
      <c r="N457" s="3531"/>
      <c r="O457" s="3531"/>
      <c r="P457" s="3531"/>
      <c r="Q457" s="3532"/>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6"/>
      <c r="E458" s="2296"/>
      <c r="F458" s="2296"/>
      <c r="G458" s="2296"/>
      <c r="H458" s="2296"/>
      <c r="I458" s="2296"/>
      <c r="J458" s="2296"/>
      <c r="K458" s="2296"/>
      <c r="L458" s="2296"/>
      <c r="M458" s="2296"/>
      <c r="N458" s="2296"/>
      <c r="O458" s="2296"/>
      <c r="P458" s="2296"/>
      <c r="Q458" s="2296"/>
    </row>
    <row r="459" spans="1:32" ht="22.5" customHeight="1">
      <c r="A459" s="3486"/>
      <c r="B459" s="3487"/>
      <c r="C459" s="3487"/>
      <c r="D459" s="3487"/>
      <c r="E459" s="3487"/>
      <c r="F459" s="3487"/>
      <c r="G459" s="3487"/>
      <c r="H459" s="3487"/>
      <c r="I459" s="3487"/>
      <c r="J459" s="3487"/>
      <c r="K459" s="3487"/>
      <c r="L459" s="3487"/>
      <c r="M459" s="3487"/>
      <c r="N459" s="3487"/>
      <c r="O459" s="3487"/>
      <c r="P459" s="3487"/>
      <c r="Q459" s="3488"/>
    </row>
    <row r="460" spans="1:32" ht="3" customHeight="1">
      <c r="A460" s="2293"/>
      <c r="B460" s="2305"/>
      <c r="C460" s="2296"/>
      <c r="D460" s="2296"/>
      <c r="E460" s="2296"/>
      <c r="F460" s="2296"/>
      <c r="G460" s="2296"/>
      <c r="H460" s="2296"/>
      <c r="I460" s="2296"/>
      <c r="J460" s="2296"/>
      <c r="K460" s="2296"/>
      <c r="L460" s="2296"/>
      <c r="M460" s="2296"/>
      <c r="Q460" s="896"/>
    </row>
    <row r="461" spans="1:32" s="42" customFormat="1" ht="12.75" customHeight="1">
      <c r="A461" s="2290" t="s">
        <v>4784</v>
      </c>
      <c r="C461" s="9" t="s">
        <v>2719</v>
      </c>
      <c r="D461" s="57"/>
      <c r="E461" s="51"/>
      <c r="J461" s="60"/>
      <c r="M461" s="2292"/>
      <c r="N461" s="5"/>
      <c r="O461" s="131" t="s">
        <v>1867</v>
      </c>
      <c r="P461" s="3489"/>
      <c r="Q461" s="3490"/>
    </row>
    <row r="462" spans="1:32" s="147" customFormat="1" ht="12" customHeight="1">
      <c r="A462" s="620"/>
      <c r="B462" s="620" t="s">
        <v>4792</v>
      </c>
      <c r="C462" s="620"/>
      <c r="D462" s="620"/>
      <c r="E462" s="620"/>
      <c r="F462" s="620"/>
      <c r="G462" s="620"/>
      <c r="H462" s="620"/>
      <c r="I462" s="620"/>
      <c r="J462" s="620"/>
      <c r="K462" s="620"/>
      <c r="L462" s="620"/>
      <c r="M462" s="620"/>
      <c r="N462" s="620"/>
      <c r="O462" s="620"/>
      <c r="P462" s="2671" t="s">
        <v>2992</v>
      </c>
      <c r="Q462" s="534"/>
      <c r="AE462" s="467"/>
      <c r="AF462" s="467"/>
    </row>
    <row r="463" spans="1:32" s="147" customFormat="1" ht="12" customHeight="1">
      <c r="A463" s="620"/>
      <c r="B463" s="620" t="s">
        <v>4793</v>
      </c>
      <c r="C463" s="620"/>
      <c r="D463" s="620"/>
      <c r="E463" s="620"/>
      <c r="F463" s="620"/>
      <c r="G463" s="620"/>
      <c r="H463" s="620"/>
      <c r="I463" s="620"/>
      <c r="J463" s="620"/>
      <c r="K463" s="620"/>
      <c r="L463" s="620"/>
      <c r="M463" s="620"/>
      <c r="N463" s="620"/>
      <c r="O463" s="620"/>
      <c r="P463" s="2673"/>
      <c r="Q463" s="536"/>
      <c r="AE463" s="467"/>
      <c r="AF463" s="467"/>
    </row>
    <row r="464" spans="1:32" s="42" customFormat="1" ht="12" customHeight="1" thickBot="1">
      <c r="A464" s="46" t="s">
        <v>1983</v>
      </c>
      <c r="B464" s="86" t="s">
        <v>4785</v>
      </c>
      <c r="D464" s="32"/>
      <c r="E464" s="32"/>
      <c r="F464" s="32"/>
      <c r="O464" s="463" t="s">
        <v>1983</v>
      </c>
    </row>
    <row r="465" spans="1:31" s="412" customFormat="1" ht="15" customHeight="1" thickBot="1">
      <c r="A465" s="141"/>
      <c r="B465" s="440" t="s">
        <v>1986</v>
      </c>
      <c r="C465" s="3548" t="s">
        <v>4911</v>
      </c>
      <c r="D465" s="3548"/>
      <c r="E465" s="3548"/>
      <c r="F465" s="3548"/>
      <c r="G465" s="3548"/>
      <c r="H465" s="3548"/>
      <c r="I465" s="3548"/>
      <c r="J465" s="3548"/>
      <c r="K465" s="3491" t="s">
        <v>5038</v>
      </c>
      <c r="L465" s="2199" t="s">
        <v>4787</v>
      </c>
      <c r="M465" s="2205"/>
      <c r="N465" s="2200">
        <f>ROUNDUP('Part VI-Revenues &amp; Expenses'!$O$63*0.1,0)</f>
        <v>7</v>
      </c>
      <c r="O465" s="390" t="s">
        <v>1986</v>
      </c>
      <c r="P465" s="3719" t="s">
        <v>5164</v>
      </c>
      <c r="Q465" s="3718"/>
      <c r="R465" s="2197"/>
      <c r="S465" s="2197"/>
    </row>
    <row r="466" spans="1:31" s="412" customFormat="1" ht="15" customHeight="1">
      <c r="A466" s="141"/>
      <c r="B466" s="440"/>
      <c r="C466" s="3548"/>
      <c r="D466" s="3548"/>
      <c r="E466" s="3548"/>
      <c r="F466" s="3548"/>
      <c r="G466" s="3548"/>
      <c r="H466" s="3548"/>
      <c r="I466" s="3548"/>
      <c r="J466" s="3548"/>
      <c r="K466" s="3492"/>
      <c r="L466" s="2194" t="s">
        <v>5039</v>
      </c>
      <c r="M466" s="2206"/>
      <c r="N466" s="2198">
        <f>'Part VI-Revenues &amp; Expenses'!$O$63</f>
        <v>63</v>
      </c>
      <c r="P466" s="3550"/>
      <c r="Q466" s="3549"/>
      <c r="R466" s="2197"/>
      <c r="S466" s="2197"/>
    </row>
    <row r="467" spans="1:31" s="412" customFormat="1" ht="15" customHeight="1">
      <c r="A467" s="141"/>
      <c r="B467" s="440"/>
      <c r="C467" s="3548"/>
      <c r="D467" s="3548"/>
      <c r="E467" s="3548"/>
      <c r="F467" s="3548"/>
      <c r="G467" s="3548"/>
      <c r="H467" s="3548"/>
      <c r="I467" s="3548"/>
      <c r="J467" s="3548"/>
      <c r="K467" s="2196">
        <f>'Part VI-Revenues &amp; Expenses'!$O$88</f>
        <v>0</v>
      </c>
      <c r="L467" s="1208" t="s">
        <v>4789</v>
      </c>
      <c r="M467" s="2207"/>
      <c r="N467" s="2129">
        <f>'Part VI-Revenues &amp; Expenses'!$O$67</f>
        <v>72</v>
      </c>
      <c r="P467" s="3550"/>
      <c r="Q467" s="3549"/>
    </row>
    <row r="468" spans="1:31" s="436" customFormat="1" ht="22.5" customHeight="1">
      <c r="A468" s="525"/>
      <c r="B468" s="440" t="s">
        <v>1988</v>
      </c>
      <c r="C468" s="3548" t="s">
        <v>4912</v>
      </c>
      <c r="D468" s="3548"/>
      <c r="E468" s="3548"/>
      <c r="F468" s="3548"/>
      <c r="G468" s="3548"/>
      <c r="H468" s="3548"/>
      <c r="I468" s="3548"/>
      <c r="J468" s="3548"/>
      <c r="K468" s="587"/>
      <c r="L468" s="587"/>
      <c r="M468" s="587"/>
      <c r="O468" s="390" t="s">
        <v>1988</v>
      </c>
      <c r="P468" s="2681" t="s">
        <v>2989</v>
      </c>
      <c r="Q468" s="2299"/>
    </row>
    <row r="469" spans="1:31" s="436" customFormat="1" ht="12" customHeight="1" thickBot="1">
      <c r="A469" s="525"/>
      <c r="B469" s="440" t="s">
        <v>2534</v>
      </c>
      <c r="C469" s="3548" t="s">
        <v>4913</v>
      </c>
      <c r="D469" s="3548"/>
      <c r="E469" s="3548"/>
      <c r="F469" s="3548"/>
      <c r="G469" s="3548"/>
      <c r="H469" s="3548"/>
      <c r="I469" s="587"/>
      <c r="J469" s="1115" t="s">
        <v>4790</v>
      </c>
      <c r="K469" s="2130">
        <f>'Part VI-Revenues &amp; Expenses'!$O$103</f>
        <v>72</v>
      </c>
      <c r="L469" s="1207" t="s">
        <v>4788</v>
      </c>
      <c r="M469" s="2202"/>
      <c r="N469" s="2195">
        <f>ROUNDUP(N467*0.1,0)</f>
        <v>8</v>
      </c>
      <c r="O469" s="390" t="s">
        <v>2534</v>
      </c>
      <c r="P469" s="3550" t="s">
        <v>2989</v>
      </c>
      <c r="Q469" s="3549"/>
      <c r="R469" s="2197"/>
      <c r="S469" s="2197"/>
    </row>
    <row r="470" spans="1:31" s="436" customFormat="1" ht="12" customHeight="1" thickBot="1">
      <c r="A470" s="525"/>
      <c r="B470" s="440"/>
      <c r="C470" s="3548"/>
      <c r="D470" s="3548"/>
      <c r="E470" s="3548"/>
      <c r="F470" s="3548"/>
      <c r="G470" s="3548"/>
      <c r="H470" s="3548"/>
      <c r="I470" s="587"/>
      <c r="J470" s="1115" t="s">
        <v>4791</v>
      </c>
      <c r="K470" s="2131">
        <f>IF(N467=0,"",K469/N467)</f>
        <v>1</v>
      </c>
      <c r="L470" s="2203" t="s">
        <v>5037</v>
      </c>
      <c r="M470" s="2204"/>
      <c r="N470" s="2201">
        <f>'Part VI-Revenues &amp; Expenses'!$K$67/'Part VI-Revenues &amp; Expenses'!$O$67</f>
        <v>0.16666666666666666</v>
      </c>
      <c r="O470" s="390" t="str">
        <f>IF(AND(N470&lt;0.1,P469="Yes"), "Check!","")</f>
        <v/>
      </c>
      <c r="P470" s="3714"/>
      <c r="Q470" s="3713"/>
      <c r="R470" s="2197"/>
      <c r="S470" s="2197"/>
    </row>
    <row r="471" spans="1:31" s="42" customFormat="1" ht="12" customHeight="1">
      <c r="A471" s="46" t="s">
        <v>1985</v>
      </c>
      <c r="B471" s="86" t="s">
        <v>4914</v>
      </c>
      <c r="D471" s="39"/>
      <c r="G471" s="35"/>
      <c r="M471" s="5"/>
      <c r="R471" s="376"/>
    </row>
    <row r="472" spans="1:31" s="412" customFormat="1" ht="21.75" customHeight="1">
      <c r="A472" s="141"/>
      <c r="B472" s="3548" t="s">
        <v>4915</v>
      </c>
      <c r="C472" s="3548"/>
      <c r="D472" s="3548"/>
      <c r="E472" s="3548"/>
      <c r="F472" s="3548"/>
      <c r="G472" s="3548"/>
      <c r="H472" s="3548"/>
      <c r="I472" s="3548"/>
      <c r="J472" s="3548"/>
      <c r="K472" s="3548"/>
      <c r="L472" s="3548"/>
      <c r="M472" s="3548"/>
      <c r="N472" s="3548"/>
      <c r="O472" s="160" t="s">
        <v>1985</v>
      </c>
      <c r="P472" s="2691"/>
      <c r="Q472" s="1150"/>
      <c r="R472" s="511"/>
    </row>
    <row r="473" spans="1:31" s="42" customFormat="1" ht="11.25" customHeight="1">
      <c r="A473" s="41"/>
      <c r="B473" s="95" t="s">
        <v>3749</v>
      </c>
      <c r="C473" s="41"/>
      <c r="D473" s="47"/>
      <c r="E473" s="47"/>
      <c r="F473" s="47"/>
      <c r="G473" s="47"/>
      <c r="H473" s="35"/>
      <c r="I473" s="35"/>
      <c r="J473" s="35"/>
      <c r="K473" s="35"/>
      <c r="M473" s="45"/>
      <c r="N473" s="61"/>
      <c r="O473" s="2"/>
      <c r="P473" s="2295"/>
    </row>
    <row r="474" spans="1:31" s="42" customFormat="1" ht="34.5" customHeight="1">
      <c r="A474" s="3530" t="s">
        <v>5294</v>
      </c>
      <c r="B474" s="3531"/>
      <c r="C474" s="3531"/>
      <c r="D474" s="3531"/>
      <c r="E474" s="3531"/>
      <c r="F474" s="3531"/>
      <c r="G474" s="3531"/>
      <c r="H474" s="3531"/>
      <c r="I474" s="3531"/>
      <c r="J474" s="3531"/>
      <c r="K474" s="3531"/>
      <c r="L474" s="3531"/>
      <c r="M474" s="3531"/>
      <c r="N474" s="3531"/>
      <c r="O474" s="3531"/>
      <c r="P474" s="3531"/>
      <c r="Q474" s="3532"/>
      <c r="R474" s="1074" t="s">
        <v>1254</v>
      </c>
    </row>
    <row r="475" spans="1:31" s="42" customFormat="1" ht="10.5" customHeight="1">
      <c r="B475" s="85" t="s">
        <v>1866</v>
      </c>
      <c r="C475" s="98"/>
      <c r="D475" s="85"/>
      <c r="E475" s="99"/>
      <c r="F475" s="2296"/>
      <c r="G475" s="2296"/>
      <c r="H475" s="2296"/>
      <c r="I475" s="2296"/>
      <c r="J475" s="2296"/>
      <c r="K475" s="2296"/>
      <c r="L475" s="2296"/>
      <c r="M475" s="2296"/>
      <c r="N475" s="74"/>
      <c r="O475" s="70"/>
      <c r="P475" s="2292"/>
      <c r="Q475" s="426"/>
    </row>
    <row r="476" spans="1:31" s="42" customFormat="1" ht="11.25" customHeight="1">
      <c r="A476" s="3486"/>
      <c r="B476" s="3487"/>
      <c r="C476" s="3487"/>
      <c r="D476" s="3487"/>
      <c r="E476" s="3487"/>
      <c r="F476" s="3487"/>
      <c r="G476" s="3487"/>
      <c r="H476" s="3487"/>
      <c r="I476" s="3487"/>
      <c r="J476" s="3487"/>
      <c r="K476" s="3487"/>
      <c r="L476" s="3487"/>
      <c r="M476" s="3487"/>
      <c r="N476" s="3487"/>
      <c r="O476" s="3487"/>
      <c r="P476" s="3487"/>
      <c r="Q476" s="3488"/>
    </row>
    <row r="477" spans="1:31" ht="3" customHeight="1">
      <c r="A477" s="2293"/>
      <c r="B477" s="2305"/>
      <c r="C477" s="2296"/>
      <c r="D477" s="2296"/>
      <c r="E477" s="2296"/>
      <c r="F477" s="2296"/>
      <c r="G477" s="2296"/>
      <c r="H477" s="2296"/>
      <c r="I477" s="2296"/>
      <c r="J477" s="2296"/>
      <c r="K477" s="2296"/>
      <c r="L477" s="2296"/>
      <c r="M477" s="2296"/>
      <c r="N477" s="2296"/>
      <c r="O477" s="2296"/>
      <c r="P477" s="2296"/>
      <c r="Q477" s="2293"/>
    </row>
    <row r="478" spans="1:31" ht="13.95" customHeight="1">
      <c r="A478" s="2290" t="s">
        <v>4786</v>
      </c>
      <c r="B478" s="3"/>
      <c r="C478" s="3" t="s">
        <v>2670</v>
      </c>
      <c r="D478" s="86"/>
      <c r="E478" s="2296"/>
      <c r="F478" s="2296"/>
      <c r="G478" s="2296"/>
      <c r="H478" s="2296"/>
      <c r="I478" s="2296"/>
      <c r="J478" s="2296"/>
      <c r="K478" s="2296"/>
      <c r="L478" s="2296"/>
      <c r="M478" s="2296"/>
      <c r="O478" s="131" t="s">
        <v>1867</v>
      </c>
      <c r="P478" s="3489"/>
      <c r="Q478" s="3490"/>
    </row>
    <row r="479" spans="1:31" ht="11.25" customHeight="1">
      <c r="A479" s="2290"/>
      <c r="B479" s="140" t="s">
        <v>3749</v>
      </c>
      <c r="D479" s="140"/>
      <c r="E479" s="140"/>
      <c r="F479" s="140"/>
      <c r="G479" s="140"/>
      <c r="H479" s="39"/>
      <c r="I479" s="2305"/>
      <c r="J479" s="2305"/>
      <c r="K479" s="2305"/>
      <c r="L479" s="2293"/>
      <c r="M479" s="2293"/>
      <c r="N479" s="2293"/>
      <c r="O479" s="2293"/>
      <c r="P479" s="2293"/>
      <c r="Q479" s="896"/>
    </row>
    <row r="480" spans="1:31" ht="22.5" customHeight="1">
      <c r="A480" s="3530" t="s">
        <v>5177</v>
      </c>
      <c r="B480" s="3531"/>
      <c r="C480" s="3531"/>
      <c r="D480" s="3531"/>
      <c r="E480" s="3531"/>
      <c r="F480" s="3531"/>
      <c r="G480" s="3531"/>
      <c r="H480" s="3531"/>
      <c r="I480" s="3531"/>
      <c r="J480" s="3531"/>
      <c r="K480" s="3531"/>
      <c r="L480" s="3531"/>
      <c r="M480" s="3531"/>
      <c r="N480" s="3531"/>
      <c r="O480" s="3531"/>
      <c r="P480" s="3531"/>
      <c r="Q480" s="3532"/>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6"/>
      <c r="E481" s="2296"/>
      <c r="F481" s="2296"/>
      <c r="G481" s="2296"/>
      <c r="H481" s="2296"/>
      <c r="I481" s="2296"/>
      <c r="J481" s="2296"/>
      <c r="K481" s="2296"/>
      <c r="L481" s="2296"/>
      <c r="M481" s="2296"/>
      <c r="N481" s="2296"/>
      <c r="O481" s="2296"/>
      <c r="P481" s="2296"/>
      <c r="Q481" s="2296"/>
    </row>
    <row r="482" spans="1:32" ht="22.5" customHeight="1">
      <c r="A482" s="3486"/>
      <c r="B482" s="3487"/>
      <c r="C482" s="3487"/>
      <c r="D482" s="3487"/>
      <c r="E482" s="3487"/>
      <c r="F482" s="3487"/>
      <c r="G482" s="3487"/>
      <c r="H482" s="3487"/>
      <c r="I482" s="3487"/>
      <c r="J482" s="3487"/>
      <c r="K482" s="3487"/>
      <c r="L482" s="3487"/>
      <c r="M482" s="3487"/>
      <c r="N482" s="3487"/>
      <c r="O482" s="3487"/>
      <c r="P482" s="3487"/>
      <c r="Q482" s="3488"/>
    </row>
    <row r="483" spans="1:32" ht="3" customHeight="1">
      <c r="A483" s="2293"/>
      <c r="B483" s="2305"/>
      <c r="C483" s="2296"/>
      <c r="D483" s="2296"/>
      <c r="E483" s="2296"/>
      <c r="F483" s="2296"/>
      <c r="G483" s="2296"/>
      <c r="H483" s="2296"/>
      <c r="I483" s="2296"/>
      <c r="J483" s="2296"/>
      <c r="K483" s="2296"/>
      <c r="L483" s="2296"/>
      <c r="M483" s="2296"/>
      <c r="N483" s="2296"/>
      <c r="O483" s="2296"/>
      <c r="P483" s="2296"/>
      <c r="Q483" s="2293"/>
    </row>
    <row r="484" spans="1:32" ht="3" customHeight="1">
      <c r="A484" s="2293"/>
      <c r="B484" s="2305"/>
      <c r="C484" s="2296"/>
      <c r="D484" s="2296"/>
      <c r="E484" s="2296"/>
      <c r="F484" s="2296"/>
      <c r="G484" s="2296"/>
      <c r="H484" s="2296"/>
      <c r="I484" s="2296"/>
      <c r="J484" s="2296"/>
      <c r="K484" s="2296"/>
      <c r="L484" s="2296"/>
      <c r="M484" s="2296"/>
      <c r="N484" s="2296"/>
      <c r="O484" s="2296"/>
      <c r="P484" s="2296"/>
      <c r="Q484" s="2293"/>
    </row>
    <row r="485" spans="1:32" ht="13.95" customHeight="1">
      <c r="A485" s="2290" t="s">
        <v>4794</v>
      </c>
      <c r="B485" s="3"/>
      <c r="C485" s="3" t="s">
        <v>4964</v>
      </c>
      <c r="D485" s="86"/>
      <c r="E485" s="2296"/>
      <c r="F485" s="2296"/>
      <c r="G485" s="2296"/>
      <c r="H485" s="2296"/>
      <c r="I485" s="2296"/>
      <c r="J485" s="2296"/>
      <c r="K485" s="2296"/>
      <c r="L485" s="2296"/>
      <c r="M485" s="2296"/>
      <c r="O485" s="131" t="s">
        <v>1867</v>
      </c>
      <c r="P485" s="3489"/>
      <c r="Q485" s="3490"/>
    </row>
    <row r="486" spans="1:32" s="102" customFormat="1" ht="11.25" customHeight="1">
      <c r="B486" s="179" t="s">
        <v>4795</v>
      </c>
      <c r="D486" s="60"/>
      <c r="E486" s="60"/>
      <c r="F486" s="43"/>
      <c r="G486" s="26"/>
      <c r="L486" s="376"/>
      <c r="M486" s="376"/>
      <c r="N486" s="376"/>
      <c r="O486" s="376"/>
      <c r="P486" s="376"/>
      <c r="Q486" s="376"/>
      <c r="R486" s="376"/>
      <c r="T486" s="1070"/>
      <c r="U486" s="1070"/>
    </row>
    <row r="487" spans="1:32" s="102" customFormat="1" ht="10.5" customHeight="1">
      <c r="A487" s="138"/>
      <c r="B487" s="39" t="s">
        <v>4916</v>
      </c>
      <c r="D487" s="60"/>
      <c r="E487" s="60"/>
      <c r="F487" s="43"/>
      <c r="G487" s="26"/>
      <c r="K487" s="463"/>
      <c r="M487" s="6"/>
      <c r="N487" s="463"/>
      <c r="P487" s="2674"/>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3829</v>
      </c>
      <c r="P502" s="1045"/>
      <c r="AE502" s="438"/>
      <c r="AF502" s="438"/>
    </row>
    <row r="503" spans="1:32" s="431" customFormat="1" ht="10.199999999999999">
      <c r="B503" s="1043"/>
      <c r="C503" s="1042" t="s">
        <v>2544</v>
      </c>
      <c r="D503" s="1042"/>
      <c r="E503" s="1042"/>
      <c r="F503" s="1042"/>
      <c r="G503" s="1042"/>
      <c r="H503" s="1042"/>
      <c r="I503" s="1042"/>
      <c r="J503" s="2132" t="s">
        <v>1724</v>
      </c>
      <c r="K503" s="1042"/>
      <c r="L503" s="1043"/>
      <c r="M503" s="1043"/>
      <c r="N503" s="1044"/>
      <c r="O503" s="1043" t="s">
        <v>3830</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3831</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3832</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3861</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3833</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3834</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3835</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3836</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3773</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4768</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3766</v>
      </c>
      <c r="K525" s="1043"/>
      <c r="L525" s="1043"/>
      <c r="M525" s="1043"/>
      <c r="N525" s="1042"/>
      <c r="O525" s="1042"/>
      <c r="P525" s="1042"/>
      <c r="AE525" s="415"/>
      <c r="AF525" s="415"/>
    </row>
    <row r="526" spans="2:32" s="54" customFormat="1" ht="10.199999999999999">
      <c r="B526" s="1042"/>
      <c r="C526" s="1042" t="s">
        <v>2544</v>
      </c>
      <c r="D526" s="1043"/>
      <c r="E526" s="1043"/>
      <c r="F526" s="1043"/>
      <c r="G526" s="1043"/>
      <c r="H526" s="1042"/>
      <c r="I526" s="1043"/>
      <c r="J526" s="1043" t="s">
        <v>3767</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4766</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3970</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4767</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3971</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2677</v>
      </c>
      <c r="D564" s="1042"/>
      <c r="E564" s="1042"/>
      <c r="F564" s="1042"/>
      <c r="G564" s="1042"/>
      <c r="H564" s="1042"/>
      <c r="I564" s="1042"/>
      <c r="J564" s="1042"/>
      <c r="K564" s="1042" t="s">
        <v>3761</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4918</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3906</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4919</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4971</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4968</v>
      </c>
      <c r="N582" s="1042"/>
      <c r="O582" s="1042"/>
      <c r="P582" s="1042"/>
      <c r="AE582" s="415"/>
      <c r="AF582" s="415"/>
    </row>
    <row r="583" spans="2:32" s="54" customFormat="1" ht="10.199999999999999">
      <c r="B583" s="1042"/>
      <c r="C583" s="1042" t="s">
        <v>2544</v>
      </c>
      <c r="D583" s="1042"/>
      <c r="E583" s="1042"/>
      <c r="F583" s="1042"/>
      <c r="G583" s="1042"/>
      <c r="H583" s="1042"/>
      <c r="I583" s="1042"/>
      <c r="J583" s="1042"/>
      <c r="K583" s="1042"/>
      <c r="L583" s="1042"/>
      <c r="M583" s="1042" t="s">
        <v>5005</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4969</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5068</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5069</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4970</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P6hQeOWohPX/qiDkq9l+7mPY6otn5Fs5pmXcg5v6iLH1i1J/Udx6jQqxq0Nay+bUTM6yKLIF3G5zs7VSqmNCPg==" saltValue="se4QZ8f1MA/U3lUwbcq16g=="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9" zoomScale="120" zoomScaleNormal="120" workbookViewId="0">
      <selection activeCell="A439"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72" t="str">
        <f>CONCATENATE("PART NINE - SCORING CRITERIA","  -  ",'Part I-Project Information'!$O$6," ",'Part I-Project Information'!$F$34,", ",'Part I-Project Information'!F38,", ",'Part I-Project Information'!J39," County")</f>
        <v>PART NINE - SCORING CRITERIA  -  2019-042 Brennan Place, Columbus, Muscogee County</v>
      </c>
      <c r="B1" s="3173"/>
      <c r="C1" s="3173"/>
      <c r="D1" s="3173"/>
      <c r="E1" s="3173"/>
      <c r="F1" s="3173"/>
      <c r="G1" s="3173"/>
      <c r="H1" s="3173"/>
      <c r="I1" s="3173"/>
      <c r="J1" s="3173"/>
      <c r="K1" s="3173"/>
      <c r="L1" s="3173"/>
      <c r="M1" s="3173"/>
      <c r="N1" s="3173"/>
      <c r="O1" s="3173"/>
      <c r="P1" s="3174"/>
      <c r="Q1" s="2159"/>
      <c r="R1" s="2159"/>
      <c r="S1" s="2159"/>
    </row>
    <row r="2" spans="1:22" s="34" customFormat="1" ht="4.2"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913" t="s">
        <v>4938</v>
      </c>
      <c r="B3" s="3913"/>
      <c r="C3" s="3913"/>
      <c r="D3" s="3913"/>
      <c r="E3" s="3913"/>
      <c r="F3" s="3913"/>
      <c r="G3" s="3913"/>
      <c r="H3" s="3913"/>
      <c r="I3" s="3913"/>
      <c r="J3" s="3913"/>
      <c r="K3" s="3913"/>
      <c r="L3" s="3913"/>
      <c r="M3" s="1157" t="s">
        <v>2219</v>
      </c>
      <c r="N3" s="73"/>
      <c r="O3" s="83" t="s">
        <v>2218</v>
      </c>
      <c r="P3" s="1158" t="s">
        <v>256</v>
      </c>
      <c r="Q3" s="2159"/>
      <c r="R3" s="2159"/>
      <c r="S3" s="2159"/>
    </row>
    <row r="4" spans="1:22" s="43" customFormat="1" ht="12" customHeight="1">
      <c r="A4" s="3913"/>
      <c r="B4" s="3913"/>
      <c r="C4" s="3913"/>
      <c r="D4" s="3913"/>
      <c r="E4" s="3913"/>
      <c r="F4" s="3913"/>
      <c r="G4" s="3913"/>
      <c r="H4" s="3913"/>
      <c r="I4" s="3913"/>
      <c r="J4" s="3913"/>
      <c r="K4" s="3913"/>
      <c r="L4" s="3913"/>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02" t="str">
        <f>'Part I-Project Information'!$B$6</f>
        <v>April 2019 Final</v>
      </c>
      <c r="C6" s="3902"/>
      <c r="D6" s="3902"/>
      <c r="E6" s="3902"/>
      <c r="F6" s="3902"/>
      <c r="G6" s="469"/>
      <c r="H6" s="41"/>
      <c r="I6" s="41"/>
      <c r="J6" s="41"/>
      <c r="L6" s="69" t="s">
        <v>1226</v>
      </c>
      <c r="M6" s="268">
        <f>M448</f>
        <v>92</v>
      </c>
      <c r="N6" s="8"/>
      <c r="O6" s="1142">
        <f>O448</f>
        <v>56</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4804</v>
      </c>
      <c r="D8" s="51"/>
      <c r="E8" s="51"/>
      <c r="F8" s="51"/>
      <c r="G8" s="66"/>
      <c r="H8" s="172" t="s">
        <v>4901</v>
      </c>
      <c r="I8" s="66"/>
      <c r="J8" s="66"/>
      <c r="K8" s="66"/>
      <c r="L8" s="66"/>
      <c r="M8" s="2081" t="s">
        <v>4900</v>
      </c>
      <c r="N8" s="66"/>
      <c r="O8" s="2700"/>
      <c r="P8" s="2079">
        <f>IF(P10&lt;2,0,IF(AND(P10&gt;1,P10&lt;5),1,IF(P10&gt;4,P10-3)))</f>
        <v>0</v>
      </c>
      <c r="Q8" s="35" t="s">
        <v>4902</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4140</v>
      </c>
      <c r="B10" s="2122" t="s">
        <v>4141</v>
      </c>
      <c r="C10" s="1192"/>
      <c r="D10" s="1192"/>
      <c r="E10" s="964" t="s">
        <v>4168</v>
      </c>
      <c r="F10" s="3938" t="s">
        <v>4167</v>
      </c>
      <c r="G10" s="3938"/>
      <c r="H10" s="3938"/>
      <c r="I10" s="3938"/>
      <c r="J10" s="3938"/>
      <c r="K10" s="3938"/>
      <c r="L10" s="3938"/>
      <c r="M10" s="3938"/>
      <c r="N10" s="3938"/>
      <c r="O10" s="2123" t="s">
        <v>4802</v>
      </c>
      <c r="P10" s="2124">
        <f>SUM(P11:P20)</f>
        <v>0</v>
      </c>
      <c r="Q10" s="3977" t="s">
        <v>5015</v>
      </c>
      <c r="R10" s="3977"/>
      <c r="S10" s="3977"/>
      <c r="T10" s="3977"/>
      <c r="U10" s="3977"/>
      <c r="V10" s="3977"/>
    </row>
    <row r="11" spans="1:22" s="41" customFormat="1" ht="11.25" customHeight="1">
      <c r="A11" s="1175" t="s">
        <v>742</v>
      </c>
      <c r="B11" s="1176" t="s">
        <v>4142</v>
      </c>
      <c r="C11" s="1177"/>
      <c r="D11" s="1178"/>
      <c r="E11" s="2113">
        <f>$O$61</f>
        <v>10</v>
      </c>
      <c r="F11" s="3939" t="str">
        <f>$A$67</f>
        <v>The applicant is eligible for the maximum ten (10) total Desirable Activities points. The proposed site is within 1.5 miles of a Walmart Supercenter, Family Doller, Piggly Wiggly, Golden Chopstick resataurant, Vlley Healthcare System (medical care provider), CVS, Dominion Children's Academy, Baker Middle School, Recreation Center, Synovous Bank, Macedonia Christian Ministry and US Post Ofice. There are no undesirables. Please see Tab 28 of the Applcation for the Desirable/Undesirable form and additional information regarding the desirable activities.</v>
      </c>
      <c r="G11" s="3940"/>
      <c r="H11" s="3940"/>
      <c r="I11" s="3940"/>
      <c r="J11" s="3940"/>
      <c r="K11" s="3940"/>
      <c r="L11" s="3940"/>
      <c r="M11" s="3940"/>
      <c r="N11" s="3940"/>
      <c r="O11" s="3940"/>
      <c r="P11" s="2142"/>
      <c r="Q11" s="3977"/>
      <c r="R11" s="3977"/>
      <c r="S11" s="3977"/>
      <c r="T11" s="3977"/>
      <c r="U11" s="3977"/>
      <c r="V11" s="3977"/>
    </row>
    <row r="12" spans="1:22" s="41" customFormat="1" ht="11.25" customHeight="1">
      <c r="A12" s="1179" t="s">
        <v>530</v>
      </c>
      <c r="B12" s="965" t="s">
        <v>4144</v>
      </c>
      <c r="C12" s="1085"/>
      <c r="D12" s="1180"/>
      <c r="E12" s="2114">
        <f>$O$153</f>
        <v>0</v>
      </c>
      <c r="F12" s="3899" t="str">
        <f>$A$185</f>
        <v>Applicant is not claiming points in this category.</v>
      </c>
      <c r="G12" s="3900"/>
      <c r="H12" s="3900"/>
      <c r="I12" s="3900"/>
      <c r="J12" s="3900"/>
      <c r="K12" s="3900"/>
      <c r="L12" s="3900"/>
      <c r="M12" s="3900"/>
      <c r="N12" s="3900"/>
      <c r="O12" s="3901"/>
      <c r="P12" s="2143"/>
      <c r="Q12" s="3988" t="str">
        <f>IF(OR($A$67="",$A$302="",$A$185="",$A$224="",$A$273="",$A$325="",$A$365="",$A$380="",$A$416="",$A$436=""),"Some Applicant Scoring Justification boxes are empty! Check to see if points claimed.","")</f>
        <v/>
      </c>
      <c r="R12" s="3989"/>
      <c r="S12" s="3989"/>
    </row>
    <row r="13" spans="1:22" s="41" customFormat="1" ht="11.25" customHeight="1">
      <c r="A13" s="1179" t="s">
        <v>772</v>
      </c>
      <c r="B13" s="965" t="s">
        <v>4145</v>
      </c>
      <c r="C13" s="1085"/>
      <c r="D13" s="1180"/>
      <c r="E13" s="2115">
        <f>$O$189</f>
        <v>7</v>
      </c>
      <c r="F13" s="3899" t="str">
        <f>$A$224</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32.  The site is located within a 2019 QCT, as shown on a map in Tab 32.  Finally, the development is within ½ mile of a Third Party Capital Investment for the Ft. Benning Road Roundabout Project.  The Roundabout project was budgeted to cost $4,186,038, which represents 29.5% of the TDC.  Information about the cost of the project and the timeline is included in Tab 32 for reference.   Per an email from Ryan Pruett, Project Engineer with the Columbus Consolidated Government, the Ft. Benning Project was actually expanded to include additional streetscapes and was awarded to Alexander Contracting Co in April, 2018.  The work has begun and is ongoing, but will be complete by 12/31/2020, prior to placed-in-service of the proposed development.  The investment in the road and streetscape is a significant improvement to the infrastructure in the immediate area.  The enhancements will increase walkability, connectivity, pedestrian safety and access to thoroughfares for the tenant base.  </v>
      </c>
      <c r="G13" s="3900"/>
      <c r="H13" s="3900"/>
      <c r="I13" s="3900"/>
      <c r="J13" s="3900"/>
      <c r="K13" s="3900"/>
      <c r="L13" s="3900"/>
      <c r="M13" s="3900"/>
      <c r="N13" s="3900"/>
      <c r="O13" s="3901"/>
      <c r="P13" s="2143"/>
      <c r="Q13" s="3988"/>
      <c r="R13" s="3989"/>
      <c r="S13" s="3989"/>
    </row>
    <row r="14" spans="1:22" s="41" customFormat="1" ht="11.25" customHeight="1">
      <c r="A14" s="1185" t="s">
        <v>292</v>
      </c>
      <c r="B14" s="1186" t="s">
        <v>4146</v>
      </c>
      <c r="C14" s="1187"/>
      <c r="D14" s="1188"/>
      <c r="E14" s="2116" t="s">
        <v>1733</v>
      </c>
      <c r="F14" s="3941" t="str">
        <f>$A$273</f>
        <v>Applicant is not claiming points in this category.</v>
      </c>
      <c r="G14" s="3942"/>
      <c r="H14" s="3942"/>
      <c r="I14" s="3942"/>
      <c r="J14" s="3942"/>
      <c r="K14" s="3942"/>
      <c r="L14" s="3942"/>
      <c r="M14" s="3942"/>
      <c r="N14" s="3942"/>
      <c r="O14" s="3943"/>
      <c r="P14" s="2143"/>
      <c r="Q14" s="3988"/>
      <c r="R14" s="3989"/>
      <c r="S14" s="3989"/>
    </row>
    <row r="15" spans="1:22" s="41" customFormat="1" ht="11.25" customHeight="1">
      <c r="A15" s="1179" t="s">
        <v>362</v>
      </c>
      <c r="B15" s="965" t="s">
        <v>3785</v>
      </c>
      <c r="C15" s="1085"/>
      <c r="D15" s="1180"/>
      <c r="E15" s="2114">
        <f>$O$298</f>
        <v>0</v>
      </c>
      <c r="F15" s="3899" t="str">
        <f>$A$302</f>
        <v>Applicant is not claiming points in this category.</v>
      </c>
      <c r="G15" s="3900"/>
      <c r="H15" s="3900"/>
      <c r="I15" s="3900"/>
      <c r="J15" s="3900"/>
      <c r="K15" s="3900"/>
      <c r="L15" s="3900"/>
      <c r="M15" s="3900"/>
      <c r="N15" s="3900"/>
      <c r="O15" s="3901"/>
      <c r="P15" s="2143"/>
      <c r="Q15" s="3988"/>
      <c r="R15" s="3989"/>
      <c r="S15" s="3989"/>
    </row>
    <row r="16" spans="1:22" s="41" customFormat="1" ht="11.25" customHeight="1">
      <c r="A16" s="1179" t="s">
        <v>4894</v>
      </c>
      <c r="B16" s="965" t="s">
        <v>4452</v>
      </c>
      <c r="C16" s="1085"/>
      <c r="D16" s="1180"/>
      <c r="E16" s="2116">
        <f>$O$306</f>
        <v>3</v>
      </c>
      <c r="F16" s="3899" t="str">
        <f>$A$325</f>
        <v>There have been no 9% credit awards within the last Six (6) DCA funding cycles that are within one mile from the proposed site. Applicant is eligible for three points in this category.</v>
      </c>
      <c r="G16" s="3900"/>
      <c r="H16" s="3900"/>
      <c r="I16" s="3900"/>
      <c r="J16" s="3900"/>
      <c r="K16" s="3900"/>
      <c r="L16" s="3900"/>
      <c r="M16" s="3900"/>
      <c r="N16" s="3900"/>
      <c r="O16" s="3901"/>
      <c r="P16" s="2143"/>
      <c r="Q16" s="3988"/>
      <c r="R16" s="3989"/>
      <c r="S16" s="3989"/>
    </row>
    <row r="17" spans="1:19" s="41" customFormat="1" ht="11.25" customHeight="1">
      <c r="A17" s="1179" t="s">
        <v>2782</v>
      </c>
      <c r="B17" s="965" t="s">
        <v>4147</v>
      </c>
      <c r="C17" s="1085"/>
      <c r="D17" s="1180"/>
      <c r="E17" s="2116">
        <f>$O$359</f>
        <v>1</v>
      </c>
      <c r="F17" s="3896" t="str">
        <f>$A$365</f>
        <v>Brennan Place is the only application the Applicant is submitting where there is direct or indirect interest. Applicant is selecting the priority point for Brennan Place.</v>
      </c>
      <c r="G17" s="3897"/>
      <c r="H17" s="3897"/>
      <c r="I17" s="3897"/>
      <c r="J17" s="3897"/>
      <c r="K17" s="3897"/>
      <c r="L17" s="3897"/>
      <c r="M17" s="3897"/>
      <c r="N17" s="3897"/>
      <c r="O17" s="3898"/>
      <c r="P17" s="2143"/>
      <c r="Q17" s="3988"/>
      <c r="R17" s="3989"/>
      <c r="S17" s="3989"/>
    </row>
    <row r="18" spans="1:19" s="41" customFormat="1" ht="11.25" customHeight="1">
      <c r="A18" s="1185" t="s">
        <v>2251</v>
      </c>
      <c r="B18" s="1186" t="s">
        <v>4148</v>
      </c>
      <c r="C18" s="1187"/>
      <c r="D18" s="1188"/>
      <c r="E18" s="2117">
        <f>O369</f>
        <v>0</v>
      </c>
      <c r="F18" s="3899" t="str">
        <f>$A$380</f>
        <v>Applicant is not claiming points in this category.</v>
      </c>
      <c r="G18" s="3900"/>
      <c r="H18" s="3900"/>
      <c r="I18" s="3900"/>
      <c r="J18" s="3900"/>
      <c r="K18" s="3900"/>
      <c r="L18" s="3900"/>
      <c r="M18" s="3900"/>
      <c r="N18" s="3900"/>
      <c r="O18" s="3901"/>
      <c r="P18" s="2143"/>
      <c r="Q18" s="3988"/>
      <c r="R18" s="3989"/>
      <c r="S18" s="3989"/>
    </row>
    <row r="19" spans="1:19" s="41" customFormat="1" ht="11.25" customHeight="1">
      <c r="A19" s="1179" t="s">
        <v>4095</v>
      </c>
      <c r="B19" s="965" t="s">
        <v>4149</v>
      </c>
      <c r="C19" s="1085"/>
      <c r="D19" s="1180"/>
      <c r="E19" s="2114">
        <f>$O$384</f>
        <v>0</v>
      </c>
      <c r="F19" s="3899" t="str">
        <f>$A$416</f>
        <v>Applicant is not claiming points in this category.</v>
      </c>
      <c r="G19" s="3900"/>
      <c r="H19" s="3900"/>
      <c r="I19" s="3900"/>
      <c r="J19" s="3900"/>
      <c r="K19" s="3900"/>
      <c r="L19" s="3900"/>
      <c r="M19" s="3900"/>
      <c r="N19" s="3900"/>
      <c r="O19" s="3901"/>
      <c r="P19" s="2143"/>
      <c r="Q19" s="3988"/>
      <c r="R19" s="3989"/>
      <c r="S19" s="3989"/>
    </row>
    <row r="20" spans="1:19" s="41" customFormat="1" ht="11.25" customHeight="1">
      <c r="A20" s="1181" t="s">
        <v>4096</v>
      </c>
      <c r="B20" s="1182" t="s">
        <v>4151</v>
      </c>
      <c r="C20" s="1183"/>
      <c r="D20" s="1184"/>
      <c r="E20" s="2118">
        <f>$O$420</f>
        <v>0</v>
      </c>
      <c r="F20" s="3935" t="str">
        <f>$A$436</f>
        <v>Project is new construction only and not a historic preservation project.</v>
      </c>
      <c r="G20" s="3936"/>
      <c r="H20" s="3936"/>
      <c r="I20" s="3936"/>
      <c r="J20" s="3936"/>
      <c r="K20" s="3936"/>
      <c r="L20" s="3936"/>
      <c r="M20" s="3936"/>
      <c r="N20" s="3936"/>
      <c r="O20" s="3937"/>
      <c r="P20" s="2144"/>
      <c r="Q20" s="3988"/>
      <c r="R20" s="3989"/>
      <c r="S20" s="3989"/>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10"/>
      <c r="H22" s="172" t="s">
        <v>4899</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4797</v>
      </c>
      <c r="D24" s="47"/>
      <c r="E24" s="47"/>
      <c r="F24" s="2310"/>
      <c r="M24" s="5"/>
      <c r="N24" s="64" t="s">
        <v>1983</v>
      </c>
    </row>
    <row r="25" spans="1:19" s="42" customFormat="1" ht="11.25" customHeight="1">
      <c r="A25" s="178"/>
      <c r="B25" s="2084" t="s">
        <v>1986</v>
      </c>
      <c r="C25" s="110" t="s">
        <v>4800</v>
      </c>
      <c r="D25" s="47"/>
      <c r="E25" s="47"/>
      <c r="F25" s="2310"/>
      <c r="H25" s="172" t="s">
        <v>3646</v>
      </c>
      <c r="J25" s="48"/>
      <c r="M25" s="5"/>
      <c r="N25" s="390" t="s">
        <v>1986</v>
      </c>
      <c r="O25" s="2701"/>
      <c r="P25" s="1143">
        <f>F33</f>
        <v>0</v>
      </c>
    </row>
    <row r="26" spans="1:19" s="42" customFormat="1" ht="11.25" customHeight="1">
      <c r="A26" s="178"/>
      <c r="B26" s="2084" t="s">
        <v>1988</v>
      </c>
      <c r="C26" s="110" t="s">
        <v>5080</v>
      </c>
      <c r="D26" s="47"/>
      <c r="E26" s="47"/>
      <c r="F26" s="2310"/>
      <c r="H26" s="172" t="s">
        <v>4798</v>
      </c>
      <c r="J26" s="48"/>
      <c r="M26" s="5"/>
      <c r="N26" s="390" t="s">
        <v>1988</v>
      </c>
      <c r="O26" s="2702"/>
      <c r="P26" s="2077">
        <f>J33</f>
        <v>0</v>
      </c>
    </row>
    <row r="27" spans="1:19" s="42" customFormat="1" ht="11.25" customHeight="1">
      <c r="A27" s="178"/>
      <c r="B27" s="2084" t="s">
        <v>2534</v>
      </c>
      <c r="C27" s="110" t="s">
        <v>4799</v>
      </c>
      <c r="D27" s="47"/>
      <c r="E27" s="47"/>
      <c r="F27" s="2310"/>
      <c r="H27" s="172" t="s">
        <v>4803</v>
      </c>
      <c r="J27" s="48"/>
      <c r="M27" s="5"/>
      <c r="N27" s="390" t="s">
        <v>2534</v>
      </c>
      <c r="O27" s="2703"/>
      <c r="P27" s="2704"/>
    </row>
    <row r="28" spans="1:19" s="42" customFormat="1" ht="11.25" customHeight="1">
      <c r="C28" s="3906" t="s">
        <v>5041</v>
      </c>
      <c r="D28" s="3907"/>
      <c r="E28" s="3907"/>
      <c r="F28" s="3907"/>
      <c r="G28" s="3907"/>
      <c r="H28" s="3907"/>
      <c r="I28" s="3907"/>
      <c r="J28" s="3907"/>
      <c r="K28" s="3907"/>
      <c r="L28" s="3907"/>
      <c r="M28" s="3907"/>
      <c r="N28" s="3907"/>
      <c r="O28" s="3907"/>
      <c r="P28" s="3908"/>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10"/>
      <c r="H30" s="172" t="s">
        <v>2729</v>
      </c>
      <c r="J30" s="48"/>
      <c r="M30" s="5"/>
      <c r="N30" s="64" t="s">
        <v>1985</v>
      </c>
      <c r="O30" s="2705"/>
      <c r="P30" s="2080">
        <f>O33</f>
        <v>0</v>
      </c>
    </row>
    <row r="31" spans="1:19" s="426" customFormat="1" ht="3" customHeight="1">
      <c r="A31" s="584"/>
      <c r="B31" s="578"/>
      <c r="C31" s="579"/>
      <c r="D31" s="139"/>
      <c r="K31" s="904"/>
      <c r="L31" s="904"/>
      <c r="M31" s="1038"/>
      <c r="N31" s="390"/>
      <c r="O31" s="909"/>
      <c r="P31" s="909"/>
    </row>
    <row r="32" spans="1:19" s="41" customFormat="1" ht="10.95" customHeight="1">
      <c r="A32" s="3923" t="s">
        <v>5010</v>
      </c>
      <c r="B32" s="3923"/>
      <c r="C32" s="3923"/>
      <c r="D32" s="3923"/>
      <c r="E32" s="3923"/>
      <c r="F32" s="2074" t="s">
        <v>4139</v>
      </c>
      <c r="G32" s="3927" t="s">
        <v>5011</v>
      </c>
      <c r="H32" s="3927"/>
      <c r="I32" s="3927"/>
      <c r="J32" s="2074" t="s">
        <v>4139</v>
      </c>
      <c r="K32" s="3931" t="s">
        <v>4796</v>
      </c>
      <c r="L32" s="3931"/>
      <c r="M32" s="3931"/>
      <c r="N32" s="3931"/>
      <c r="O32" s="3925" t="s">
        <v>4139</v>
      </c>
      <c r="P32" s="3926"/>
      <c r="R32" s="447"/>
      <c r="S32" s="157"/>
    </row>
    <row r="33" spans="1:20" s="41" customFormat="1" ht="11.25" customHeight="1">
      <c r="A33" s="3924"/>
      <c r="B33" s="3924"/>
      <c r="C33" s="3924"/>
      <c r="D33" s="3924"/>
      <c r="E33" s="3924"/>
      <c r="F33" s="76">
        <f>SUM(F34:F45)</f>
        <v>0</v>
      </c>
      <c r="G33" s="3928"/>
      <c r="H33" s="3929"/>
      <c r="I33" s="3930"/>
      <c r="J33" s="76">
        <f>SUM(J34:J45)</f>
        <v>0</v>
      </c>
      <c r="K33" s="3932"/>
      <c r="L33" s="3933"/>
      <c r="M33" s="3933"/>
      <c r="N33" s="3934"/>
      <c r="O33" s="3914">
        <f>SUM(O34:O45)</f>
        <v>0</v>
      </c>
      <c r="P33" s="3915"/>
      <c r="Q33" s="447"/>
      <c r="R33" s="157"/>
    </row>
    <row r="34" spans="1:20" s="41" customFormat="1" ht="24.75" customHeight="1">
      <c r="A34" s="3916">
        <v>1</v>
      </c>
      <c r="B34" s="3917"/>
      <c r="C34" s="3917"/>
      <c r="D34" s="3917"/>
      <c r="E34" s="3918"/>
      <c r="F34" s="881"/>
      <c r="G34" s="3916">
        <v>1</v>
      </c>
      <c r="H34" s="3917"/>
      <c r="I34" s="3918"/>
      <c r="J34" s="885" t="s">
        <v>1733</v>
      </c>
      <c r="K34" s="3919">
        <v>1</v>
      </c>
      <c r="L34" s="3920"/>
      <c r="M34" s="3920"/>
      <c r="N34" s="3920"/>
      <c r="O34" s="3921" t="s">
        <v>1733</v>
      </c>
      <c r="P34" s="3922"/>
      <c r="Q34" s="445" t="s">
        <v>1254</v>
      </c>
      <c r="R34" s="157"/>
    </row>
    <row r="35" spans="1:20" s="41" customFormat="1" ht="24.75" customHeight="1">
      <c r="A35" s="3765">
        <v>2</v>
      </c>
      <c r="B35" s="3766"/>
      <c r="C35" s="3766"/>
      <c r="D35" s="3766"/>
      <c r="E35" s="3767"/>
      <c r="F35" s="882"/>
      <c r="G35" s="3765">
        <v>2</v>
      </c>
      <c r="H35" s="3766"/>
      <c r="I35" s="3767"/>
      <c r="J35" s="882"/>
      <c r="K35" s="3768">
        <v>2</v>
      </c>
      <c r="L35" s="3769"/>
      <c r="M35" s="3769"/>
      <c r="N35" s="3769"/>
      <c r="O35" s="3770"/>
      <c r="P35" s="3771"/>
      <c r="Q35" s="446"/>
      <c r="R35" s="157"/>
    </row>
    <row r="36" spans="1:20" s="41" customFormat="1" ht="24.75" customHeight="1">
      <c r="A36" s="3765">
        <v>3</v>
      </c>
      <c r="B36" s="3766"/>
      <c r="C36" s="3766"/>
      <c r="D36" s="3766"/>
      <c r="E36" s="3767"/>
      <c r="F36" s="882"/>
      <c r="G36" s="3765">
        <v>3</v>
      </c>
      <c r="H36" s="3766"/>
      <c r="I36" s="3767"/>
      <c r="J36" s="1189" t="s">
        <v>2904</v>
      </c>
      <c r="K36" s="3768">
        <v>3</v>
      </c>
      <c r="L36" s="3769"/>
      <c r="M36" s="3769"/>
      <c r="N36" s="3769"/>
      <c r="O36" s="3772" t="s">
        <v>2904</v>
      </c>
      <c r="P36" s="3773"/>
      <c r="Q36" s="3736" t="s">
        <v>4801</v>
      </c>
      <c r="R36" s="3737"/>
      <c r="S36" s="2078"/>
      <c r="T36" s="2078"/>
    </row>
    <row r="37" spans="1:20" s="41" customFormat="1" ht="24.75" customHeight="1">
      <c r="A37" s="3765">
        <v>4</v>
      </c>
      <c r="B37" s="3766"/>
      <c r="C37" s="3766"/>
      <c r="D37" s="3766"/>
      <c r="E37" s="3767"/>
      <c r="F37" s="882"/>
      <c r="G37" s="3765">
        <v>4</v>
      </c>
      <c r="H37" s="3766"/>
      <c r="I37" s="3767"/>
      <c r="J37" s="882"/>
      <c r="K37" s="3768">
        <v>4</v>
      </c>
      <c r="L37" s="3769"/>
      <c r="M37" s="3769"/>
      <c r="N37" s="3769"/>
      <c r="O37" s="3772" t="s">
        <v>2904</v>
      </c>
      <c r="P37" s="3773"/>
      <c r="Q37" s="3736"/>
      <c r="R37" s="3737"/>
      <c r="S37" s="2078"/>
      <c r="T37" s="2078"/>
    </row>
    <row r="38" spans="1:20" s="41" customFormat="1" ht="24.75" customHeight="1">
      <c r="A38" s="3765">
        <v>5</v>
      </c>
      <c r="B38" s="3766"/>
      <c r="C38" s="3766"/>
      <c r="D38" s="3766"/>
      <c r="E38" s="3767"/>
      <c r="F38" s="882"/>
      <c r="G38" s="3765">
        <v>5</v>
      </c>
      <c r="H38" s="3766"/>
      <c r="I38" s="3767"/>
      <c r="J38" s="1189" t="s">
        <v>3585</v>
      </c>
      <c r="K38" s="3768">
        <v>5</v>
      </c>
      <c r="L38" s="3769"/>
      <c r="M38" s="3769"/>
      <c r="N38" s="3769"/>
      <c r="O38" s="3770"/>
      <c r="P38" s="3771"/>
      <c r="Q38" s="3736"/>
      <c r="R38" s="3737"/>
      <c r="S38" s="2078"/>
      <c r="T38" s="2078"/>
    </row>
    <row r="39" spans="1:20" s="41" customFormat="1" ht="24" customHeight="1">
      <c r="A39" s="3765">
        <v>6</v>
      </c>
      <c r="B39" s="3766"/>
      <c r="C39" s="3766"/>
      <c r="D39" s="3766"/>
      <c r="E39" s="3767"/>
      <c r="F39" s="882"/>
      <c r="G39" s="3765">
        <v>6</v>
      </c>
      <c r="H39" s="3766"/>
      <c r="I39" s="3767"/>
      <c r="J39" s="882"/>
      <c r="K39" s="3768">
        <v>6</v>
      </c>
      <c r="L39" s="3769"/>
      <c r="M39" s="3769"/>
      <c r="N39" s="3769"/>
      <c r="O39" s="3770"/>
      <c r="P39" s="3771"/>
      <c r="Q39" s="3736"/>
      <c r="R39" s="3737"/>
    </row>
    <row r="40" spans="1:20" s="41" customFormat="1" ht="10.5" customHeight="1">
      <c r="A40" s="3765">
        <v>7</v>
      </c>
      <c r="B40" s="3766"/>
      <c r="C40" s="3766"/>
      <c r="D40" s="3766"/>
      <c r="E40" s="3767"/>
      <c r="F40" s="882"/>
      <c r="G40" s="3765">
        <v>7</v>
      </c>
      <c r="H40" s="3766"/>
      <c r="I40" s="3767"/>
      <c r="J40" s="1189" t="s">
        <v>3586</v>
      </c>
      <c r="K40" s="3768">
        <v>7</v>
      </c>
      <c r="L40" s="3769"/>
      <c r="M40" s="3769"/>
      <c r="N40" s="3769"/>
      <c r="O40" s="3770"/>
      <c r="P40" s="3771"/>
      <c r="Q40" s="157"/>
      <c r="R40" s="157"/>
    </row>
    <row r="41" spans="1:20" s="41" customFormat="1" ht="10.5" customHeight="1">
      <c r="A41" s="3765">
        <v>8</v>
      </c>
      <c r="B41" s="3766"/>
      <c r="C41" s="3766"/>
      <c r="D41" s="3766"/>
      <c r="E41" s="3767"/>
      <c r="F41" s="882"/>
      <c r="G41" s="3765">
        <v>8</v>
      </c>
      <c r="H41" s="3766"/>
      <c r="I41" s="3767"/>
      <c r="J41" s="882"/>
      <c r="K41" s="3768">
        <v>8</v>
      </c>
      <c r="L41" s="3769"/>
      <c r="M41" s="3769"/>
      <c r="N41" s="3769"/>
      <c r="O41" s="3770"/>
      <c r="P41" s="3771"/>
      <c r="Q41" s="157"/>
      <c r="R41" s="157"/>
    </row>
    <row r="42" spans="1:20" s="41" customFormat="1" ht="11.25" customHeight="1">
      <c r="A42" s="3765">
        <v>9</v>
      </c>
      <c r="B42" s="3766"/>
      <c r="C42" s="3766"/>
      <c r="D42" s="3766"/>
      <c r="E42" s="3767"/>
      <c r="F42" s="882"/>
      <c r="G42" s="3765">
        <v>9</v>
      </c>
      <c r="H42" s="3766"/>
      <c r="I42" s="3767"/>
      <c r="J42" s="1189" t="s">
        <v>3587</v>
      </c>
      <c r="K42" s="3768">
        <v>9</v>
      </c>
      <c r="L42" s="3769"/>
      <c r="M42" s="3769"/>
      <c r="N42" s="3769"/>
      <c r="O42" s="3770"/>
      <c r="P42" s="3771"/>
      <c r="Q42" s="157"/>
      <c r="R42" s="157"/>
    </row>
    <row r="43" spans="1:20" s="41" customFormat="1" ht="11.25" customHeight="1">
      <c r="A43" s="3765">
        <v>10</v>
      </c>
      <c r="B43" s="3766"/>
      <c r="C43" s="3766"/>
      <c r="D43" s="3766"/>
      <c r="E43" s="3767"/>
      <c r="F43" s="882"/>
      <c r="G43" s="3765">
        <v>10</v>
      </c>
      <c r="H43" s="3766"/>
      <c r="I43" s="3767"/>
      <c r="J43" s="882"/>
      <c r="K43" s="3768">
        <v>10</v>
      </c>
      <c r="L43" s="3769"/>
      <c r="M43" s="3769"/>
      <c r="N43" s="3769"/>
      <c r="O43" s="3770"/>
      <c r="P43" s="3771"/>
      <c r="Q43" s="157"/>
    </row>
    <row r="44" spans="1:20" s="41" customFormat="1" ht="11.25" customHeight="1">
      <c r="A44" s="3765">
        <v>11</v>
      </c>
      <c r="B44" s="3766"/>
      <c r="C44" s="3766"/>
      <c r="D44" s="3766"/>
      <c r="E44" s="3767"/>
      <c r="F44" s="882"/>
      <c r="G44" s="3765">
        <v>11</v>
      </c>
      <c r="H44" s="3766"/>
      <c r="I44" s="3767"/>
      <c r="J44" s="1189" t="s">
        <v>3588</v>
      </c>
      <c r="K44" s="3765">
        <v>11</v>
      </c>
      <c r="L44" s="3766"/>
      <c r="M44" s="3766"/>
      <c r="N44" s="3767"/>
      <c r="O44" s="3770"/>
      <c r="P44" s="3771"/>
      <c r="Q44" s="157"/>
      <c r="R44" s="157"/>
    </row>
    <row r="45" spans="1:20" s="41" customFormat="1" ht="11.25" customHeight="1">
      <c r="A45" s="3945">
        <v>12</v>
      </c>
      <c r="B45" s="3946"/>
      <c r="C45" s="3946"/>
      <c r="D45" s="3946"/>
      <c r="E45" s="3947"/>
      <c r="F45" s="883"/>
      <c r="G45" s="3945">
        <v>12</v>
      </c>
      <c r="H45" s="3946"/>
      <c r="I45" s="3947"/>
      <c r="J45" s="883"/>
      <c r="K45" s="3945">
        <v>12</v>
      </c>
      <c r="L45" s="3946"/>
      <c r="M45" s="3946"/>
      <c r="N45" s="3947"/>
      <c r="O45" s="3948"/>
      <c r="P45" s="3949"/>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4811</v>
      </c>
      <c r="G48" s="87"/>
      <c r="H48" s="51"/>
      <c r="I48" s="44"/>
      <c r="K48" s="519"/>
      <c r="L48" s="886"/>
      <c r="M48" s="887"/>
      <c r="N48" s="6"/>
      <c r="O48" s="2"/>
      <c r="P48" s="2"/>
      <c r="Q48" s="109"/>
      <c r="R48" s="376"/>
    </row>
    <row r="49" spans="1:18" s="42" customFormat="1" ht="13.5" customHeight="1">
      <c r="A49" s="138" t="s">
        <v>1983</v>
      </c>
      <c r="B49" s="905" t="s">
        <v>2625</v>
      </c>
      <c r="E49" s="56"/>
      <c r="G49" s="87"/>
      <c r="H49" s="54" t="s">
        <v>5012</v>
      </c>
      <c r="J49" s="2181"/>
      <c r="K49" s="2181" t="str">
        <f>'Part I-Project Information'!$K$94</f>
        <v>40% of Units at 60% of AMI</v>
      </c>
      <c r="M49" s="887"/>
      <c r="N49" s="6"/>
      <c r="Q49" s="6"/>
      <c r="R49" s="376"/>
    </row>
    <row r="50" spans="1:18" s="102" customFormat="1" ht="9" customHeight="1">
      <c r="A50" s="138"/>
      <c r="B50" s="3738" t="s">
        <v>4805</v>
      </c>
      <c r="C50" s="3738"/>
      <c r="D50" s="3738"/>
      <c r="E50" s="3738"/>
      <c r="F50" s="3738"/>
      <c r="G50" s="3738"/>
      <c r="H50" s="3738"/>
      <c r="I50" s="3738"/>
      <c r="J50" s="3738"/>
      <c r="K50" s="3738"/>
      <c r="L50" s="3738"/>
      <c r="M50" s="887"/>
      <c r="N50" s="6"/>
      <c r="Q50" s="6"/>
      <c r="R50" s="376"/>
    </row>
    <row r="51" spans="1:18" s="102" customFormat="1" ht="13.5" customHeight="1">
      <c r="B51" s="3738"/>
      <c r="C51" s="3738"/>
      <c r="D51" s="3738"/>
      <c r="E51" s="3738"/>
      <c r="F51" s="3738"/>
      <c r="G51" s="3738"/>
      <c r="H51" s="3738"/>
      <c r="I51" s="3738"/>
      <c r="J51" s="3738"/>
      <c r="K51" s="3738"/>
      <c r="L51" s="3738"/>
      <c r="M51" s="896">
        <v>2</v>
      </c>
      <c r="N51" s="390" t="s">
        <v>1983</v>
      </c>
      <c r="O51" s="910">
        <f>MIN($M51, O52+O53)</f>
        <v>2</v>
      </c>
      <c r="P51" s="910">
        <f>MIN($M51, P52+P53)</f>
        <v>0</v>
      </c>
    </row>
    <row r="52" spans="1:18" s="102" customFormat="1" ht="13.5" customHeight="1">
      <c r="A52" s="138"/>
      <c r="B52" s="1226" t="s">
        <v>1986</v>
      </c>
      <c r="C52" s="2085" t="s">
        <v>4806</v>
      </c>
      <c r="D52" s="51"/>
      <c r="H52" s="51" t="s">
        <v>4807</v>
      </c>
      <c r="I52" s="2082"/>
      <c r="K52" s="2183">
        <f>'Part VI-Revenues &amp; Expenses'!B49</f>
        <v>57.936507936507937</v>
      </c>
      <c r="L52" s="3944" t="str">
        <f>IF(AND(O52&gt;0,O53&gt;0), "CHOOSE EITHER A OR B, NOT BOTH!", "")</f>
        <v/>
      </c>
      <c r="M52" s="1038">
        <v>2</v>
      </c>
      <c r="N52" s="174" t="s">
        <v>1986</v>
      </c>
      <c r="O52" s="2706"/>
      <c r="P52" s="529"/>
      <c r="Q52" s="2148" t="str">
        <f>IF(OR($O52=$M52,$O52=0,$O52=""),"","*CHECK!*")</f>
        <v/>
      </c>
      <c r="R52" s="984" t="s">
        <v>2706</v>
      </c>
    </row>
    <row r="53" spans="1:18" s="102" customFormat="1" ht="13.5" customHeight="1">
      <c r="A53" s="2083" t="s">
        <v>3343</v>
      </c>
      <c r="B53" s="1226" t="s">
        <v>1988</v>
      </c>
      <c r="C53" s="2085" t="s">
        <v>4808</v>
      </c>
      <c r="D53" s="51"/>
      <c r="I53" s="2082"/>
      <c r="K53" s="51"/>
      <c r="L53" s="3944"/>
      <c r="M53" s="1038">
        <v>2</v>
      </c>
      <c r="N53" s="174" t="s">
        <v>1988</v>
      </c>
      <c r="O53" s="2707">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3648</v>
      </c>
      <c r="E55" s="427"/>
      <c r="H55" s="3950" t="s">
        <v>4809</v>
      </c>
      <c r="I55" s="3951"/>
      <c r="J55" s="2088" t="s">
        <v>4810</v>
      </c>
      <c r="M55" s="896">
        <v>3</v>
      </c>
      <c r="N55" s="160" t="s">
        <v>1985</v>
      </c>
      <c r="O55" s="910">
        <f>IF(AND(O56="Yes", O57="Yes"),$M$55,0)</f>
        <v>0</v>
      </c>
      <c r="P55" s="910">
        <f>IF(AND(P56="Yes", P57="Yes"),$M$55,0)</f>
        <v>0</v>
      </c>
    </row>
    <row r="56" spans="1:18" s="426" customFormat="1" ht="13.5" customHeight="1">
      <c r="A56" s="425"/>
      <c r="B56" s="1226" t="s">
        <v>1986</v>
      </c>
      <c r="C56" s="2086">
        <v>0.3</v>
      </c>
      <c r="D56" s="965" t="s">
        <v>3649</v>
      </c>
      <c r="E56" s="427"/>
      <c r="F56" s="884"/>
      <c r="H56" s="2708"/>
      <c r="I56" s="1213"/>
      <c r="J56" s="2087">
        <f>'Part VI-Revenues &amp; Expenses'!O65</f>
        <v>72</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3950</v>
      </c>
      <c r="E57" s="941"/>
      <c r="F57" s="884"/>
      <c r="I57" s="908"/>
      <c r="J57" s="908"/>
      <c r="K57" s="908"/>
      <c r="L57" s="908"/>
      <c r="M57" s="908"/>
      <c r="N57" s="390" t="s">
        <v>1988</v>
      </c>
      <c r="O57" s="2673"/>
      <c r="P57" s="536"/>
    </row>
    <row r="58" spans="1:18" s="42" customFormat="1" ht="10.5" customHeight="1">
      <c r="A58" s="41"/>
      <c r="B58" s="97" t="s">
        <v>1866</v>
      </c>
      <c r="C58" s="426"/>
      <c r="D58" s="85"/>
      <c r="E58" s="2296"/>
      <c r="F58" s="2296"/>
      <c r="G58" s="2296"/>
      <c r="H58" s="2296"/>
      <c r="I58" s="2296"/>
      <c r="J58" s="2296"/>
      <c r="K58" s="2296"/>
      <c r="L58" s="2296"/>
      <c r="M58" s="2296"/>
      <c r="N58" s="74"/>
      <c r="O58" s="70"/>
      <c r="P58" s="2292"/>
      <c r="Q58" s="426"/>
    </row>
    <row r="59" spans="1:18" s="42" customFormat="1" ht="22.5" customHeight="1">
      <c r="A59" s="3486"/>
      <c r="B59" s="3487"/>
      <c r="C59" s="3487"/>
      <c r="D59" s="3487"/>
      <c r="E59" s="3487"/>
      <c r="F59" s="3487"/>
      <c r="G59" s="3487"/>
      <c r="H59" s="3487"/>
      <c r="I59" s="3487"/>
      <c r="J59" s="3487"/>
      <c r="K59" s="3487"/>
      <c r="L59" s="3487"/>
      <c r="M59" s="3487"/>
      <c r="N59" s="3487"/>
      <c r="O59" s="3487"/>
      <c r="P59" s="3488"/>
      <c r="Q59" s="445"/>
    </row>
    <row r="60" spans="1:18" ht="7.5" customHeight="1" thickBot="1"/>
    <row r="61" spans="1:18" s="42" customFormat="1" ht="12.6" customHeight="1" thickBot="1">
      <c r="A61" s="152" t="s">
        <v>742</v>
      </c>
      <c r="B61" s="105" t="s">
        <v>4090</v>
      </c>
      <c r="D61" s="40"/>
      <c r="I61" s="3976" t="s">
        <v>3765</v>
      </c>
      <c r="J61" s="3976"/>
      <c r="K61" s="3976"/>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3850</v>
      </c>
      <c r="D63" s="32"/>
      <c r="N63" s="463"/>
      <c r="O63" s="2671" t="s">
        <v>2989</v>
      </c>
      <c r="P63" s="534"/>
    </row>
    <row r="64" spans="1:18" s="102" customFormat="1" ht="12" customHeight="1">
      <c r="A64" s="138" t="s">
        <v>1983</v>
      </c>
      <c r="B64" s="165" t="s">
        <v>1874</v>
      </c>
      <c r="C64" s="3"/>
      <c r="D64" s="3"/>
      <c r="F64" s="296"/>
      <c r="H64" s="851" t="s">
        <v>2718</v>
      </c>
      <c r="I64" s="3913" t="s">
        <v>4170</v>
      </c>
      <c r="J64" s="3913"/>
      <c r="K64" s="3913"/>
      <c r="L64" s="3913"/>
      <c r="M64" s="72">
        <v>10</v>
      </c>
      <c r="N64" s="174" t="s">
        <v>1983</v>
      </c>
      <c r="O64" s="2706">
        <v>10</v>
      </c>
      <c r="P64" s="529"/>
      <c r="Q64" s="2148" t="str">
        <f>IF(OR($O64=$M64,$O64=0,$O64=""),"","*CHECK!*")</f>
        <v/>
      </c>
    </row>
    <row r="65" spans="1:21" s="102" customFormat="1" ht="12.6" customHeight="1">
      <c r="A65" s="138" t="s">
        <v>1985</v>
      </c>
      <c r="B65" s="165" t="s">
        <v>3839</v>
      </c>
      <c r="D65" s="1113"/>
      <c r="F65" s="2182"/>
      <c r="H65" s="851" t="s">
        <v>3979</v>
      </c>
      <c r="I65" s="3913"/>
      <c r="J65" s="3913"/>
      <c r="K65" s="3913"/>
      <c r="L65" s="3913"/>
      <c r="M65" s="2305" t="s">
        <v>1238</v>
      </c>
      <c r="N65" s="463" t="s">
        <v>1985</v>
      </c>
      <c r="O65" s="2707"/>
      <c r="P65" s="530"/>
    </row>
    <row r="66" spans="1:21" s="42" customFormat="1" ht="11.25" customHeight="1" thickBot="1">
      <c r="A66" s="41"/>
      <c r="B66" s="1206" t="s">
        <v>3750</v>
      </c>
      <c r="C66" s="41"/>
      <c r="D66" s="47"/>
      <c r="E66" s="47"/>
      <c r="F66" s="47"/>
      <c r="G66" s="47"/>
      <c r="H66" s="35"/>
      <c r="I66" s="3975"/>
      <c r="J66" s="3975"/>
      <c r="K66" s="3975"/>
      <c r="L66" s="3975"/>
      <c r="M66" s="45"/>
      <c r="N66" s="61"/>
      <c r="O66" s="2"/>
      <c r="P66" s="2295"/>
    </row>
    <row r="67" spans="1:21" s="42" customFormat="1" ht="72" customHeight="1" thickTop="1" thickBot="1">
      <c r="A67" s="3817" t="s">
        <v>5252</v>
      </c>
      <c r="B67" s="3818"/>
      <c r="C67" s="3818"/>
      <c r="D67" s="3818"/>
      <c r="E67" s="3818"/>
      <c r="F67" s="3818"/>
      <c r="G67" s="3818"/>
      <c r="H67" s="3818"/>
      <c r="I67" s="3818"/>
      <c r="J67" s="3818"/>
      <c r="K67" s="3818"/>
      <c r="L67" s="3818"/>
      <c r="M67" s="3818"/>
      <c r="N67" s="3818"/>
      <c r="O67" s="3818"/>
      <c r="P67" s="3819"/>
      <c r="Q67" s="1074" t="s">
        <v>1254</v>
      </c>
      <c r="R67" s="446"/>
    </row>
    <row r="68" spans="1:21" s="42" customFormat="1" ht="11.7" customHeight="1" thickTop="1">
      <c r="A68" s="41"/>
      <c r="B68" s="66" t="s">
        <v>1866</v>
      </c>
      <c r="C68" s="41"/>
      <c r="D68" s="136"/>
      <c r="E68" s="2296"/>
      <c r="F68" s="2296"/>
      <c r="G68" s="2296"/>
      <c r="H68" s="2296"/>
      <c r="I68" s="2296"/>
      <c r="J68" s="2296"/>
      <c r="K68" s="2296"/>
      <c r="L68" s="2296"/>
      <c r="M68" s="2296"/>
      <c r="N68" s="74"/>
      <c r="O68" s="70"/>
      <c r="P68" s="2292"/>
      <c r="Q68" s="426"/>
      <c r="R68" s="426"/>
    </row>
    <row r="69" spans="1:21" s="42" customFormat="1" ht="72" customHeight="1">
      <c r="A69" s="3486"/>
      <c r="B69" s="3487"/>
      <c r="C69" s="3487"/>
      <c r="D69" s="3487"/>
      <c r="E69" s="3487"/>
      <c r="F69" s="3487"/>
      <c r="G69" s="3487"/>
      <c r="H69" s="3487"/>
      <c r="I69" s="3487"/>
      <c r="J69" s="3487"/>
      <c r="K69" s="3487"/>
      <c r="L69" s="3487"/>
      <c r="M69" s="3487"/>
      <c r="N69" s="3487"/>
      <c r="O69" s="3487"/>
      <c r="P69" s="3488"/>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5</v>
      </c>
      <c r="P71" s="1090">
        <f>IF($J$72="Flexible",MIN($M71,MAX(P86,P92)),IF(AND($J$72="Rural",P100&gt;0),MIN($M100,P100),0))</f>
        <v>0</v>
      </c>
      <c r="Q71" s="109" t="s">
        <v>441</v>
      </c>
      <c r="R71" s="3978" t="s">
        <v>5014</v>
      </c>
      <c r="S71" s="3978"/>
      <c r="T71" s="3978"/>
      <c r="U71" s="3978"/>
    </row>
    <row r="72" spans="1:21" s="42" customFormat="1" ht="17.25" customHeight="1">
      <c r="A72" s="152"/>
      <c r="B72" s="110" t="s">
        <v>3953</v>
      </c>
      <c r="D72" s="40"/>
      <c r="H72" s="165" t="s">
        <v>2794</v>
      </c>
      <c r="I72" s="515"/>
      <c r="J72" s="513" t="str">
        <f>'Part I-Project Information'!$H$105</f>
        <v>Flexible</v>
      </c>
      <c r="K72" s="47"/>
      <c r="M72" s="2292"/>
      <c r="N72" s="463"/>
      <c r="O72" s="1015" t="s">
        <v>3595</v>
      </c>
      <c r="P72" s="1015" t="s">
        <v>3596</v>
      </c>
      <c r="Q72" s="109"/>
      <c r="R72" s="3978"/>
      <c r="S72" s="3978"/>
      <c r="T72" s="3978"/>
      <c r="U72" s="3978"/>
    </row>
    <row r="73" spans="1:21" s="42" customFormat="1" ht="11.25" customHeight="1">
      <c r="A73" s="152"/>
      <c r="B73" s="374" t="s">
        <v>1986</v>
      </c>
      <c r="C73" s="35" t="s">
        <v>4816</v>
      </c>
      <c r="D73" s="1113"/>
      <c r="E73" s="102"/>
      <c r="F73" s="102"/>
      <c r="G73" s="102"/>
      <c r="H73" s="44"/>
      <c r="I73" s="48"/>
      <c r="J73" s="47"/>
      <c r="K73" s="47"/>
      <c r="L73" s="102"/>
      <c r="M73" s="2292"/>
      <c r="N73" s="463"/>
      <c r="O73" s="2671" t="s">
        <v>2989</v>
      </c>
      <c r="P73" s="534"/>
      <c r="Q73" s="109"/>
      <c r="R73" s="3978"/>
      <c r="S73" s="3978"/>
      <c r="T73" s="3978"/>
      <c r="U73" s="3978"/>
    </row>
    <row r="74" spans="1:21" s="42" customFormat="1" ht="11.25" customHeight="1">
      <c r="A74" s="152"/>
      <c r="B74" s="374" t="s">
        <v>1988</v>
      </c>
      <c r="C74" s="35" t="s">
        <v>4817</v>
      </c>
      <c r="D74" s="1113"/>
      <c r="E74" s="102"/>
      <c r="F74" s="102"/>
      <c r="G74" s="102"/>
      <c r="H74" s="44"/>
      <c r="I74" s="48"/>
      <c r="J74" s="47"/>
      <c r="K74" s="47"/>
      <c r="L74" s="102"/>
      <c r="M74" s="102"/>
      <c r="N74" s="463"/>
      <c r="O74" s="2672" t="s">
        <v>2989</v>
      </c>
      <c r="P74" s="535"/>
      <c r="Q74" s="109"/>
      <c r="R74" s="3978"/>
      <c r="S74" s="3978"/>
      <c r="T74" s="3978"/>
      <c r="U74" s="3978"/>
    </row>
    <row r="75" spans="1:21" s="42" customFormat="1" ht="11.25" customHeight="1">
      <c r="A75" s="152"/>
      <c r="B75" s="374" t="s">
        <v>2534</v>
      </c>
      <c r="C75" s="35" t="s">
        <v>4818</v>
      </c>
      <c r="D75" s="1113"/>
      <c r="E75" s="102"/>
      <c r="F75" s="102"/>
      <c r="G75" s="102"/>
      <c r="H75" s="44"/>
      <c r="I75" s="48"/>
      <c r="J75" s="47"/>
      <c r="K75" s="47"/>
      <c r="L75" s="102"/>
      <c r="M75" s="102"/>
      <c r="N75" s="463"/>
      <c r="O75" s="2672" t="s">
        <v>2989</v>
      </c>
      <c r="P75" s="535"/>
      <c r="Q75" s="109"/>
      <c r="R75" s="3978"/>
      <c r="S75" s="3978"/>
      <c r="T75" s="3978"/>
      <c r="U75" s="3978"/>
    </row>
    <row r="76" spans="1:21" s="42" customFormat="1" ht="11.25" customHeight="1">
      <c r="A76" s="152"/>
      <c r="B76" s="374" t="s">
        <v>1224</v>
      </c>
      <c r="C76" s="35" t="s">
        <v>4812</v>
      </c>
      <c r="D76" s="1113"/>
      <c r="E76" s="102"/>
      <c r="F76" s="102"/>
      <c r="G76" s="102"/>
      <c r="H76" s="44"/>
      <c r="I76" s="48"/>
      <c r="J76" s="47"/>
      <c r="K76" s="47"/>
      <c r="L76" s="102"/>
      <c r="M76" s="102"/>
      <c r="N76" s="463"/>
      <c r="O76" s="2673" t="s">
        <v>5192</v>
      </c>
      <c r="P76" s="536"/>
      <c r="Q76" s="109"/>
      <c r="R76" s="3978"/>
      <c r="S76" s="3978"/>
      <c r="T76" s="3978"/>
      <c r="U76" s="3978"/>
    </row>
    <row r="77" spans="1:21" s="42" customFormat="1" ht="3" customHeight="1">
      <c r="A77" s="152"/>
      <c r="B77" s="105"/>
      <c r="D77" s="40"/>
      <c r="H77" s="44"/>
      <c r="I77" s="48"/>
      <c r="J77" s="47"/>
      <c r="K77" s="47"/>
      <c r="M77" s="2292"/>
      <c r="N77" s="463"/>
      <c r="O77" s="2"/>
      <c r="P77" s="2"/>
      <c r="Q77" s="109"/>
      <c r="R77" s="3978"/>
      <c r="S77" s="3978"/>
      <c r="T77" s="3978"/>
      <c r="U77" s="3978"/>
    </row>
    <row r="78" spans="1:21" s="42" customFormat="1" ht="13.5" customHeight="1">
      <c r="A78" s="152"/>
      <c r="B78" s="110" t="s">
        <v>3959</v>
      </c>
      <c r="D78" s="40"/>
      <c r="F78" s="3774" t="s">
        <v>3714</v>
      </c>
      <c r="G78" s="3774"/>
      <c r="H78" s="3774"/>
      <c r="I78" s="3774"/>
      <c r="J78" s="3774" t="s">
        <v>3715</v>
      </c>
      <c r="K78" s="3774"/>
      <c r="L78" s="3774"/>
      <c r="M78" s="3774"/>
      <c r="N78" s="463"/>
      <c r="O78" s="3969" t="s">
        <v>5013</v>
      </c>
      <c r="P78" s="3970"/>
      <c r="Q78" s="109"/>
      <c r="R78" s="3978"/>
      <c r="S78" s="3978"/>
      <c r="T78" s="3978"/>
      <c r="U78" s="3978"/>
    </row>
    <row r="79" spans="1:21" s="42" customFormat="1" ht="12.75" customHeight="1">
      <c r="A79" s="152"/>
      <c r="C79" s="490" t="s">
        <v>3958</v>
      </c>
      <c r="D79" s="608"/>
      <c r="E79" s="269"/>
      <c r="F79" s="3971">
        <v>32.439467</v>
      </c>
      <c r="G79" s="3972"/>
      <c r="H79" s="3973"/>
      <c r="I79" s="3974"/>
      <c r="J79" s="3971">
        <v>-84.940430000000006</v>
      </c>
      <c r="K79" s="3972"/>
      <c r="L79" s="3973"/>
      <c r="M79" s="3974"/>
      <c r="N79" s="463"/>
      <c r="Q79" s="109"/>
      <c r="R79" s="3978"/>
      <c r="S79" s="3978"/>
      <c r="T79" s="3978"/>
      <c r="U79" s="3978"/>
    </row>
    <row r="80" spans="1:21" s="42" customFormat="1" ht="12.75" customHeight="1">
      <c r="A80" s="3909" t="s">
        <v>4136</v>
      </c>
      <c r="B80" s="3909"/>
      <c r="D80" s="1160" t="s">
        <v>3960</v>
      </c>
      <c r="E80" s="269"/>
      <c r="F80" s="3775">
        <v>32.4317481</v>
      </c>
      <c r="G80" s="3776"/>
      <c r="H80" s="3777"/>
      <c r="I80" s="3778"/>
      <c r="J80" s="3775">
        <v>-84.940139700000003</v>
      </c>
      <c r="K80" s="3776"/>
      <c r="L80" s="3777"/>
      <c r="M80" s="3778"/>
      <c r="N80" s="463"/>
      <c r="O80" s="2709">
        <v>0.6</v>
      </c>
      <c r="P80" s="1167"/>
      <c r="Q80" s="109"/>
      <c r="R80" s="3978"/>
      <c r="S80" s="3978"/>
      <c r="T80" s="3978"/>
      <c r="U80" s="3978"/>
    </row>
    <row r="81" spans="1:21" s="42" customFormat="1" ht="12.75" customHeight="1">
      <c r="A81" s="3909"/>
      <c r="B81" s="3909"/>
      <c r="C81" s="490" t="s">
        <v>4088</v>
      </c>
      <c r="D81" s="608"/>
      <c r="E81" s="269"/>
      <c r="F81" s="3986"/>
      <c r="G81" s="3987"/>
      <c r="H81" s="3992"/>
      <c r="I81" s="3993"/>
      <c r="J81" s="3986"/>
      <c r="K81" s="3987"/>
      <c r="L81" s="3992"/>
      <c r="M81" s="3993"/>
      <c r="N81" s="463"/>
      <c r="O81" s="463"/>
      <c r="P81" s="463"/>
      <c r="Q81" s="109"/>
      <c r="R81" s="3978"/>
      <c r="S81" s="3978"/>
      <c r="T81" s="3978"/>
      <c r="U81" s="3978"/>
    </row>
    <row r="82" spans="1:21" s="42" customFormat="1" ht="12.75" customHeight="1">
      <c r="A82" s="3909"/>
      <c r="B82" s="3909"/>
      <c r="E82" s="2055" t="s">
        <v>4087</v>
      </c>
      <c r="F82" s="3990"/>
      <c r="G82" s="3991"/>
      <c r="H82" s="3952"/>
      <c r="I82" s="3953"/>
      <c r="J82" s="3990"/>
      <c r="K82" s="3991"/>
      <c r="L82" s="3952"/>
      <c r="M82" s="3953"/>
      <c r="N82" s="463"/>
      <c r="O82" s="2709"/>
      <c r="P82" s="1167"/>
      <c r="Q82" s="109"/>
      <c r="R82" s="3978"/>
      <c r="S82" s="3978"/>
      <c r="T82" s="3978"/>
      <c r="U82" s="3978"/>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3751</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3743</v>
      </c>
      <c r="D86" s="40"/>
      <c r="F86" s="44" t="s">
        <v>3852</v>
      </c>
      <c r="M86" s="2292">
        <v>6</v>
      </c>
      <c r="N86" s="390" t="s">
        <v>1983</v>
      </c>
      <c r="O86" s="1018">
        <f>IF($J$72="Flexible",MIN($M86,O87+O88+O89),0)</f>
        <v>5</v>
      </c>
      <c r="P86" s="1018">
        <f>IF($J$72="Flexible",MIN($M86,P87+P88+P89),0)</f>
        <v>0</v>
      </c>
      <c r="Q86" s="109"/>
    </row>
    <row r="87" spans="1:21" s="412" customFormat="1" ht="23.25" customHeight="1">
      <c r="B87" s="440" t="s">
        <v>1986</v>
      </c>
      <c r="C87" s="3548" t="s">
        <v>4813</v>
      </c>
      <c r="D87" s="3548"/>
      <c r="E87" s="3548"/>
      <c r="F87" s="3548"/>
      <c r="G87" s="3548"/>
      <c r="H87" s="3548"/>
      <c r="I87" s="3779" t="s">
        <v>4085</v>
      </c>
      <c r="J87" s="3780"/>
      <c r="K87" s="3780"/>
      <c r="L87" s="3781"/>
      <c r="M87" s="510">
        <v>5</v>
      </c>
      <c r="N87" s="478" t="s">
        <v>1986</v>
      </c>
      <c r="O87" s="2710"/>
      <c r="P87" s="861"/>
      <c r="Q87" s="2148" t="str">
        <f>IF(OR($O87=$M87,$O87=0,$O87=""),"","*CHECK!*")</f>
        <v/>
      </c>
      <c r="R87" s="984" t="s">
        <v>2706</v>
      </c>
    </row>
    <row r="88" spans="1:21" s="412" customFormat="1" ht="12" customHeight="1">
      <c r="A88" s="584" t="s">
        <v>1353</v>
      </c>
      <c r="B88" s="440" t="s">
        <v>1988</v>
      </c>
      <c r="C88" s="391" t="s">
        <v>3954</v>
      </c>
      <c r="D88" s="391"/>
      <c r="E88" s="391"/>
      <c r="F88" s="391"/>
      <c r="G88" s="391"/>
      <c r="H88" s="2305" t="str">
        <f>IF(AND(O88&gt;0,O87&gt;0),"Pick A1 or A2!","")</f>
        <v/>
      </c>
      <c r="I88" s="3782"/>
      <c r="J88" s="3783"/>
      <c r="K88" s="3783"/>
      <c r="L88" s="3784"/>
      <c r="M88" s="72">
        <v>4</v>
      </c>
      <c r="N88" s="435" t="s">
        <v>1988</v>
      </c>
      <c r="O88" s="2706">
        <v>4</v>
      </c>
      <c r="P88" s="529"/>
      <c r="Q88" s="2148" t="str">
        <f>IF(OR($O88=$M88,$O88=0,$O88=""),"","*CHECK!*")</f>
        <v/>
      </c>
      <c r="R88" s="984" t="s">
        <v>2706</v>
      </c>
    </row>
    <row r="89" spans="1:21" s="412" customFormat="1" ht="12" customHeight="1">
      <c r="B89" s="440" t="s">
        <v>2534</v>
      </c>
      <c r="C89" s="391" t="s">
        <v>3744</v>
      </c>
      <c r="D89" s="391"/>
      <c r="E89" s="391"/>
      <c r="F89" s="391"/>
      <c r="I89" s="3782"/>
      <c r="J89" s="3783"/>
      <c r="K89" s="3783"/>
      <c r="L89" s="3784"/>
      <c r="M89" s="72">
        <v>1</v>
      </c>
      <c r="N89" s="435" t="s">
        <v>2534</v>
      </c>
      <c r="O89" s="2707">
        <v>1</v>
      </c>
      <c r="P89" s="530"/>
      <c r="Q89" s="2148" t="str">
        <f>IF(OR($O89=$M89,$O89=0,$O89=""),"","*CHECK!*")</f>
        <v/>
      </c>
      <c r="R89" s="984" t="s">
        <v>2706</v>
      </c>
    </row>
    <row r="90" spans="1:21" s="412" customFormat="1" ht="12" customHeight="1">
      <c r="B90" s="440"/>
      <c r="C90" s="851" t="s">
        <v>4086</v>
      </c>
      <c r="D90" s="391"/>
      <c r="E90" s="391"/>
      <c r="F90" s="2090" t="str">
        <f>'Part I-Project Information'!$H$82</f>
        <v>Family</v>
      </c>
      <c r="G90" s="851"/>
      <c r="H90" s="2090"/>
      <c r="I90" s="3782"/>
      <c r="J90" s="3783"/>
      <c r="K90" s="3783"/>
      <c r="L90" s="3784"/>
      <c r="M90" s="102"/>
      <c r="N90" s="102"/>
      <c r="O90" s="102"/>
      <c r="P90" s="102"/>
      <c r="Q90" s="1020"/>
      <c r="R90" s="1134"/>
    </row>
    <row r="91" spans="1:21" s="412" customFormat="1" ht="12" customHeight="1">
      <c r="B91" s="440"/>
      <c r="C91" s="851"/>
      <c r="D91" s="391"/>
      <c r="E91" s="391"/>
      <c r="F91" s="2090"/>
      <c r="G91" s="851"/>
      <c r="H91" s="2090"/>
      <c r="I91" s="3785"/>
      <c r="J91" s="3786"/>
      <c r="K91" s="3786"/>
      <c r="L91" s="3787"/>
      <c r="M91" s="102"/>
      <c r="N91" s="102"/>
      <c r="O91" s="102"/>
      <c r="P91" s="102"/>
      <c r="Q91" s="1020"/>
      <c r="R91" s="1134"/>
    </row>
    <row r="92" spans="1:21" s="412" customFormat="1" ht="12" customHeight="1">
      <c r="A92" s="143" t="s">
        <v>1985</v>
      </c>
      <c r="B92" s="1133" t="s">
        <v>3745</v>
      </c>
      <c r="C92" s="632"/>
      <c r="D92" s="632"/>
      <c r="E92" s="632"/>
      <c r="F92" s="1110" t="s">
        <v>3851</v>
      </c>
      <c r="I92" s="3994" t="s">
        <v>5232</v>
      </c>
      <c r="J92" s="3995"/>
      <c r="K92" s="3995"/>
      <c r="L92" s="3954">
        <v>7062254673</v>
      </c>
      <c r="M92" s="2292">
        <v>3</v>
      </c>
      <c r="N92" s="463" t="s">
        <v>1985</v>
      </c>
      <c r="O92" s="1018">
        <f>IF($J$72="Flexible",MIN($M92,O95+O96+O97),0)</f>
        <v>0</v>
      </c>
      <c r="P92" s="1018">
        <f>IF($J$72="Flexible",MIN($M92,P95+P96+P97),0)</f>
        <v>0</v>
      </c>
      <c r="Q92" s="511"/>
      <c r="R92" s="389"/>
    </row>
    <row r="93" spans="1:21" s="42" customFormat="1" ht="11.25" customHeight="1">
      <c r="A93" s="152"/>
      <c r="B93" s="387" t="s">
        <v>3776</v>
      </c>
      <c r="C93" s="172" t="s">
        <v>4815</v>
      </c>
      <c r="D93" s="1113"/>
      <c r="E93" s="102"/>
      <c r="F93" s="102"/>
      <c r="G93" s="102"/>
      <c r="H93" s="44"/>
      <c r="I93" s="3996"/>
      <c r="J93" s="3997"/>
      <c r="K93" s="3997"/>
      <c r="L93" s="3955"/>
      <c r="M93" s="102"/>
      <c r="N93" s="387" t="s">
        <v>3776</v>
      </c>
      <c r="O93" s="2680" t="s">
        <v>2989</v>
      </c>
      <c r="P93" s="940"/>
      <c r="Q93" s="109"/>
      <c r="R93" s="389"/>
      <c r="S93" s="412"/>
      <c r="T93" s="412"/>
      <c r="U93" s="412"/>
    </row>
    <row r="94" spans="1:21" s="42" customFormat="1" ht="11.25" customHeight="1">
      <c r="A94" s="152"/>
      <c r="B94" s="387" t="s">
        <v>3777</v>
      </c>
      <c r="C94" s="172" t="s">
        <v>4814</v>
      </c>
      <c r="D94" s="1113"/>
      <c r="E94" s="102"/>
      <c r="F94" s="102"/>
      <c r="G94" s="102"/>
      <c r="H94" s="44"/>
      <c r="I94" s="3965" t="s">
        <v>5231</v>
      </c>
      <c r="J94" s="3966"/>
      <c r="K94" s="3966"/>
      <c r="L94" s="3967"/>
      <c r="M94" s="102"/>
      <c r="N94" s="387" t="s">
        <v>3777</v>
      </c>
      <c r="O94" s="2673" t="s">
        <v>2989</v>
      </c>
      <c r="P94" s="536"/>
      <c r="Q94" s="109"/>
      <c r="R94" s="389"/>
      <c r="S94" s="412"/>
      <c r="T94" s="412"/>
      <c r="U94" s="412"/>
    </row>
    <row r="95" spans="1:21" s="412" customFormat="1" ht="12" customHeight="1">
      <c r="A95" s="138"/>
      <c r="B95" s="2184" t="s">
        <v>1986</v>
      </c>
      <c r="C95" s="3696" t="s">
        <v>3955</v>
      </c>
      <c r="D95" s="3696"/>
      <c r="E95" s="3696"/>
      <c r="F95" s="3696"/>
      <c r="G95" s="3696"/>
      <c r="H95" s="3959"/>
      <c r="I95" s="3844"/>
      <c r="J95" s="3845"/>
      <c r="K95" s="3845"/>
      <c r="L95" s="3846"/>
      <c r="M95" s="72">
        <v>3</v>
      </c>
      <c r="N95" s="435" t="s">
        <v>1986</v>
      </c>
      <c r="O95" s="2706"/>
      <c r="P95" s="528"/>
      <c r="Q95" s="1020" t="str">
        <f>IF(OR($O95=$M95,$O95=0,$O95=""),"","*CHECK!*")</f>
        <v/>
      </c>
      <c r="R95" s="1134" t="s">
        <v>2706</v>
      </c>
    </row>
    <row r="96" spans="1:21" s="42" customFormat="1" ht="12" customHeight="1">
      <c r="A96" s="584" t="s">
        <v>1353</v>
      </c>
      <c r="B96" s="2184" t="s">
        <v>1988</v>
      </c>
      <c r="C96" s="3696" t="s">
        <v>3956</v>
      </c>
      <c r="D96" s="3696"/>
      <c r="E96" s="3696"/>
      <c r="F96" s="3696"/>
      <c r="G96" s="3696"/>
      <c r="H96" s="3959"/>
      <c r="I96" s="3965" t="s">
        <v>5233</v>
      </c>
      <c r="J96" s="3966"/>
      <c r="K96" s="3966"/>
      <c r="L96" s="3967"/>
      <c r="M96" s="72">
        <v>2</v>
      </c>
      <c r="N96" s="435" t="s">
        <v>1988</v>
      </c>
      <c r="O96" s="2706"/>
      <c r="P96" s="529"/>
      <c r="Q96" s="1020" t="str">
        <f>IF(OR($O96=$M96,$O96=0,$O96=""),"","*CHECK!*")</f>
        <v/>
      </c>
      <c r="R96" s="1134" t="s">
        <v>2706</v>
      </c>
    </row>
    <row r="97" spans="1:18" s="42" customFormat="1" ht="27" customHeight="1">
      <c r="A97" s="584" t="s">
        <v>1353</v>
      </c>
      <c r="B97" s="2184" t="s">
        <v>2534</v>
      </c>
      <c r="C97" s="3696" t="s">
        <v>3957</v>
      </c>
      <c r="D97" s="3696"/>
      <c r="E97" s="3696"/>
      <c r="F97" s="3696"/>
      <c r="G97" s="3696"/>
      <c r="H97" s="3959"/>
      <c r="I97" s="3844"/>
      <c r="J97" s="3845"/>
      <c r="K97" s="3845"/>
      <c r="L97" s="3846"/>
      <c r="M97" s="72">
        <v>1</v>
      </c>
      <c r="N97" s="435" t="s">
        <v>2534</v>
      </c>
      <c r="O97" s="2707"/>
      <c r="P97" s="530"/>
      <c r="Q97" s="1020" t="str">
        <f>IF(OR($O97=$M97,$O97=0,$O97=""),"","*CHECK!*")</f>
        <v/>
      </c>
      <c r="R97" s="1134" t="s">
        <v>2706</v>
      </c>
    </row>
    <row r="98" spans="1:18" s="42" customFormat="1" ht="14.25" customHeight="1">
      <c r="A98" s="1111"/>
      <c r="B98" s="2075"/>
      <c r="C98" s="2298"/>
      <c r="D98" s="2298"/>
      <c r="E98" s="2298"/>
      <c r="F98" s="3672" t="str">
        <f>IF(OR(AND(O95&gt;0,O96&gt;0,O97&gt;0),AND(O95&gt;0,O96&gt;0),AND(O95&gt;0,O97&gt;0),AND(O96&gt;0,O97&gt;0)),"Choose only one option: B1 or B2 or B3!","")</f>
        <v/>
      </c>
      <c r="G98" s="3672"/>
      <c r="H98" s="3964"/>
      <c r="I98" s="3965" t="s">
        <v>5233</v>
      </c>
      <c r="J98" s="3966"/>
      <c r="K98" s="3966"/>
      <c r="L98" s="3967"/>
      <c r="M98" s="102"/>
      <c r="N98" s="102"/>
      <c r="O98" s="102"/>
      <c r="P98" s="102"/>
      <c r="Q98" s="1020"/>
      <c r="R98" s="1134"/>
    </row>
    <row r="99" spans="1:18" s="42" customFormat="1" ht="23.25" customHeight="1">
      <c r="A99" s="514" t="s">
        <v>2787</v>
      </c>
      <c r="B99" s="165"/>
      <c r="E99" s="40"/>
      <c r="I99" s="3847"/>
      <c r="J99" s="3848"/>
      <c r="K99" s="3848"/>
      <c r="L99" s="3849"/>
      <c r="M99" s="72"/>
      <c r="N99" s="72"/>
      <c r="O99" s="72"/>
      <c r="P99" s="72"/>
      <c r="Q99" s="376"/>
      <c r="R99" s="376"/>
    </row>
    <row r="100" spans="1:18" s="102" customFormat="1" ht="12" customHeight="1">
      <c r="A100" s="138"/>
      <c r="B100" s="440" t="s">
        <v>1224</v>
      </c>
      <c r="C100" s="3743" t="s">
        <v>4923</v>
      </c>
      <c r="D100" s="3743"/>
      <c r="E100" s="3743"/>
      <c r="F100" s="3743"/>
      <c r="G100" s="3743"/>
      <c r="H100" s="3743"/>
      <c r="I100" s="165"/>
      <c r="J100" s="165"/>
      <c r="K100" s="165"/>
      <c r="L100" s="165"/>
      <c r="M100" s="72">
        <v>2</v>
      </c>
      <c r="N100" s="435" t="s">
        <v>1224</v>
      </c>
      <c r="O100" s="2711"/>
      <c r="P100" s="859"/>
      <c r="Q100" s="1020" t="str">
        <f>IF(OR($O100=$M100,$O100=0,$O100=""),"","*CHECK!*")</f>
        <v/>
      </c>
      <c r="R100" s="1134" t="s">
        <v>2706</v>
      </c>
    </row>
    <row r="101" spans="1:18" s="102" customFormat="1" ht="12" customHeight="1">
      <c r="A101" s="138"/>
      <c r="B101" s="440"/>
      <c r="C101" s="3743"/>
      <c r="D101" s="3743"/>
      <c r="E101" s="3743"/>
      <c r="F101" s="3743"/>
      <c r="G101" s="3743"/>
      <c r="H101" s="3743"/>
      <c r="I101" s="165"/>
      <c r="J101" s="165"/>
      <c r="K101" s="165"/>
      <c r="L101" s="165"/>
      <c r="M101" s="165"/>
      <c r="N101" s="165"/>
      <c r="O101" s="165"/>
      <c r="P101" s="165"/>
      <c r="Q101" s="1020"/>
      <c r="R101" s="1134"/>
    </row>
    <row r="102" spans="1:18" s="42" customFormat="1" ht="12.6" customHeight="1">
      <c r="A102" s="35" t="s">
        <v>4089</v>
      </c>
      <c r="B102" s="165"/>
      <c r="E102" s="40"/>
      <c r="K102" s="47"/>
      <c r="M102" s="72"/>
      <c r="N102" s="72"/>
      <c r="O102" s="72"/>
      <c r="P102" s="72"/>
      <c r="Q102" s="376"/>
      <c r="R102" s="376"/>
    </row>
    <row r="103" spans="1:18" s="102" customFormat="1" ht="11.7" customHeight="1">
      <c r="A103" s="41"/>
      <c r="B103" s="97" t="s">
        <v>1866</v>
      </c>
      <c r="C103" s="41"/>
      <c r="D103" s="97"/>
      <c r="E103" s="2301"/>
      <c r="F103" s="2301"/>
      <c r="G103" s="2301"/>
      <c r="H103" s="2301"/>
      <c r="I103" s="2301"/>
      <c r="J103" s="2301"/>
      <c r="K103" s="2301"/>
      <c r="L103" s="2301"/>
      <c r="M103" s="2301"/>
      <c r="N103" s="93"/>
      <c r="O103" s="872"/>
      <c r="P103" s="2292"/>
      <c r="Q103" s="426"/>
    </row>
    <row r="104" spans="1:18" s="42" customFormat="1" ht="11.25" customHeight="1">
      <c r="A104" s="3486"/>
      <c r="B104" s="3487"/>
      <c r="C104" s="3487"/>
      <c r="D104" s="3487"/>
      <c r="E104" s="3487"/>
      <c r="F104" s="3487"/>
      <c r="G104" s="3487"/>
      <c r="H104" s="3487"/>
      <c r="I104" s="3487"/>
      <c r="J104" s="3487"/>
      <c r="K104" s="3487"/>
      <c r="L104" s="3487"/>
      <c r="M104" s="3487"/>
      <c r="N104" s="3487"/>
      <c r="O104" s="3487"/>
      <c r="P104" s="3488"/>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3977</v>
      </c>
      <c r="D107" s="38"/>
      <c r="E107" s="35"/>
      <c r="F107" s="887"/>
      <c r="G107" s="887"/>
      <c r="H107" s="887"/>
      <c r="I107" s="60" t="s">
        <v>3751</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3978</v>
      </c>
      <c r="C109" s="92"/>
      <c r="D109" s="1087"/>
      <c r="E109" s="51" t="s">
        <v>4092</v>
      </c>
      <c r="G109" s="113"/>
      <c r="I109" s="463" t="s">
        <v>4086</v>
      </c>
      <c r="J109" s="1166" t="str">
        <f>'Part I-Project Information'!$H$82</f>
        <v>Family</v>
      </c>
      <c r="K109" s="1113"/>
      <c r="L109" s="376" t="str">
        <f>IF(OR($O109=$M109,$O109=0,$O109=""),"","* * Check Score! * *")</f>
        <v/>
      </c>
      <c r="M109" s="72">
        <v>3</v>
      </c>
      <c r="N109" s="463" t="s">
        <v>1983</v>
      </c>
      <c r="O109" s="2712"/>
      <c r="P109" s="1123"/>
      <c r="Q109" s="2148" t="str">
        <f>IF(OR($O109=$M109,$O109=0,$O109=""),"","*CHECK!*")</f>
        <v/>
      </c>
      <c r="R109" s="984" t="s">
        <v>2706</v>
      </c>
    </row>
    <row r="110" spans="1:18" s="42" customFormat="1" ht="11.25" customHeight="1">
      <c r="A110" s="41"/>
      <c r="B110" s="54" t="s">
        <v>4610</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5016</v>
      </c>
      <c r="D111" s="38"/>
      <c r="E111" s="35"/>
      <c r="F111" s="887"/>
      <c r="G111" s="887"/>
      <c r="H111" s="887"/>
      <c r="I111" s="887"/>
      <c r="J111" s="897"/>
      <c r="K111" s="897"/>
      <c r="L111" s="897"/>
      <c r="M111" s="59"/>
      <c r="N111" s="1086" t="s">
        <v>1986</v>
      </c>
      <c r="O111" s="2671"/>
      <c r="P111" s="534"/>
    </row>
    <row r="112" spans="1:18" s="42" customFormat="1" ht="11.25" customHeight="1">
      <c r="A112" s="41"/>
      <c r="B112" s="2076" t="s">
        <v>1988</v>
      </c>
      <c r="C112" s="86" t="s">
        <v>5017</v>
      </c>
      <c r="D112" s="38"/>
      <c r="E112" s="35"/>
      <c r="F112" s="887"/>
      <c r="G112" s="887"/>
      <c r="H112" s="887"/>
      <c r="I112" s="887"/>
      <c r="J112" s="897"/>
      <c r="K112" s="897"/>
      <c r="L112" s="897"/>
      <c r="M112" s="59"/>
      <c r="N112" s="1086" t="s">
        <v>1988</v>
      </c>
      <c r="O112" s="2673"/>
      <c r="P112" s="536"/>
    </row>
    <row r="113" spans="1:21" s="35" customFormat="1" ht="10.5" customHeight="1">
      <c r="A113" s="63"/>
      <c r="B113" s="2076" t="s">
        <v>2534</v>
      </c>
      <c r="C113" s="35" t="s">
        <v>4819</v>
      </c>
      <c r="E113" s="3983"/>
      <c r="F113" s="3984"/>
      <c r="G113" s="3984"/>
      <c r="H113" s="3984"/>
      <c r="I113" s="3984"/>
      <c r="J113" s="3984"/>
      <c r="K113" s="3984"/>
      <c r="L113" s="3984"/>
      <c r="M113" s="3984"/>
      <c r="N113" s="3984"/>
      <c r="O113" s="3984"/>
      <c r="P113" s="3985"/>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3981</v>
      </c>
      <c r="D115" s="92"/>
      <c r="F115" s="51"/>
      <c r="G115" s="51"/>
      <c r="H115" s="92"/>
      <c r="I115" s="92"/>
      <c r="J115" s="92"/>
      <c r="K115" s="92"/>
      <c r="L115" s="376" t="str">
        <f>IF(OR($O115=$M115,$O115=0,$O115=""),"","* * Check Score! * *")</f>
        <v/>
      </c>
      <c r="M115" s="1038">
        <v>3</v>
      </c>
      <c r="N115" s="463" t="s">
        <v>1985</v>
      </c>
      <c r="O115" s="2712">
        <v>3</v>
      </c>
      <c r="P115" s="1123"/>
      <c r="Q115" s="2148" t="str">
        <f>IF(OR($O115=$M115,$O115=0,$O115=""),"","*CHECK!*")</f>
        <v/>
      </c>
      <c r="R115" s="984" t="s">
        <v>2706</v>
      </c>
      <c r="S115" s="1070"/>
      <c r="T115" s="1070"/>
    </row>
    <row r="116" spans="1:21" s="102" customFormat="1" ht="10.5" customHeight="1">
      <c r="A116" s="178"/>
      <c r="B116" s="888"/>
      <c r="C116" s="51" t="s">
        <v>3982</v>
      </c>
      <c r="D116" s="92"/>
      <c r="E116" s="51"/>
      <c r="F116" s="51"/>
      <c r="G116" s="51"/>
      <c r="H116" s="92"/>
      <c r="I116" s="92"/>
      <c r="J116" s="92"/>
      <c r="K116" s="92"/>
      <c r="L116" s="92"/>
      <c r="M116" s="1038"/>
      <c r="N116" s="1038"/>
      <c r="O116" s="2679" t="s">
        <v>2989</v>
      </c>
      <c r="P116" s="2304"/>
      <c r="Q116" s="1070"/>
      <c r="R116" s="1070"/>
      <c r="S116" s="1070"/>
      <c r="T116" s="1070"/>
    </row>
    <row r="117" spans="1:21" s="102" customFormat="1" ht="10.5" customHeight="1">
      <c r="A117" s="178"/>
      <c r="B117" s="888"/>
      <c r="C117" s="51" t="s">
        <v>3983</v>
      </c>
      <c r="D117" s="172" t="s">
        <v>4821</v>
      </c>
      <c r="F117" s="51"/>
      <c r="G117" s="51"/>
      <c r="H117" s="3957" t="s">
        <v>5266</v>
      </c>
      <c r="I117" s="3957"/>
      <c r="J117" s="3957"/>
      <c r="K117" s="3957"/>
      <c r="L117" s="3957"/>
      <c r="M117" s="3957"/>
      <c r="N117" s="3957"/>
      <c r="O117" s="3957"/>
      <c r="P117" s="3957"/>
      <c r="Q117" s="1070"/>
      <c r="R117" s="1070"/>
      <c r="S117" s="1070"/>
      <c r="T117" s="1070"/>
    </row>
    <row r="118" spans="1:21" s="102" customFormat="1" ht="10.5" customHeight="1">
      <c r="A118" s="178"/>
      <c r="B118" s="51"/>
      <c r="C118" s="35" t="s">
        <v>3985</v>
      </c>
      <c r="D118" s="92"/>
      <c r="E118" s="51"/>
      <c r="F118" s="51"/>
      <c r="G118" s="51"/>
      <c r="H118" s="92"/>
      <c r="I118" s="92"/>
      <c r="J118" s="92"/>
      <c r="K118" s="92"/>
      <c r="L118" s="92"/>
      <c r="M118" s="430"/>
      <c r="N118" s="1029" t="s">
        <v>3776</v>
      </c>
      <c r="O118" s="2680" t="s">
        <v>2989</v>
      </c>
      <c r="P118" s="940"/>
      <c r="Q118" s="1070"/>
      <c r="R118" s="1070"/>
      <c r="S118" s="1070"/>
      <c r="T118" s="1070"/>
    </row>
    <row r="119" spans="1:21" s="35" customFormat="1" ht="10.5" customHeight="1">
      <c r="A119" s="63"/>
      <c r="B119" s="374"/>
      <c r="C119" s="35" t="s">
        <v>3986</v>
      </c>
      <c r="D119" s="51"/>
      <c r="E119" s="51"/>
      <c r="F119" s="51"/>
      <c r="G119" s="51"/>
      <c r="H119" s="51"/>
      <c r="I119" s="51"/>
      <c r="J119" s="51"/>
      <c r="K119" s="51"/>
      <c r="L119" s="51"/>
      <c r="M119" s="2310"/>
      <c r="N119" s="387" t="s">
        <v>3777</v>
      </c>
      <c r="O119" s="2672" t="s">
        <v>2989</v>
      </c>
      <c r="P119" s="535"/>
      <c r="Q119" s="1070"/>
      <c r="R119" s="1070"/>
      <c r="S119" s="1070"/>
      <c r="T119" s="1070"/>
    </row>
    <row r="120" spans="1:21" s="54" customFormat="1" ht="10.5" customHeight="1">
      <c r="A120" s="63"/>
      <c r="C120" s="54" t="s">
        <v>4120</v>
      </c>
      <c r="D120" s="415"/>
      <c r="E120" s="51"/>
      <c r="F120" s="51"/>
      <c r="G120" s="51"/>
      <c r="H120" s="415"/>
      <c r="J120" s="415"/>
      <c r="L120" s="3555" t="s">
        <v>3813</v>
      </c>
      <c r="M120" s="3555"/>
      <c r="N120" s="3555"/>
      <c r="O120" s="3968" t="s">
        <v>3812</v>
      </c>
      <c r="P120" s="3968"/>
      <c r="Q120" s="51"/>
    </row>
    <row r="121" spans="1:21" s="54" customFormat="1" ht="10.5" customHeight="1">
      <c r="A121" s="63"/>
      <c r="B121" s="375"/>
      <c r="C121" s="3850" t="s">
        <v>5267</v>
      </c>
      <c r="D121" s="3851"/>
      <c r="E121" s="3851"/>
      <c r="F121" s="3851"/>
      <c r="G121" s="3851"/>
      <c r="H121" s="3851"/>
      <c r="I121" s="3851"/>
      <c r="J121" s="3851"/>
      <c r="K121" s="3852"/>
      <c r="L121" s="3981" t="s">
        <v>5271</v>
      </c>
      <c r="M121" s="3981"/>
      <c r="N121" s="3981"/>
      <c r="O121" s="3982">
        <v>0</v>
      </c>
      <c r="P121" s="3982"/>
      <c r="Q121" s="1104" t="str">
        <f>IF(O121&gt;15, "Too much!","")</f>
        <v/>
      </c>
    </row>
    <row r="122" spans="1:21" s="54" customFormat="1" ht="10.5" customHeight="1">
      <c r="A122" s="63"/>
      <c r="B122" s="388"/>
      <c r="C122" s="3853" t="s">
        <v>5268</v>
      </c>
      <c r="D122" s="3854"/>
      <c r="E122" s="3854"/>
      <c r="F122" s="3854"/>
      <c r="G122" s="3854"/>
      <c r="H122" s="3854"/>
      <c r="I122" s="3854"/>
      <c r="J122" s="3854"/>
      <c r="K122" s="3855"/>
      <c r="L122" s="3979" t="s">
        <v>5271</v>
      </c>
      <c r="M122" s="3979"/>
      <c r="N122" s="3979"/>
      <c r="O122" s="3956">
        <v>0</v>
      </c>
      <c r="P122" s="3956"/>
      <c r="Q122" s="1104" t="str">
        <f>IF(O122&gt;15, "Too much!","")</f>
        <v/>
      </c>
    </row>
    <row r="123" spans="1:21" s="54" customFormat="1" ht="10.5" customHeight="1">
      <c r="A123" s="63"/>
      <c r="B123" s="375"/>
      <c r="C123" s="3853" t="s">
        <v>5269</v>
      </c>
      <c r="D123" s="3854"/>
      <c r="E123" s="3854"/>
      <c r="F123" s="3854"/>
      <c r="G123" s="3854"/>
      <c r="H123" s="3854"/>
      <c r="I123" s="3854"/>
      <c r="J123" s="3854"/>
      <c r="K123" s="3855"/>
      <c r="L123" s="3979" t="s">
        <v>5271</v>
      </c>
      <c r="M123" s="3979"/>
      <c r="N123" s="3979"/>
      <c r="O123" s="3956">
        <v>0</v>
      </c>
      <c r="P123" s="3956"/>
      <c r="Q123" s="1104" t="str">
        <f>IF(O123&gt;15, "Too much!","")</f>
        <v/>
      </c>
    </row>
    <row r="124" spans="1:21" s="54" customFormat="1" ht="10.5" customHeight="1">
      <c r="A124" s="63"/>
      <c r="B124" s="387"/>
      <c r="C124" s="3856" t="s">
        <v>5270</v>
      </c>
      <c r="D124" s="3857"/>
      <c r="E124" s="3857"/>
      <c r="F124" s="3857"/>
      <c r="G124" s="3857"/>
      <c r="H124" s="3857"/>
      <c r="I124" s="3857"/>
      <c r="J124" s="3857"/>
      <c r="K124" s="3858"/>
      <c r="L124" s="3960" t="s">
        <v>5271</v>
      </c>
      <c r="M124" s="3960"/>
      <c r="N124" s="3960"/>
      <c r="O124" s="3980">
        <v>0</v>
      </c>
      <c r="P124" s="3980"/>
      <c r="Q124" s="1104" t="str">
        <f>IF(O124&gt;15, "Too much!","")</f>
        <v/>
      </c>
    </row>
    <row r="125" spans="1:21" s="102" customFormat="1" ht="10.5" customHeight="1">
      <c r="B125" s="888"/>
      <c r="C125" s="51" t="s">
        <v>3984</v>
      </c>
      <c r="D125" s="35" t="s">
        <v>3987</v>
      </c>
      <c r="E125" s="51"/>
      <c r="F125" s="51"/>
      <c r="G125" s="51"/>
      <c r="H125" s="92"/>
      <c r="I125" s="92"/>
      <c r="J125" s="92"/>
      <c r="K125" s="92"/>
      <c r="L125" s="92"/>
      <c r="M125" s="92"/>
      <c r="N125" s="1029" t="s">
        <v>3776</v>
      </c>
      <c r="O125" s="2671" t="s">
        <v>2989</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3777</v>
      </c>
      <c r="O126" s="2673" t="s">
        <v>2989</v>
      </c>
      <c r="P126" s="536"/>
      <c r="Q126" s="493"/>
      <c r="R126" s="54"/>
      <c r="S126" s="54"/>
      <c r="T126" s="54"/>
      <c r="U126" s="54"/>
    </row>
    <row r="127" spans="1:21" s="35" customFormat="1" ht="10.5" customHeight="1">
      <c r="A127" s="63"/>
      <c r="B127" s="374"/>
      <c r="D127" s="54" t="s">
        <v>4820</v>
      </c>
      <c r="E127" s="51"/>
      <c r="F127" s="51"/>
      <c r="G127" s="51"/>
      <c r="H127" s="51"/>
      <c r="I127" s="51"/>
      <c r="J127" s="51"/>
      <c r="K127" s="51"/>
      <c r="L127" s="51"/>
      <c r="M127" s="2310"/>
      <c r="N127" s="387" t="s">
        <v>3778</v>
      </c>
      <c r="Q127" s="51"/>
      <c r="R127" s="54"/>
      <c r="S127" s="54"/>
      <c r="T127" s="54"/>
      <c r="U127" s="54"/>
    </row>
    <row r="128" spans="1:21" s="54" customFormat="1" ht="10.5" customHeight="1">
      <c r="A128" s="63"/>
      <c r="B128" s="63"/>
      <c r="D128" s="63"/>
      <c r="E128" s="897" t="s">
        <v>4152</v>
      </c>
      <c r="F128" s="63"/>
      <c r="L128" s="63"/>
      <c r="M128" s="63"/>
      <c r="N128" s="63"/>
      <c r="O128" s="2671" t="s">
        <v>2989</v>
      </c>
      <c r="P128" s="534"/>
      <c r="Q128" s="51"/>
    </row>
    <row r="129" spans="1:21" s="54" customFormat="1" ht="10.5" customHeight="1">
      <c r="A129" s="63"/>
      <c r="B129" s="63"/>
      <c r="D129" s="63"/>
      <c r="E129" s="897" t="s">
        <v>4475</v>
      </c>
      <c r="F129" s="63"/>
      <c r="L129" s="63"/>
      <c r="M129" s="63"/>
      <c r="N129" s="63"/>
      <c r="O129" s="2672" t="s">
        <v>2989</v>
      </c>
      <c r="P129" s="535"/>
      <c r="Q129" s="51"/>
    </row>
    <row r="130" spans="1:21" s="54" customFormat="1" ht="10.5" customHeight="1">
      <c r="A130" s="63"/>
      <c r="B130" s="63"/>
      <c r="D130" s="63"/>
      <c r="E130" s="897" t="s">
        <v>4154</v>
      </c>
      <c r="F130" s="63"/>
      <c r="L130" s="63"/>
      <c r="M130" s="63"/>
      <c r="N130" s="63"/>
      <c r="O130" s="2672" t="s">
        <v>2989</v>
      </c>
      <c r="P130" s="535"/>
      <c r="Q130" s="51"/>
    </row>
    <row r="131" spans="1:21" s="54" customFormat="1" ht="10.5" customHeight="1">
      <c r="A131" s="63"/>
      <c r="B131" s="63"/>
      <c r="D131" s="63"/>
      <c r="E131" s="897" t="s">
        <v>4607</v>
      </c>
      <c r="F131" s="63"/>
      <c r="I131" s="897"/>
      <c r="L131" s="63"/>
      <c r="M131" s="63"/>
      <c r="N131" s="63"/>
      <c r="O131" s="2713" t="s">
        <v>2989</v>
      </c>
      <c r="P131" s="903"/>
      <c r="Q131" s="51"/>
    </row>
    <row r="132" spans="1:21" s="54" customFormat="1" ht="10.5" customHeight="1">
      <c r="A132" s="63"/>
      <c r="B132" s="63"/>
      <c r="D132" s="63"/>
      <c r="E132" s="51" t="s">
        <v>4608</v>
      </c>
      <c r="F132" s="63"/>
      <c r="I132" s="897"/>
      <c r="L132" s="63"/>
      <c r="M132" s="63"/>
      <c r="N132" s="63"/>
      <c r="O132" s="2713" t="s">
        <v>2989</v>
      </c>
      <c r="P132" s="903"/>
      <c r="Q132" s="51"/>
    </row>
    <row r="133" spans="1:21" s="54" customFormat="1" ht="10.5" customHeight="1">
      <c r="A133" s="63"/>
      <c r="B133" s="63"/>
      <c r="D133" s="63"/>
      <c r="E133" s="897" t="s">
        <v>4609</v>
      </c>
      <c r="F133" s="63"/>
      <c r="I133" s="897"/>
      <c r="L133" s="63"/>
      <c r="M133" s="63"/>
      <c r="N133" s="63"/>
      <c r="O133" s="2713" t="s">
        <v>2989</v>
      </c>
      <c r="P133" s="903"/>
      <c r="Q133" s="51"/>
    </row>
    <row r="134" spans="1:21" s="54" customFormat="1" ht="10.5" customHeight="1">
      <c r="A134" s="63"/>
      <c r="B134" s="63"/>
      <c r="D134" s="63"/>
      <c r="E134" s="3961" t="s">
        <v>4158</v>
      </c>
      <c r="F134" s="3962"/>
      <c r="G134" s="3962"/>
      <c r="H134" s="3962"/>
      <c r="I134" s="3962"/>
      <c r="J134" s="3962"/>
      <c r="K134" s="3962"/>
      <c r="L134" s="3963"/>
      <c r="M134" s="63"/>
      <c r="N134" s="63"/>
      <c r="O134" s="2673"/>
      <c r="P134" s="536"/>
      <c r="Q134" s="51"/>
    </row>
    <row r="135" spans="1:21" s="102" customFormat="1" ht="10.5" customHeight="1">
      <c r="A135" s="178"/>
      <c r="B135" s="51"/>
      <c r="D135" s="35" t="s">
        <v>4822</v>
      </c>
      <c r="E135" s="51"/>
      <c r="F135" s="51"/>
      <c r="G135" s="51"/>
      <c r="H135" s="92"/>
      <c r="I135" s="92"/>
      <c r="J135" s="92"/>
      <c r="K135" s="92"/>
      <c r="L135" s="92"/>
      <c r="M135" s="430"/>
      <c r="N135" s="387" t="s">
        <v>3780</v>
      </c>
      <c r="O135" s="2673" t="s">
        <v>2989</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3814</v>
      </c>
      <c r="D137" s="51"/>
      <c r="F137" s="51"/>
      <c r="G137" s="51"/>
      <c r="H137" s="51"/>
      <c r="I137" s="51"/>
      <c r="J137" s="51"/>
      <c r="K137" s="51"/>
      <c r="L137" s="376" t="str">
        <f>IF(OR($O137=$M137,$O137=0,$O137=""),"","* * Check Score! * *")</f>
        <v/>
      </c>
      <c r="M137" s="1038">
        <v>1</v>
      </c>
      <c r="N137" s="1086" t="s">
        <v>1988</v>
      </c>
      <c r="O137" s="2712">
        <v>1</v>
      </c>
      <c r="P137" s="1123"/>
      <c r="Q137" s="2148" t="str">
        <f>IF(OR($O137=$M137,$O137=0,$O137=""),"","*CHECK!*")</f>
        <v/>
      </c>
      <c r="R137" s="984" t="s">
        <v>2706</v>
      </c>
      <c r="S137" s="1070"/>
      <c r="T137" s="1070"/>
      <c r="U137" s="1070"/>
    </row>
    <row r="138" spans="1:21" s="35" customFormat="1" ht="10.5" customHeight="1">
      <c r="A138" s="63"/>
      <c r="C138" s="51" t="s">
        <v>3989</v>
      </c>
      <c r="D138" s="1215"/>
      <c r="E138" s="1215"/>
      <c r="F138" s="1215"/>
      <c r="G138" s="1215"/>
      <c r="H138" s="1215"/>
      <c r="I138" s="1215"/>
      <c r="J138" s="1215"/>
      <c r="K138" s="1215"/>
      <c r="L138" s="1215"/>
      <c r="M138" s="2310"/>
      <c r="N138" s="51"/>
      <c r="O138" s="2679" t="s">
        <v>5164</v>
      </c>
      <c r="P138" s="2304"/>
      <c r="Q138" s="51"/>
      <c r="R138" s="1070"/>
      <c r="S138" s="1070"/>
      <c r="T138" s="1070"/>
      <c r="U138" s="1070"/>
    </row>
    <row r="139" spans="1:21" s="35" customFormat="1" ht="10.5" customHeight="1">
      <c r="A139" s="63"/>
      <c r="B139" s="888"/>
      <c r="C139" s="3485" t="s">
        <v>4823</v>
      </c>
      <c r="D139" s="3485"/>
      <c r="E139" s="3485"/>
      <c r="F139" s="1215"/>
      <c r="G139" s="897" t="s">
        <v>3990</v>
      </c>
      <c r="I139" s="1215"/>
      <c r="J139" s="1215"/>
      <c r="K139" s="1215"/>
      <c r="L139" s="1215"/>
      <c r="M139" s="64" t="s">
        <v>2435</v>
      </c>
      <c r="N139" s="387" t="s">
        <v>3776</v>
      </c>
      <c r="O139" s="2680" t="s">
        <v>2989</v>
      </c>
      <c r="P139" s="940"/>
      <c r="Q139" s="51"/>
      <c r="R139" s="1070"/>
      <c r="S139" s="1070"/>
      <c r="T139" s="1070"/>
      <c r="U139" s="1070"/>
    </row>
    <row r="140" spans="1:21" s="35" customFormat="1" ht="10.5" customHeight="1">
      <c r="A140" s="63"/>
      <c r="B140" s="374"/>
      <c r="C140" s="3485"/>
      <c r="D140" s="3485"/>
      <c r="E140" s="3485"/>
      <c r="F140" s="1215"/>
      <c r="G140" s="897" t="s">
        <v>3991</v>
      </c>
      <c r="I140" s="1215"/>
      <c r="J140" s="1215"/>
      <c r="K140" s="1215"/>
      <c r="L140" s="1215"/>
      <c r="M140" s="2310"/>
      <c r="N140" s="1029" t="s">
        <v>3777</v>
      </c>
      <c r="O140" s="2672" t="s">
        <v>2989</v>
      </c>
      <c r="P140" s="535"/>
      <c r="Q140" s="51"/>
      <c r="R140" s="1070"/>
      <c r="S140" s="1070"/>
      <c r="T140" s="1070"/>
      <c r="U140" s="1070"/>
    </row>
    <row r="141" spans="1:21" s="35" customFormat="1" ht="10.5" customHeight="1">
      <c r="A141" s="64"/>
      <c r="B141" s="374"/>
      <c r="C141" s="3485"/>
      <c r="D141" s="3485"/>
      <c r="E141" s="3485"/>
      <c r="F141" s="1215"/>
      <c r="G141" s="897" t="s">
        <v>3992</v>
      </c>
      <c r="I141" s="1215"/>
      <c r="J141" s="1215"/>
      <c r="K141" s="1215"/>
      <c r="L141" s="1215"/>
      <c r="M141" s="2310"/>
      <c r="N141" s="387" t="s">
        <v>3778</v>
      </c>
      <c r="O141" s="2672" t="s">
        <v>2989</v>
      </c>
      <c r="P141" s="535"/>
      <c r="Q141" s="51"/>
      <c r="R141" s="1070"/>
      <c r="S141" s="1070"/>
      <c r="T141" s="1070"/>
      <c r="U141" s="1070"/>
    </row>
    <row r="142" spans="1:21" s="35" customFormat="1" ht="10.5" customHeight="1">
      <c r="A142" s="63"/>
      <c r="B142" s="374"/>
      <c r="D142" s="1215"/>
      <c r="E142" s="1215"/>
      <c r="F142" s="1215"/>
      <c r="G142" s="897" t="s">
        <v>3993</v>
      </c>
      <c r="I142" s="1215"/>
      <c r="J142" s="1215"/>
      <c r="K142" s="1215"/>
      <c r="L142" s="1215"/>
      <c r="M142" s="2310"/>
      <c r="N142" s="387" t="s">
        <v>3780</v>
      </c>
      <c r="O142" s="2672" t="s">
        <v>2989</v>
      </c>
      <c r="P142" s="535"/>
      <c r="Q142" s="51"/>
      <c r="R142" s="1070"/>
      <c r="S142" s="1070"/>
      <c r="T142" s="1070"/>
      <c r="U142" s="1070"/>
    </row>
    <row r="143" spans="1:21" s="35" customFormat="1" ht="10.5" customHeight="1">
      <c r="A143" s="63"/>
      <c r="B143" s="374"/>
      <c r="D143" s="1215"/>
      <c r="E143" s="1215"/>
      <c r="F143" s="1215"/>
      <c r="G143" s="897" t="s">
        <v>3994</v>
      </c>
      <c r="I143" s="1215"/>
      <c r="J143" s="1215"/>
      <c r="K143" s="1215"/>
      <c r="L143" s="1215"/>
      <c r="M143" s="2310"/>
      <c r="N143" s="1029" t="s">
        <v>3781</v>
      </c>
      <c r="O143" s="2673" t="s">
        <v>2989</v>
      </c>
      <c r="P143" s="536"/>
      <c r="Q143" s="51"/>
    </row>
    <row r="144" spans="1:21" s="35" customFormat="1" ht="10.5" customHeight="1">
      <c r="A144" s="63"/>
      <c r="B144" s="888"/>
      <c r="C144" s="897" t="s">
        <v>4824</v>
      </c>
      <c r="D144" s="1215"/>
      <c r="E144" s="1215"/>
      <c r="F144" s="1215"/>
      <c r="G144" s="1215"/>
      <c r="H144" s="1215"/>
      <c r="I144" s="1215"/>
      <c r="J144" s="1215"/>
      <c r="K144" s="1215"/>
      <c r="L144" s="1215"/>
      <c r="M144" s="64"/>
      <c r="N144" s="64" t="s">
        <v>2436</v>
      </c>
      <c r="O144" s="2674" t="s">
        <v>2989</v>
      </c>
      <c r="P144" s="533"/>
      <c r="Q144" s="51"/>
    </row>
    <row r="145" spans="1:18" s="54" customFormat="1" ht="10.5" customHeight="1">
      <c r="A145" s="63"/>
      <c r="B145" s="440"/>
      <c r="C145" s="54" t="s">
        <v>3828</v>
      </c>
      <c r="D145" s="415"/>
      <c r="E145" s="51"/>
      <c r="F145" s="51"/>
      <c r="G145" s="54" t="s">
        <v>4125</v>
      </c>
      <c r="H145" s="415"/>
      <c r="M145" s="57"/>
      <c r="N145" s="57"/>
      <c r="O145" s="57"/>
      <c r="P145" s="57"/>
      <c r="Q145" s="51"/>
    </row>
    <row r="146" spans="1:18" s="54" customFormat="1" ht="10.5" customHeight="1">
      <c r="B146" s="375"/>
      <c r="C146" s="3850" t="s">
        <v>5272</v>
      </c>
      <c r="D146" s="3851"/>
      <c r="E146" s="3851"/>
      <c r="F146" s="3852"/>
      <c r="G146" s="3850" t="s">
        <v>5277</v>
      </c>
      <c r="H146" s="3851"/>
      <c r="I146" s="3851"/>
      <c r="J146" s="3851"/>
      <c r="K146" s="3851"/>
      <c r="L146" s="3851"/>
      <c r="M146" s="3851"/>
      <c r="N146" s="3851"/>
      <c r="O146" s="3851"/>
      <c r="P146" s="3852"/>
      <c r="Q146" s="51"/>
    </row>
    <row r="147" spans="1:18" s="54" customFormat="1" ht="10.5" customHeight="1">
      <c r="A147" s="63"/>
      <c r="B147" s="388"/>
      <c r="C147" s="3853" t="s">
        <v>5273</v>
      </c>
      <c r="D147" s="3854"/>
      <c r="E147" s="3854"/>
      <c r="F147" s="3855"/>
      <c r="G147" s="3853" t="s">
        <v>5278</v>
      </c>
      <c r="H147" s="3854"/>
      <c r="I147" s="3854"/>
      <c r="J147" s="3854"/>
      <c r="K147" s="3854"/>
      <c r="L147" s="3854"/>
      <c r="M147" s="3854"/>
      <c r="N147" s="3854"/>
      <c r="O147" s="3854"/>
      <c r="P147" s="3855"/>
      <c r="Q147" s="51"/>
    </row>
    <row r="148" spans="1:18" s="54" customFormat="1" ht="10.5" customHeight="1">
      <c r="A148" s="3397" t="s">
        <v>4159</v>
      </c>
      <c r="B148" s="3397"/>
      <c r="C148" s="3853" t="s">
        <v>5274</v>
      </c>
      <c r="D148" s="3854"/>
      <c r="E148" s="3854"/>
      <c r="F148" s="3855"/>
      <c r="G148" s="3853" t="s">
        <v>5275</v>
      </c>
      <c r="H148" s="3854"/>
      <c r="I148" s="3854"/>
      <c r="J148" s="3854"/>
      <c r="K148" s="3854"/>
      <c r="L148" s="3854"/>
      <c r="M148" s="3854"/>
      <c r="N148" s="3854"/>
      <c r="O148" s="3854"/>
      <c r="P148" s="3855"/>
      <c r="Q148" s="51"/>
    </row>
    <row r="149" spans="1:18" s="54" customFormat="1" ht="10.5" customHeight="1">
      <c r="A149" s="3397"/>
      <c r="B149" s="3397"/>
      <c r="C149" s="3856" t="s">
        <v>5276</v>
      </c>
      <c r="D149" s="3857"/>
      <c r="E149" s="3857"/>
      <c r="F149" s="3858"/>
      <c r="G149" s="3856" t="s">
        <v>5279</v>
      </c>
      <c r="H149" s="3857"/>
      <c r="I149" s="3857"/>
      <c r="J149" s="3857"/>
      <c r="K149" s="3857"/>
      <c r="L149" s="3857"/>
      <c r="M149" s="3857"/>
      <c r="N149" s="3857"/>
      <c r="O149" s="3857"/>
      <c r="P149" s="3858"/>
      <c r="Q149" s="51"/>
    </row>
    <row r="150" spans="1:18" s="42" customFormat="1" ht="4.5" customHeight="1">
      <c r="A150" s="3958"/>
      <c r="B150" s="3958"/>
      <c r="C150" s="98"/>
      <c r="D150" s="85"/>
      <c r="E150" s="99"/>
      <c r="F150" s="2296"/>
      <c r="G150" s="2296"/>
      <c r="H150" s="2296"/>
      <c r="I150" s="2296"/>
      <c r="J150" s="2296"/>
      <c r="K150" s="2296"/>
      <c r="L150" s="2296"/>
      <c r="M150" s="2296"/>
      <c r="N150" s="74"/>
      <c r="O150" s="70"/>
      <c r="P150" s="2292"/>
      <c r="Q150" s="426"/>
    </row>
    <row r="151" spans="1:18" s="42" customFormat="1" ht="11.25" customHeight="1">
      <c r="A151" s="3486"/>
      <c r="B151" s="3487"/>
      <c r="C151" s="3487"/>
      <c r="D151" s="3487"/>
      <c r="E151" s="3487"/>
      <c r="F151" s="3487"/>
      <c r="G151" s="3487"/>
      <c r="H151" s="3487"/>
      <c r="I151" s="3487"/>
      <c r="J151" s="3487"/>
      <c r="K151" s="3487"/>
      <c r="L151" s="3487"/>
      <c r="M151" s="3487"/>
      <c r="N151" s="3487"/>
      <c r="O151" s="3487"/>
      <c r="P151" s="3488"/>
      <c r="Q151" s="445"/>
    </row>
    <row r="152" spans="1:18" s="42" customFormat="1" ht="3" customHeight="1" thickBot="1">
      <c r="A152" s="41"/>
      <c r="C152" s="2296"/>
      <c r="D152" s="2296"/>
      <c r="E152" s="2296"/>
      <c r="F152" s="2296"/>
      <c r="G152" s="2296"/>
      <c r="H152" s="2296"/>
      <c r="I152" s="2296"/>
      <c r="J152" s="2296"/>
      <c r="K152" s="2296"/>
      <c r="L152" s="2296"/>
      <c r="M152" s="2296"/>
      <c r="N152" s="74"/>
      <c r="O152" s="70"/>
      <c r="P152" s="887"/>
    </row>
    <row r="153" spans="1:18" s="42" customFormat="1" ht="13.5" customHeight="1" thickBot="1">
      <c r="A153" s="152" t="s">
        <v>530</v>
      </c>
      <c r="B153" s="106" t="s">
        <v>3961</v>
      </c>
      <c r="C153" s="2296"/>
      <c r="D153" s="2296"/>
      <c r="E153" s="2296"/>
      <c r="F153" s="2296"/>
      <c r="G153" s="2296"/>
      <c r="H153" s="2296"/>
      <c r="I153" s="2296"/>
      <c r="J153" s="2296"/>
      <c r="K153" s="2296"/>
      <c r="L153" s="2296"/>
      <c r="M153" s="887">
        <v>5</v>
      </c>
      <c r="N153" s="74"/>
      <c r="O153" s="1090">
        <f>O155+O171</f>
        <v>0</v>
      </c>
      <c r="P153" s="1090">
        <f>P155+P171</f>
        <v>0</v>
      </c>
      <c r="Q153" s="109" t="s">
        <v>441</v>
      </c>
    </row>
    <row r="154" spans="1:18" s="42" customFormat="1" ht="9" customHeight="1">
      <c r="A154" s="41"/>
      <c r="C154" s="2296"/>
      <c r="D154" s="2296"/>
      <c r="E154" s="2296"/>
      <c r="F154" s="2296"/>
      <c r="G154" s="2296"/>
      <c r="H154" s="2296"/>
      <c r="I154" s="2296"/>
      <c r="J154" s="2296"/>
      <c r="K154" s="2296"/>
      <c r="L154" s="2296"/>
      <c r="M154" s="2296"/>
      <c r="N154" s="74"/>
      <c r="O154" s="70"/>
      <c r="P154" s="887"/>
    </row>
    <row r="155" spans="1:18" s="102" customFormat="1" ht="13.5" customHeight="1">
      <c r="A155" s="178" t="s">
        <v>1983</v>
      </c>
      <c r="B155" s="9" t="s">
        <v>3998</v>
      </c>
      <c r="C155" s="92"/>
      <c r="D155" s="1087"/>
      <c r="E155" s="1087"/>
      <c r="G155" s="1113"/>
      <c r="H155" s="1113"/>
      <c r="I155" s="1113"/>
      <c r="J155" s="1113"/>
      <c r="K155" s="1113"/>
      <c r="L155" s="1113"/>
      <c r="M155" s="430">
        <v>3</v>
      </c>
      <c r="N155" s="174"/>
      <c r="O155" s="1116">
        <f>IF('Part VI-Revenues &amp; Expenses'!$O$67=0,0,IF(AND($F$160="Family",$U$166=3),3,IF($U$166=3,2,IF(OR($U$166=2,$U$166=1),1,0))))</f>
        <v>0</v>
      </c>
      <c r="P155" s="2149"/>
      <c r="R155" s="172"/>
    </row>
    <row r="156" spans="1:18" s="42" customFormat="1" ht="12" customHeight="1">
      <c r="B156" s="39" t="s">
        <v>3823</v>
      </c>
      <c r="C156" s="428"/>
      <c r="D156" s="428"/>
      <c r="E156" s="428"/>
      <c r="F156" s="428"/>
      <c r="G156" s="428"/>
      <c r="H156" s="428"/>
      <c r="I156" s="428"/>
      <c r="J156" s="428"/>
      <c r="K156" s="428"/>
      <c r="L156" s="428"/>
      <c r="M156" s="428"/>
      <c r="N156" s="428"/>
      <c r="O156" s="2670"/>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44" t="s">
        <v>5022</v>
      </c>
      <c r="C158" s="3744"/>
      <c r="D158" s="3744"/>
      <c r="E158" s="51" t="s">
        <v>3820</v>
      </c>
      <c r="F158" s="102"/>
      <c r="G158" s="51"/>
      <c r="H158" s="102"/>
      <c r="I158" s="3983"/>
      <c r="J158" s="3984"/>
      <c r="K158" s="3984"/>
      <c r="L158" s="3985"/>
    </row>
    <row r="159" spans="1:18" s="42" customFormat="1" ht="11.25" customHeight="1">
      <c r="A159" s="138"/>
      <c r="B159" s="3744"/>
      <c r="C159" s="3744"/>
      <c r="D159" s="3744"/>
      <c r="E159" s="39" t="s">
        <v>4827</v>
      </c>
      <c r="F159" s="376"/>
      <c r="G159" s="102"/>
      <c r="H159" s="102"/>
      <c r="I159" s="39"/>
      <c r="J159" s="2306"/>
      <c r="K159" s="2306"/>
      <c r="L159" s="2306"/>
      <c r="M159" s="102"/>
      <c r="N159" s="1115"/>
      <c r="O159" s="2670"/>
      <c r="P159" s="532"/>
      <c r="Q159" s="133"/>
    </row>
    <row r="160" spans="1:18" s="42" customFormat="1" ht="12" customHeight="1">
      <c r="A160" s="41"/>
      <c r="C160" s="2296"/>
      <c r="D160" s="2296"/>
      <c r="E160" s="51" t="s">
        <v>4828</v>
      </c>
      <c r="F160" s="2187" t="str">
        <f>'Part I-Project Information'!$H$82</f>
        <v>Family</v>
      </c>
      <c r="H160" s="2186"/>
      <c r="I160" s="2296"/>
      <c r="J160" s="2296"/>
      <c r="M160" s="2296"/>
      <c r="N160" s="74"/>
      <c r="O160" s="3998" t="s">
        <v>5018</v>
      </c>
      <c r="P160" s="3998"/>
    </row>
    <row r="161" spans="1:24" s="54" customFormat="1" ht="3" customHeight="1">
      <c r="A161" s="902"/>
      <c r="B161" s="428"/>
      <c r="O161" s="3999"/>
      <c r="P161" s="3999"/>
    </row>
    <row r="162" spans="1:24" s="42" customFormat="1" ht="12" customHeight="1">
      <c r="A162" s="375" t="s">
        <v>2435</v>
      </c>
      <c r="B162" s="110" t="s">
        <v>4826</v>
      </c>
      <c r="C162" s="2296"/>
      <c r="D162" s="2296"/>
      <c r="E162" s="51"/>
      <c r="F162" s="2069"/>
      <c r="G162" s="2069"/>
      <c r="I162" s="2296"/>
      <c r="J162" s="2296"/>
      <c r="K162" s="2296"/>
      <c r="L162" s="2296"/>
      <c r="M162" s="4005" t="s">
        <v>4825</v>
      </c>
      <c r="N162" s="74"/>
      <c r="O162" s="3999"/>
      <c r="P162" s="3999"/>
      <c r="T162" s="3554" t="s">
        <v>5056</v>
      </c>
    </row>
    <row r="163" spans="1:24" s="54" customFormat="1" ht="3" customHeight="1">
      <c r="A163" s="902"/>
      <c r="B163" s="428"/>
      <c r="M163" s="4005"/>
      <c r="O163" s="3999"/>
      <c r="P163" s="3999"/>
      <c r="T163" s="3554"/>
    </row>
    <row r="164" spans="1:24" s="42" customFormat="1" ht="13.5" customHeight="1">
      <c r="A164" s="138"/>
      <c r="B164" s="547"/>
      <c r="C164" s="546"/>
      <c r="D164" s="546"/>
      <c r="E164" s="1217"/>
      <c r="H164" s="4002" t="s">
        <v>3818</v>
      </c>
      <c r="I164" s="4006" t="s">
        <v>3862</v>
      </c>
      <c r="J164" s="4007"/>
      <c r="K164" s="4008"/>
      <c r="L164" s="4005" t="s">
        <v>3817</v>
      </c>
      <c r="M164" s="4005"/>
      <c r="N164" s="2092"/>
      <c r="O164" s="3999"/>
      <c r="P164" s="3999"/>
      <c r="R164" s="4037" t="s">
        <v>5023</v>
      </c>
      <c r="T164" s="3554"/>
      <c r="U164" s="3731" t="s">
        <v>5055</v>
      </c>
    </row>
    <row r="165" spans="1:24" s="42" customFormat="1" ht="13.5" customHeight="1">
      <c r="A165" s="138"/>
      <c r="B165" s="552" t="s">
        <v>3815</v>
      </c>
      <c r="C165" s="2306"/>
      <c r="D165" s="4026" t="s">
        <v>3819</v>
      </c>
      <c r="E165" s="4026"/>
      <c r="F165" s="4026"/>
      <c r="G165" s="2319" t="s">
        <v>3397</v>
      </c>
      <c r="H165" s="3731"/>
      <c r="I165" s="2303">
        <v>2015</v>
      </c>
      <c r="J165" s="2303">
        <v>2016</v>
      </c>
      <c r="K165" s="2303">
        <v>2017</v>
      </c>
      <c r="L165" s="3003"/>
      <c r="M165" s="3003"/>
      <c r="N165" s="2092"/>
      <c r="O165" s="4000"/>
      <c r="P165" s="4000"/>
      <c r="R165" s="4038"/>
      <c r="T165" s="3731"/>
      <c r="U165" s="3731"/>
    </row>
    <row r="166" spans="1:24" s="42" customFormat="1" ht="12" customHeight="1">
      <c r="B166" s="589" t="s">
        <v>3997</v>
      </c>
      <c r="D166" s="4012"/>
      <c r="E166" s="4013"/>
      <c r="F166" s="4014"/>
      <c r="G166" s="2714"/>
      <c r="H166" s="2715"/>
      <c r="I166" s="2716"/>
      <c r="J166" s="2717"/>
      <c r="K166" s="2717"/>
      <c r="L166" s="2073" t="str">
        <f>IF(I166+J166+K166=0,"",AVERAGE(I166,J166,K166))</f>
        <v/>
      </c>
      <c r="M166" s="621" t="str">
        <f>IF(L166="","",IF(L166&gt;R166,"Yes",IF(L166&lt;R166,"No","")))</f>
        <v/>
      </c>
      <c r="O166" s="2671"/>
      <c r="P166" s="534"/>
      <c r="R166" s="2070">
        <v>73.400000000000006</v>
      </c>
      <c r="S166" s="53"/>
      <c r="T166" s="590">
        <f>IF(OR(M166="Yes",O166="Yes"),1,0)</f>
        <v>0</v>
      </c>
      <c r="U166" s="4028">
        <f>SUM(T166:T170)</f>
        <v>0</v>
      </c>
    </row>
    <row r="167" spans="1:24" s="42" customFormat="1" ht="12" customHeight="1">
      <c r="B167" s="589" t="s">
        <v>4160</v>
      </c>
      <c r="D167" s="4015"/>
      <c r="E167" s="4016"/>
      <c r="F167" s="4017"/>
      <c r="G167" s="2718"/>
      <c r="H167" s="2719"/>
      <c r="I167" s="2720"/>
      <c r="J167" s="2721"/>
      <c r="K167" s="2721"/>
      <c r="L167" s="2072" t="str">
        <f>IF(I167+J167+K167=0,"",AVERAGE(I167,J167,K167))</f>
        <v/>
      </c>
      <c r="M167" s="622" t="str">
        <f>IF(L167="","",IF(L167&gt;R167,"Yes",IF(L167&lt;R167,"No","")))</f>
        <v/>
      </c>
      <c r="O167" s="2672"/>
      <c r="P167" s="535"/>
      <c r="R167" s="2070">
        <v>72.099999999999994</v>
      </c>
      <c r="S167" s="53"/>
      <c r="T167" s="590">
        <f t="shared" ref="T167:T168" si="0">IF(OR(M167="Yes",O167="Yes"),1,0)</f>
        <v>0</v>
      </c>
      <c r="U167" s="4028"/>
    </row>
    <row r="168" spans="1:24" s="42" customFormat="1" ht="12" customHeight="1">
      <c r="A168" s="375"/>
      <c r="B168" s="589" t="s">
        <v>3995</v>
      </c>
      <c r="D168" s="4009"/>
      <c r="E168" s="4010"/>
      <c r="F168" s="4011"/>
      <c r="G168" s="2722"/>
      <c r="H168" s="2723"/>
      <c r="I168" s="2724"/>
      <c r="J168" s="2725"/>
      <c r="K168" s="2725"/>
      <c r="L168" s="2071" t="str">
        <f>IF(I168+J168+K168=0,"",AVERAGE(I168,J168,K168))</f>
        <v/>
      </c>
      <c r="M168" s="623" t="str">
        <f>IF(L168="","",IF(L168&gt;R168,"Yes",IF(L168&lt;R168,"No","")))</f>
        <v/>
      </c>
      <c r="O168" s="2673"/>
      <c r="P168" s="536"/>
      <c r="R168" s="2070">
        <v>73.3</v>
      </c>
      <c r="S168" s="53"/>
      <c r="T168" s="590">
        <f t="shared" si="0"/>
        <v>0</v>
      </c>
      <c r="U168" s="4028"/>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3999</v>
      </c>
      <c r="C171" s="92"/>
      <c r="D171" s="1087"/>
      <c r="E171" s="1087"/>
      <c r="F171" s="60" t="s">
        <v>3390</v>
      </c>
      <c r="H171" s="39" t="s">
        <v>3863</v>
      </c>
      <c r="M171" s="430">
        <v>2</v>
      </c>
      <c r="N171" s="174"/>
      <c r="O171" s="1090">
        <f>IF(AND(I180="Yes",I181="Yes"),$H$181,IF(AND(I180="Yes",I181="No"),$H$180,0))</f>
        <v>0</v>
      </c>
      <c r="P171" s="1090">
        <f>IF(AND(J180="Yes",J181="Yes"),$H$181,IF(AND(J180="Yes",J181="No"),$H$180,0))</f>
        <v>0</v>
      </c>
      <c r="Q171" s="109"/>
      <c r="R171" s="1088"/>
    </row>
    <row r="172" spans="1:24" s="54" customFormat="1" ht="15" customHeight="1">
      <c r="E172" s="3797" t="s">
        <v>4162</v>
      </c>
      <c r="F172" s="3797" t="s">
        <v>3658</v>
      </c>
      <c r="G172" s="3800" t="s">
        <v>3398</v>
      </c>
      <c r="H172" s="3800"/>
      <c r="I172" s="3800"/>
      <c r="J172" s="3800"/>
      <c r="K172" s="3800"/>
      <c r="L172" s="3800"/>
      <c r="M172" s="3800"/>
      <c r="N172" s="3800"/>
      <c r="P172" s="1117"/>
      <c r="R172" s="51" t="s">
        <v>2832</v>
      </c>
      <c r="S172" s="35"/>
      <c r="T172" s="3788" t="str">
        <f>'Part I-Project Information'!$F$38</f>
        <v>Columbus</v>
      </c>
      <c r="U172" s="3789"/>
      <c r="V172" s="3789"/>
      <c r="W172" s="3789"/>
      <c r="X172" s="3790"/>
    </row>
    <row r="173" spans="1:24" s="54" customFormat="1" ht="13.5" customHeight="1">
      <c r="A173" s="46"/>
      <c r="B173" s="3811" t="s">
        <v>4002</v>
      </c>
      <c r="C173" s="3811"/>
      <c r="D173" s="3811"/>
      <c r="E173" s="3804"/>
      <c r="F173" s="3804"/>
      <c r="G173" s="3799" t="s">
        <v>4001</v>
      </c>
      <c r="H173" s="3799"/>
      <c r="I173" s="3799"/>
      <c r="J173" s="3799"/>
      <c r="K173" s="3799"/>
      <c r="L173" s="3799"/>
      <c r="M173" s="3799"/>
      <c r="N173" s="3799"/>
      <c r="O173" s="3797" t="s">
        <v>3659</v>
      </c>
      <c r="P173" s="3797"/>
      <c r="R173" s="51" t="s">
        <v>2833</v>
      </c>
      <c r="S173" s="35"/>
      <c r="T173" s="3739" t="str">
        <f>'Part I-Project Information'!$J$39</f>
        <v>Muscogee</v>
      </c>
      <c r="U173" s="3740"/>
      <c r="V173" s="3740"/>
      <c r="W173" s="3740"/>
      <c r="X173" s="3741"/>
    </row>
    <row r="174" spans="1:24" s="54" customFormat="1" ht="13.5" customHeight="1">
      <c r="A174" s="46"/>
      <c r="B174" s="4001" t="s">
        <v>3824</v>
      </c>
      <c r="C174" s="4001"/>
      <c r="D174" s="4001"/>
      <c r="E174" s="2314">
        <v>3000</v>
      </c>
      <c r="F174" s="2314">
        <v>6000</v>
      </c>
      <c r="G174" s="3794">
        <v>15000</v>
      </c>
      <c r="H174" s="3794"/>
      <c r="I174" s="3794"/>
      <c r="J174" s="3794"/>
      <c r="K174" s="3794"/>
      <c r="L174" s="3794"/>
      <c r="M174" s="3794"/>
      <c r="N174" s="3794"/>
      <c r="O174" s="3794">
        <v>20000</v>
      </c>
      <c r="P174" s="3794"/>
      <c r="R174" s="39" t="s">
        <v>2834</v>
      </c>
      <c r="S174" s="35"/>
      <c r="T174" s="3739" t="str">
        <f>'Part I-Project Information'!$O$40</f>
        <v>Columbus</v>
      </c>
      <c r="U174" s="3740"/>
      <c r="V174" s="3740"/>
      <c r="W174" s="3740"/>
      <c r="X174" s="3741"/>
    </row>
    <row r="175" spans="1:24" s="35" customFormat="1" ht="13.5" customHeight="1">
      <c r="A175" s="46"/>
      <c r="B175" s="4042" t="s">
        <v>4000</v>
      </c>
      <c r="C175" s="4042"/>
      <c r="D175" s="4042"/>
      <c r="E175" s="2315">
        <v>4500</v>
      </c>
      <c r="F175" s="2315">
        <v>9000</v>
      </c>
      <c r="G175" s="3798">
        <v>22500</v>
      </c>
      <c r="H175" s="3798"/>
      <c r="I175" s="3798"/>
      <c r="J175" s="3798"/>
      <c r="K175" s="3798"/>
      <c r="L175" s="3798"/>
      <c r="M175" s="3798"/>
      <c r="N175" s="3798"/>
      <c r="O175" s="3798">
        <v>30000</v>
      </c>
      <c r="P175" s="3798"/>
      <c r="R175" s="39" t="s">
        <v>3856</v>
      </c>
      <c r="T175" s="3739" t="str">
        <f>VLOOKUP('Part I-Project Information'!$J$39,'DCA Underwriting Assumptions'!$G$158:$J$317,4)</f>
        <v>MSA</v>
      </c>
      <c r="U175" s="3740"/>
      <c r="V175" s="3740"/>
      <c r="W175" s="3740"/>
      <c r="X175" s="3741"/>
    </row>
    <row r="176" spans="1:24" s="54" customFormat="1" ht="9" customHeight="1">
      <c r="A176" s="46"/>
      <c r="B176" s="46"/>
      <c r="C176" s="415"/>
      <c r="K176" s="2303"/>
      <c r="L176" s="2303"/>
    </row>
    <row r="177" spans="1:24" s="54" customFormat="1" ht="12" customHeight="1">
      <c r="B177" s="900" t="s">
        <v>3857</v>
      </c>
      <c r="E177" s="899"/>
      <c r="F177" s="899"/>
      <c r="G177" s="899"/>
      <c r="I177" s="2726"/>
      <c r="J177" s="1144"/>
      <c r="R177" s="35" t="s">
        <v>3624</v>
      </c>
      <c r="S177" s="35"/>
      <c r="T177" s="3801" t="str">
        <f>'Part I-Project Information'!$K$40</f>
        <v>Urban</v>
      </c>
      <c r="U177" s="3802"/>
      <c r="V177" s="3802"/>
      <c r="W177" s="3802"/>
      <c r="X177" s="3803"/>
    </row>
    <row r="178" spans="1:24" s="54" customFormat="1" ht="12" customHeight="1">
      <c r="A178" s="902"/>
      <c r="B178" s="428" t="s">
        <v>3623</v>
      </c>
      <c r="H178" s="901" t="str">
        <f>IF(I178&lt;I177,"Threshold not met!","")</f>
        <v/>
      </c>
      <c r="I178" s="2727"/>
      <c r="J178" s="1145"/>
      <c r="K178" s="1119" t="str">
        <f>IF(J178&lt;J177,"Threshold not met!","")</f>
        <v/>
      </c>
    </row>
    <row r="179" spans="1:24" s="54" customFormat="1" ht="8.25" customHeight="1">
      <c r="A179" s="902"/>
      <c r="B179" s="428"/>
    </row>
    <row r="180" spans="1:24" s="54" customFormat="1" ht="11.25" customHeight="1">
      <c r="B180" s="578" t="s">
        <v>1986</v>
      </c>
      <c r="C180" s="35" t="s">
        <v>4161</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4003</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3878</v>
      </c>
      <c r="D182" s="1217"/>
      <c r="E182" s="1217"/>
      <c r="F182" s="1217"/>
      <c r="G182" s="1118"/>
      <c r="I182" s="1163">
        <f>IF(I178="",0,(I178/I177) - 1)</f>
        <v>0</v>
      </c>
      <c r="J182" s="1163">
        <f>IF(J178="",0,(J178/J177) - 1)</f>
        <v>0</v>
      </c>
      <c r="M182" s="2303"/>
    </row>
    <row r="183" spans="1:24" s="54" customFormat="1" ht="9" customHeight="1">
      <c r="A183" s="46"/>
      <c r="B183" s="46"/>
      <c r="C183" s="415"/>
      <c r="F183" s="2305"/>
      <c r="K183" s="2303"/>
      <c r="L183" s="2303"/>
    </row>
    <row r="184" spans="1:24" s="42" customFormat="1" ht="10.5" customHeight="1" thickBot="1">
      <c r="A184" s="41"/>
      <c r="B184" s="1206" t="s">
        <v>3750</v>
      </c>
      <c r="C184" s="41"/>
      <c r="D184" s="47"/>
      <c r="E184" s="47"/>
      <c r="F184" s="47"/>
      <c r="G184" s="47"/>
      <c r="H184" s="35"/>
      <c r="I184" s="35"/>
      <c r="J184" s="35"/>
      <c r="K184" s="35"/>
      <c r="M184" s="45"/>
      <c r="N184" s="61"/>
      <c r="O184" s="2"/>
      <c r="P184" s="2295"/>
    </row>
    <row r="185" spans="1:24" s="42" customFormat="1" ht="21.75" customHeight="1" thickTop="1" thickBot="1">
      <c r="A185" s="3817" t="s">
        <v>5230</v>
      </c>
      <c r="B185" s="3818"/>
      <c r="C185" s="3818"/>
      <c r="D185" s="3818"/>
      <c r="E185" s="3818"/>
      <c r="F185" s="3818"/>
      <c r="G185" s="3818"/>
      <c r="H185" s="3818"/>
      <c r="I185" s="3818"/>
      <c r="J185" s="3818"/>
      <c r="K185" s="3818"/>
      <c r="L185" s="3818"/>
      <c r="M185" s="3818"/>
      <c r="N185" s="3818"/>
      <c r="O185" s="3818"/>
      <c r="P185" s="3819"/>
      <c r="Q185" s="1074" t="s">
        <v>1254</v>
      </c>
    </row>
    <row r="186" spans="1:24" s="42" customFormat="1" ht="10.5" customHeight="1" thickTop="1">
      <c r="A186" s="41"/>
      <c r="B186" s="85" t="s">
        <v>1866</v>
      </c>
      <c r="C186" s="98"/>
      <c r="D186" s="85"/>
      <c r="E186" s="99"/>
      <c r="F186" s="2296"/>
      <c r="G186" s="2296"/>
      <c r="H186" s="2296"/>
      <c r="I186" s="2296"/>
      <c r="J186" s="2296"/>
      <c r="K186" s="2296"/>
      <c r="L186" s="2296"/>
      <c r="M186" s="2296"/>
      <c r="N186" s="74"/>
      <c r="O186" s="70"/>
      <c r="P186" s="2292"/>
      <c r="Q186" s="426"/>
    </row>
    <row r="187" spans="1:24" s="42" customFormat="1" ht="11.25" customHeight="1">
      <c r="A187" s="3486"/>
      <c r="B187" s="3487"/>
      <c r="C187" s="3487"/>
      <c r="D187" s="3487"/>
      <c r="E187" s="3487"/>
      <c r="F187" s="3487"/>
      <c r="G187" s="3487"/>
      <c r="H187" s="3487"/>
      <c r="I187" s="3487"/>
      <c r="J187" s="3487"/>
      <c r="K187" s="3487"/>
      <c r="L187" s="3487"/>
      <c r="M187" s="3487"/>
      <c r="N187" s="3487"/>
      <c r="O187" s="3487"/>
      <c r="P187" s="3488"/>
      <c r="Q187" s="445"/>
      <c r="U187" s="2093"/>
    </row>
    <row r="188" spans="1:24" s="42" customFormat="1" ht="3" customHeight="1" thickBot="1">
      <c r="A188" s="41"/>
      <c r="C188" s="2296"/>
      <c r="D188" s="2296"/>
      <c r="E188" s="2296"/>
      <c r="F188" s="2296"/>
      <c r="G188" s="2296"/>
      <c r="H188" s="2296"/>
      <c r="I188" s="2296"/>
      <c r="J188" s="2296"/>
      <c r="K188" s="2296"/>
      <c r="L188" s="2296"/>
      <c r="M188" s="2296"/>
      <c r="N188" s="74"/>
      <c r="O188" s="70"/>
      <c r="P188" s="887"/>
    </row>
    <row r="189" spans="1:24" s="102" customFormat="1" ht="12.6" customHeight="1" thickBot="1">
      <c r="A189" s="152" t="s">
        <v>772</v>
      </c>
      <c r="B189" s="106" t="s">
        <v>4009</v>
      </c>
      <c r="C189" s="92"/>
      <c r="D189" s="58"/>
      <c r="E189" s="58"/>
      <c r="I189" s="1062"/>
      <c r="J189" s="1062"/>
      <c r="K189" s="580"/>
      <c r="L189" s="580"/>
      <c r="M189" s="2292">
        <v>7</v>
      </c>
      <c r="N189" s="6"/>
      <c r="O189" s="1089">
        <f>IF(OR(O$153&gt;0,O$277&gt;0),0,MIN($M$189,O205+O210))</f>
        <v>7</v>
      </c>
      <c r="P189" s="1090">
        <f>IF(OR(P$153&gt;0,P$277&gt;0),0,MIN($M$189,P205+P210))</f>
        <v>0</v>
      </c>
      <c r="Q189" s="109" t="s">
        <v>441</v>
      </c>
      <c r="R189" s="3805" t="s">
        <v>4835</v>
      </c>
      <c r="S189" s="3806"/>
    </row>
    <row r="190" spans="1:24" s="42" customFormat="1" ht="2.25" customHeight="1">
      <c r="A190" s="429"/>
      <c r="C190" s="165"/>
      <c r="D190" s="165"/>
      <c r="E190" s="172"/>
      <c r="F190" s="165"/>
      <c r="G190" s="165"/>
      <c r="H190" s="165"/>
      <c r="I190" s="165"/>
      <c r="J190" s="165"/>
      <c r="K190" s="165"/>
      <c r="L190" s="165"/>
      <c r="M190" s="165"/>
      <c r="N190" s="165"/>
      <c r="O190" s="165"/>
      <c r="P190" s="165"/>
      <c r="R190" s="3807"/>
      <c r="S190" s="3808"/>
    </row>
    <row r="191" spans="1:24" s="42" customFormat="1" ht="23.25" customHeight="1">
      <c r="A191" s="429"/>
      <c r="B191" s="3696" t="s">
        <v>4835</v>
      </c>
      <c r="C191" s="3696"/>
      <c r="D191" s="3696"/>
      <c r="E191" s="3696"/>
      <c r="F191" s="3696"/>
      <c r="G191" s="3696"/>
      <c r="H191" s="3696"/>
      <c r="I191" s="3696"/>
      <c r="J191" s="3696"/>
      <c r="K191" s="3696"/>
      <c r="L191" s="3696"/>
      <c r="M191" s="3696"/>
      <c r="N191" s="3696"/>
      <c r="O191" s="3696"/>
      <c r="P191" s="3696"/>
      <c r="R191" s="3807"/>
      <c r="S191" s="3808"/>
    </row>
    <row r="192" spans="1:24" s="42" customFormat="1" ht="12" customHeight="1">
      <c r="A192" s="429"/>
      <c r="B192" s="165" t="s">
        <v>4126</v>
      </c>
      <c r="C192" s="165"/>
      <c r="D192" s="165"/>
      <c r="E192" s="165"/>
      <c r="F192" s="165"/>
      <c r="G192" s="165"/>
      <c r="H192" s="165"/>
      <c r="I192" s="165"/>
      <c r="J192" s="165"/>
      <c r="K192" s="1173" t="s">
        <v>2510</v>
      </c>
      <c r="L192" s="1174" t="s">
        <v>2510</v>
      </c>
      <c r="N192" s="1209"/>
      <c r="P192" s="1210"/>
      <c r="R192" s="3807"/>
      <c r="S192" s="3808"/>
    </row>
    <row r="193" spans="1:25" s="392" customFormat="1" ht="11.25" customHeight="1">
      <c r="B193" s="1029" t="s">
        <v>2435</v>
      </c>
      <c r="C193" s="3746" t="s">
        <v>4941</v>
      </c>
      <c r="D193" s="3746"/>
      <c r="E193" s="3746"/>
      <c r="F193" s="3746"/>
      <c r="G193" s="3746"/>
      <c r="H193" s="3746"/>
      <c r="I193" s="3746"/>
      <c r="J193" s="1029" t="s">
        <v>2435</v>
      </c>
      <c r="K193" s="2728" t="s">
        <v>2989</v>
      </c>
      <c r="L193" s="1211"/>
      <c r="M193" s="3812" t="s">
        <v>5261</v>
      </c>
      <c r="N193" s="3813"/>
      <c r="O193" s="3813"/>
      <c r="P193" s="3814"/>
      <c r="R193" s="3807"/>
      <c r="S193" s="3808"/>
    </row>
    <row r="194" spans="1:25" s="42" customFormat="1" ht="11.25" customHeight="1">
      <c r="A194" s="373"/>
      <c r="B194" s="375"/>
      <c r="C194" s="3746"/>
      <c r="D194" s="3746"/>
      <c r="E194" s="3746"/>
      <c r="F194" s="3746"/>
      <c r="G194" s="3746"/>
      <c r="H194" s="3746"/>
      <c r="I194" s="3746"/>
      <c r="K194" s="1190"/>
      <c r="L194" s="1190"/>
      <c r="R194" s="3807"/>
      <c r="S194" s="3808"/>
    </row>
    <row r="195" spans="1:25" s="102" customFormat="1" ht="11.25" customHeight="1">
      <c r="A195" s="429"/>
      <c r="B195" s="375" t="s">
        <v>2436</v>
      </c>
      <c r="C195" s="3745" t="s">
        <v>4829</v>
      </c>
      <c r="D195" s="3745"/>
      <c r="E195" s="3745"/>
      <c r="F195" s="3745"/>
      <c r="G195" s="3745"/>
      <c r="J195" s="375" t="s">
        <v>2436</v>
      </c>
      <c r="K195" s="2729" t="s">
        <v>2989</v>
      </c>
      <c r="L195" s="538"/>
      <c r="M195" s="4020" t="s">
        <v>5265</v>
      </c>
      <c r="N195" s="4021"/>
      <c r="O195" s="4021"/>
      <c r="P195" s="4022"/>
      <c r="R195" s="3807"/>
      <c r="S195" s="3808"/>
    </row>
    <row r="196" spans="1:25" s="32" customFormat="1" ht="11.25" customHeight="1">
      <c r="B196" s="375" t="s">
        <v>2437</v>
      </c>
      <c r="C196" s="491" t="s">
        <v>4830</v>
      </c>
      <c r="D196" s="491"/>
      <c r="E196" s="491"/>
      <c r="F196" s="491"/>
      <c r="G196" s="491"/>
      <c r="H196" s="491"/>
      <c r="J196" s="375" t="s">
        <v>2437</v>
      </c>
      <c r="K196" s="2730" t="s">
        <v>2989</v>
      </c>
      <c r="L196" s="2139"/>
      <c r="M196" s="3791" t="s">
        <v>5262</v>
      </c>
      <c r="N196" s="3792"/>
      <c r="O196" s="3792"/>
      <c r="P196" s="3793"/>
      <c r="R196" s="3807"/>
      <c r="S196" s="3808"/>
    </row>
    <row r="197" spans="1:25" s="32" customFormat="1" ht="11.25" customHeight="1">
      <c r="B197" s="375" t="s">
        <v>2439</v>
      </c>
      <c r="C197" s="134" t="s">
        <v>4831</v>
      </c>
      <c r="D197" s="491"/>
      <c r="E197" s="491"/>
      <c r="F197" s="491"/>
      <c r="G197" s="491"/>
      <c r="H197" s="491"/>
      <c r="J197" s="375" t="s">
        <v>2439</v>
      </c>
      <c r="K197" s="2730" t="s">
        <v>2989</v>
      </c>
      <c r="L197" s="2139"/>
      <c r="M197" s="3791" t="s">
        <v>5263</v>
      </c>
      <c r="N197" s="3792"/>
      <c r="O197" s="3792"/>
      <c r="P197" s="3793"/>
      <c r="R197" s="3807"/>
      <c r="S197" s="3808"/>
    </row>
    <row r="198" spans="1:25" s="32" customFormat="1" ht="11.25" customHeight="1">
      <c r="B198" s="375" t="s">
        <v>2438</v>
      </c>
      <c r="C198" s="51" t="s">
        <v>4833</v>
      </c>
      <c r="D198" s="51"/>
      <c r="E198" s="51"/>
      <c r="F198" s="51"/>
      <c r="G198" s="51"/>
      <c r="H198" s="51"/>
      <c r="J198" s="375" t="s">
        <v>2438</v>
      </c>
      <c r="K198" s="2730" t="s">
        <v>2989</v>
      </c>
      <c r="L198" s="2139"/>
      <c r="M198" s="3791" t="s">
        <v>5264</v>
      </c>
      <c r="N198" s="3792"/>
      <c r="O198" s="3792"/>
      <c r="P198" s="3793"/>
      <c r="R198" s="3807"/>
      <c r="S198" s="3808"/>
    </row>
    <row r="199" spans="1:25" s="32" customFormat="1" ht="11.25" customHeight="1">
      <c r="B199" s="387" t="s">
        <v>2455</v>
      </c>
      <c r="C199" s="51" t="s">
        <v>4832</v>
      </c>
      <c r="D199" s="491"/>
      <c r="E199" s="491"/>
      <c r="F199" s="491"/>
      <c r="G199" s="491"/>
      <c r="J199" s="387" t="s">
        <v>2455</v>
      </c>
      <c r="K199" s="2730" t="s">
        <v>2989</v>
      </c>
      <c r="L199" s="2139"/>
      <c r="M199" s="4039" t="s">
        <v>5264</v>
      </c>
      <c r="N199" s="4040"/>
      <c r="O199" s="4040"/>
      <c r="P199" s="4041"/>
      <c r="R199" s="3807"/>
      <c r="S199" s="3808"/>
    </row>
    <row r="200" spans="1:25" s="32" customFormat="1" ht="11.25" customHeight="1">
      <c r="B200" s="387" t="s">
        <v>2456</v>
      </c>
      <c r="C200" s="3759" t="s">
        <v>4939</v>
      </c>
      <c r="D200" s="3759"/>
      <c r="E200" s="3759"/>
      <c r="F200" s="3759"/>
      <c r="G200" s="3759"/>
      <c r="H200" s="3759"/>
      <c r="I200" s="2150"/>
      <c r="J200" s="387" t="s">
        <v>2456</v>
      </c>
      <c r="K200" s="2730" t="s">
        <v>2989</v>
      </c>
      <c r="L200" s="2139"/>
      <c r="R200" s="3807"/>
      <c r="S200" s="3808"/>
    </row>
    <row r="201" spans="1:25" s="42" customFormat="1" ht="11.25" customHeight="1">
      <c r="A201" s="373"/>
      <c r="B201" s="375"/>
      <c r="C201" s="3759"/>
      <c r="D201" s="3759"/>
      <c r="E201" s="3759"/>
      <c r="F201" s="3759"/>
      <c r="G201" s="3759"/>
      <c r="H201" s="3759"/>
      <c r="I201" s="2150"/>
      <c r="J201" s="387" t="s">
        <v>4940</v>
      </c>
      <c r="K201" s="2731">
        <v>42353</v>
      </c>
      <c r="L201" s="2151"/>
      <c r="M201" s="491"/>
      <c r="N201" s="491"/>
      <c r="O201" s="491"/>
      <c r="P201" s="491"/>
      <c r="R201" s="3807"/>
      <c r="S201" s="3808"/>
    </row>
    <row r="202" spans="1:25" s="32" customFormat="1" ht="11.25" customHeight="1">
      <c r="B202" s="1029" t="s">
        <v>2457</v>
      </c>
      <c r="C202" s="3746" t="s">
        <v>4836</v>
      </c>
      <c r="D202" s="3746"/>
      <c r="E202" s="3746"/>
      <c r="F202" s="3746"/>
      <c r="G202" s="3746"/>
      <c r="H202" s="3746"/>
      <c r="I202" s="3746"/>
      <c r="J202" s="387" t="s">
        <v>2457</v>
      </c>
      <c r="K202" s="2732" t="s">
        <v>5164</v>
      </c>
      <c r="L202" s="539"/>
      <c r="R202" s="3807"/>
      <c r="S202" s="3808"/>
    </row>
    <row r="203" spans="1:25" s="42" customFormat="1" ht="11.25" customHeight="1" thickBot="1">
      <c r="A203" s="373"/>
      <c r="B203" s="375"/>
      <c r="C203" s="3746"/>
      <c r="D203" s="3746"/>
      <c r="E203" s="3746"/>
      <c r="F203" s="3746"/>
      <c r="G203" s="3746"/>
      <c r="H203" s="3746"/>
      <c r="I203" s="3746"/>
      <c r="K203" s="1190"/>
      <c r="L203" s="1190"/>
      <c r="R203" s="3809"/>
      <c r="S203" s="3810"/>
    </row>
    <row r="204" spans="1:25" ht="4.5" customHeight="1">
      <c r="B204" s="387"/>
      <c r="C204" s="491"/>
      <c r="K204" s="39"/>
      <c r="M204" s="373"/>
      <c r="N204" s="373"/>
      <c r="O204" s="373"/>
      <c r="P204" s="373"/>
    </row>
    <row r="205" spans="1:25" ht="11.25" customHeight="1">
      <c r="A205" s="138" t="s">
        <v>1983</v>
      </c>
      <c r="B205" s="177" t="s">
        <v>4008</v>
      </c>
      <c r="H205" s="158"/>
      <c r="I205" s="431" t="s">
        <v>4834</v>
      </c>
      <c r="M205" s="430">
        <v>5</v>
      </c>
      <c r="N205" s="46" t="s">
        <v>1983</v>
      </c>
      <c r="O205" s="543">
        <f>IF(SUM(O206:O207)=$M$207,0,MIN($M$205,SUM(O206:O207)))</f>
        <v>5</v>
      </c>
      <c r="P205" s="543">
        <f>IF(SUM(P206:P207)=$M$207,0,MIN($M$205,SUM(P206:P207)))</f>
        <v>0</v>
      </c>
      <c r="Q205" s="1026"/>
      <c r="X205" s="373"/>
      <c r="Y205" s="375"/>
    </row>
    <row r="206" spans="1:25" ht="22.5" customHeight="1">
      <c r="A206" s="508"/>
      <c r="B206" s="586" t="s">
        <v>1986</v>
      </c>
      <c r="C206" s="3744" t="s">
        <v>4927</v>
      </c>
      <c r="D206" s="3744"/>
      <c r="E206" s="3744"/>
      <c r="F206" s="3744"/>
      <c r="G206" s="3744"/>
      <c r="H206" s="3744"/>
      <c r="I206" s="3744"/>
      <c r="J206" s="3744"/>
      <c r="K206" s="3744"/>
      <c r="L206" s="3744"/>
      <c r="M206" s="1132">
        <v>3</v>
      </c>
      <c r="N206" s="478" t="s">
        <v>1986</v>
      </c>
      <c r="O206" s="2710">
        <v>3</v>
      </c>
      <c r="P206" s="861"/>
      <c r="Q206" s="2148" t="str">
        <f>IF(OR($O206=$M206,$O206=0,$O206=""),"","*CHECK!*")</f>
        <v/>
      </c>
      <c r="R206" s="1016" t="s">
        <v>2706</v>
      </c>
    </row>
    <row r="207" spans="1:25" ht="12" customHeight="1">
      <c r="A207" s="508"/>
      <c r="B207" s="586" t="s">
        <v>1988</v>
      </c>
      <c r="C207" s="1028" t="s">
        <v>4925</v>
      </c>
      <c r="D207" s="1028"/>
      <c r="E207" s="1028"/>
      <c r="F207" s="1028"/>
      <c r="G207" s="1028"/>
      <c r="H207" s="1028"/>
      <c r="I207" s="1028"/>
      <c r="J207" s="433" t="s">
        <v>3775</v>
      </c>
      <c r="K207" s="32"/>
      <c r="L207" s="2137" t="str">
        <f>'Part I-Project Information'!$N$39</f>
        <v>Yes</v>
      </c>
      <c r="M207" s="2307">
        <v>2</v>
      </c>
      <c r="N207" s="435" t="s">
        <v>1988</v>
      </c>
      <c r="O207" s="2707">
        <v>2</v>
      </c>
      <c r="P207" s="530"/>
      <c r="Q207" s="1020" t="str">
        <f>IF(OR($O207=$M207,$O207=0,$O207=""),"","*CHECK!*")</f>
        <v/>
      </c>
      <c r="R207" s="1016" t="s">
        <v>2706</v>
      </c>
    </row>
    <row r="208" spans="1:25" ht="12" customHeight="1">
      <c r="A208" s="508"/>
      <c r="B208" s="586"/>
      <c r="C208" s="3745" t="s">
        <v>4926</v>
      </c>
      <c r="D208" s="3745"/>
      <c r="E208" s="3745"/>
      <c r="F208" s="3745"/>
      <c r="G208" s="3745"/>
      <c r="H208" s="3745"/>
      <c r="I208" s="2110"/>
      <c r="J208" s="433" t="s">
        <v>3575</v>
      </c>
      <c r="K208" s="2140"/>
      <c r="L208" s="2138" t="str">
        <f>'Part I-Project Information'!$O$38</f>
        <v>13215002902</v>
      </c>
      <c r="M208" s="2317"/>
      <c r="N208" s="1132"/>
      <c r="O208" s="1132"/>
      <c r="P208" s="1132"/>
      <c r="Q208" s="1020"/>
      <c r="R208" s="1016"/>
    </row>
    <row r="209" spans="1:23" ht="12" customHeight="1">
      <c r="A209" s="508"/>
      <c r="B209" s="474"/>
      <c r="C209" s="3745"/>
      <c r="D209" s="3745"/>
      <c r="E209" s="3745"/>
      <c r="F209" s="3745"/>
      <c r="G209" s="3745"/>
      <c r="H209" s="3745"/>
      <c r="J209" s="433" t="s">
        <v>3374</v>
      </c>
      <c r="K209" s="32"/>
      <c r="L209" s="2136" t="str">
        <f>'Part IV-A-Uses of Funds'!$H$152</f>
        <v>DDA/QCT</v>
      </c>
      <c r="M209" s="2136"/>
      <c r="N209" s="26"/>
      <c r="O209" s="26"/>
      <c r="P209" s="26"/>
      <c r="R209" s="158"/>
    </row>
    <row r="210" spans="1:23" ht="12" customHeight="1">
      <c r="A210" s="138" t="s">
        <v>1985</v>
      </c>
      <c r="B210" s="177" t="s">
        <v>4837</v>
      </c>
      <c r="D210" s="32"/>
      <c r="F210" s="2099"/>
      <c r="K210" s="1165"/>
      <c r="L210" s="376" t="str">
        <f>IF(OR($O210=$M210,$O210=0,$O210=""),"","* * Check Score! * *")</f>
        <v/>
      </c>
      <c r="M210" s="430">
        <v>2</v>
      </c>
      <c r="N210" s="63" t="s">
        <v>1985</v>
      </c>
      <c r="O210" s="2711">
        <v>2</v>
      </c>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3776</v>
      </c>
      <c r="C212" s="35" t="s">
        <v>3853</v>
      </c>
      <c r="D212" s="102"/>
      <c r="E212" s="102"/>
      <c r="F212" s="102"/>
      <c r="G212" s="102"/>
      <c r="H212" s="102"/>
      <c r="I212" s="102"/>
      <c r="J212" s="3747" t="s">
        <v>5281</v>
      </c>
      <c r="K212" s="3748"/>
      <c r="L212" s="3748"/>
      <c r="M212" s="3748"/>
      <c r="N212" s="3748"/>
      <c r="O212" s="3748"/>
      <c r="P212" s="3749"/>
      <c r="V212" s="1070"/>
      <c r="W212" s="1070"/>
    </row>
    <row r="213" spans="1:23" s="42" customFormat="1" ht="11.25" customHeight="1">
      <c r="A213" s="175"/>
      <c r="B213" s="463" t="s">
        <v>3777</v>
      </c>
      <c r="C213" s="433" t="s">
        <v>3854</v>
      </c>
      <c r="D213" s="102"/>
      <c r="E213" s="102"/>
      <c r="F213" s="102"/>
      <c r="G213" s="102"/>
      <c r="H213" s="102"/>
      <c r="I213" s="2057" t="str">
        <f>IF($J$213="Government", "Additional documentation required - see QAP.","")</f>
        <v/>
      </c>
      <c r="J213" s="3702" t="s">
        <v>5282</v>
      </c>
      <c r="K213" s="3795"/>
      <c r="L213" s="3796"/>
      <c r="M213" s="102"/>
      <c r="N213" s="102"/>
      <c r="O213" s="102"/>
      <c r="P213" s="102"/>
      <c r="V213" s="1070"/>
      <c r="W213" s="1070"/>
    </row>
    <row r="214" spans="1:23" ht="11.25" customHeight="1">
      <c r="A214" s="176"/>
      <c r="B214" s="463" t="s">
        <v>3778</v>
      </c>
      <c r="C214" s="433" t="s">
        <v>4842</v>
      </c>
      <c r="D214" s="32"/>
      <c r="E214" s="32"/>
      <c r="F214" s="585"/>
      <c r="G214" s="585"/>
      <c r="H214" s="585"/>
      <c r="I214" s="32"/>
      <c r="J214" s="2671" t="s">
        <v>2989</v>
      </c>
      <c r="K214" s="3750" t="s">
        <v>4839</v>
      </c>
      <c r="L214" s="3751"/>
      <c r="M214" s="3751"/>
      <c r="N214" s="3751"/>
      <c r="O214" s="2095"/>
      <c r="P214" s="92"/>
      <c r="V214" s="1070"/>
      <c r="W214" s="1070"/>
    </row>
    <row r="215" spans="1:23" ht="11.25" customHeight="1">
      <c r="A215" s="176"/>
      <c r="B215" s="387" t="s">
        <v>3780</v>
      </c>
      <c r="C215" s="433" t="s">
        <v>4838</v>
      </c>
      <c r="D215" s="32"/>
      <c r="E215" s="32"/>
      <c r="F215" s="585"/>
      <c r="G215" s="585"/>
      <c r="H215" s="585"/>
      <c r="I215" s="32"/>
      <c r="J215" s="2672" t="s">
        <v>2989</v>
      </c>
      <c r="K215" s="3750"/>
      <c r="L215" s="3751"/>
      <c r="M215" s="3751"/>
      <c r="N215" s="3751"/>
      <c r="O215" s="2733">
        <v>0.08</v>
      </c>
      <c r="P215" s="2096" t="s">
        <v>3783</v>
      </c>
      <c r="V215" s="1070"/>
      <c r="W215" s="1070"/>
    </row>
    <row r="216" spans="1:23" ht="11.25" customHeight="1">
      <c r="A216" s="176"/>
      <c r="B216" s="387" t="s">
        <v>3781</v>
      </c>
      <c r="C216" s="433" t="s">
        <v>4841</v>
      </c>
      <c r="D216" s="32"/>
      <c r="E216" s="32"/>
      <c r="F216" s="585"/>
      <c r="G216" s="585"/>
      <c r="H216" s="585"/>
      <c r="I216" s="32"/>
      <c r="J216" s="2673" t="s">
        <v>2992</v>
      </c>
      <c r="L216" s="2097" t="s">
        <v>4840</v>
      </c>
      <c r="N216" s="2098"/>
      <c r="O216" s="3752">
        <v>44196</v>
      </c>
      <c r="P216" s="3753"/>
      <c r="V216" s="1070"/>
      <c r="W216" s="1070"/>
    </row>
    <row r="217" spans="1:23" ht="2.25" customHeight="1">
      <c r="A217" s="176"/>
      <c r="G217" s="391"/>
      <c r="L217" s="1146"/>
      <c r="V217" s="1070"/>
      <c r="W217" s="1070"/>
    </row>
    <row r="218" spans="1:23" ht="21.75" customHeight="1">
      <c r="A218" s="4047" t="s">
        <v>4166</v>
      </c>
      <c r="B218" s="4045" t="s">
        <v>4163</v>
      </c>
      <c r="C218" s="4046"/>
      <c r="D218" s="2970" t="s">
        <v>5283</v>
      </c>
      <c r="E218" s="2971"/>
      <c r="F218" s="2971"/>
      <c r="G218" s="2971"/>
      <c r="H218" s="2971"/>
      <c r="I218" s="2971"/>
      <c r="J218" s="2971"/>
      <c r="K218" s="2971"/>
      <c r="L218" s="2971"/>
      <c r="M218" s="2971"/>
      <c r="N218" s="2971"/>
      <c r="O218" s="2971"/>
      <c r="P218" s="2973"/>
      <c r="Q218" s="445"/>
      <c r="V218" s="1070"/>
      <c r="W218" s="1070"/>
    </row>
    <row r="219" spans="1:23" ht="22.5" customHeight="1">
      <c r="A219" s="4048"/>
      <c r="B219" s="4043" t="s">
        <v>4164</v>
      </c>
      <c r="C219" s="4044"/>
      <c r="D219" s="2950" t="s">
        <v>5286</v>
      </c>
      <c r="E219" s="2951"/>
      <c r="F219" s="2951"/>
      <c r="G219" s="2951"/>
      <c r="H219" s="2951"/>
      <c r="I219" s="2951"/>
      <c r="J219" s="2951"/>
      <c r="K219" s="2951"/>
      <c r="L219" s="2951"/>
      <c r="M219" s="2951"/>
      <c r="N219" s="2951"/>
      <c r="O219" s="2951"/>
      <c r="P219" s="2953"/>
      <c r="Q219" s="445"/>
      <c r="V219" s="1070"/>
      <c r="W219" s="1070"/>
    </row>
    <row r="220" spans="1:23" ht="22.5" customHeight="1">
      <c r="A220" s="4049"/>
      <c r="B220" s="4052" t="s">
        <v>4921</v>
      </c>
      <c r="C220" s="4053"/>
      <c r="D220" s="2957" t="s">
        <v>5284</v>
      </c>
      <c r="E220" s="2958"/>
      <c r="F220" s="2958"/>
      <c r="G220" s="2958"/>
      <c r="H220" s="2958"/>
      <c r="I220" s="2958"/>
      <c r="J220" s="2958"/>
      <c r="K220" s="2958"/>
      <c r="L220" s="2958"/>
      <c r="M220" s="2958"/>
      <c r="N220" s="2958"/>
      <c r="O220" s="2958"/>
      <c r="P220" s="2960"/>
      <c r="Q220" s="445"/>
      <c r="V220" s="1070"/>
      <c r="W220" s="1070"/>
    </row>
    <row r="221" spans="1:23" ht="11.25" customHeight="1">
      <c r="B221" s="35" t="s">
        <v>3453</v>
      </c>
      <c r="G221" s="4025" t="s">
        <v>2629</v>
      </c>
      <c r="H221" s="4025"/>
      <c r="J221" s="4023">
        <v>4186038</v>
      </c>
      <c r="K221" s="4024"/>
      <c r="L221" s="4050"/>
      <c r="M221" s="4051"/>
      <c r="V221" s="1070"/>
      <c r="W221" s="1070"/>
    </row>
    <row r="222" spans="1:23" s="42" customFormat="1" ht="11.25" customHeight="1">
      <c r="C222" s="35" t="s">
        <v>3454</v>
      </c>
      <c r="D222" s="2296"/>
      <c r="G222" s="4054">
        <f>'Part IV-A-Uses of Funds'!$G$132</f>
        <v>14176065</v>
      </c>
      <c r="H222" s="4055"/>
      <c r="J222" s="4018">
        <f>IF($J221=0,0,$J221/$G$222)</f>
        <v>0.29528913700663761</v>
      </c>
      <c r="K222" s="4019"/>
      <c r="L222" s="4018">
        <f>IF($L221=0,0,$L221/$G$222)</f>
        <v>0</v>
      </c>
      <c r="M222" s="4019"/>
      <c r="V222" s="1070"/>
      <c r="W222" s="1070"/>
    </row>
    <row r="223" spans="1:23" s="102" customFormat="1" ht="10.5" customHeight="1" thickBot="1">
      <c r="A223" s="41"/>
      <c r="B223" s="1206" t="s">
        <v>3750</v>
      </c>
      <c r="C223" s="41"/>
      <c r="D223" s="47"/>
      <c r="E223" s="47"/>
      <c r="F223" s="47"/>
      <c r="G223" s="47"/>
      <c r="H223" s="35"/>
      <c r="I223" s="35"/>
      <c r="J223" s="35"/>
      <c r="K223" s="35"/>
      <c r="M223" s="45"/>
      <c r="N223" s="5"/>
      <c r="O223" s="2"/>
      <c r="P223" s="2292"/>
    </row>
    <row r="224" spans="1:23" s="42" customFormat="1" ht="92.25" customHeight="1" thickTop="1" thickBot="1">
      <c r="A224" s="3817" t="s">
        <v>5288</v>
      </c>
      <c r="B224" s="3818"/>
      <c r="C224" s="3818"/>
      <c r="D224" s="3818"/>
      <c r="E224" s="3818"/>
      <c r="F224" s="3818"/>
      <c r="G224" s="3818"/>
      <c r="H224" s="3818"/>
      <c r="I224" s="3818"/>
      <c r="J224" s="3818"/>
      <c r="K224" s="3818"/>
      <c r="L224" s="3818"/>
      <c r="M224" s="3818"/>
      <c r="N224" s="3818"/>
      <c r="O224" s="3818"/>
      <c r="P224" s="3819"/>
      <c r="Q224" s="1074" t="s">
        <v>1254</v>
      </c>
    </row>
    <row r="225" spans="1:23" s="102" customFormat="1" ht="11.7" customHeight="1" thickTop="1">
      <c r="A225" s="41"/>
      <c r="B225" s="97" t="s">
        <v>1866</v>
      </c>
      <c r="C225" s="41"/>
      <c r="D225" s="97"/>
      <c r="E225" s="2301"/>
      <c r="F225" s="2301"/>
      <c r="G225" s="2301"/>
      <c r="H225" s="2301"/>
      <c r="I225" s="2301"/>
      <c r="J225" s="2301"/>
      <c r="K225" s="2301"/>
      <c r="L225" s="2301"/>
      <c r="M225" s="2301"/>
      <c r="N225" s="93"/>
      <c r="O225" s="872"/>
      <c r="P225" s="2292"/>
      <c r="Q225" s="426"/>
    </row>
    <row r="226" spans="1:23" s="42" customFormat="1" ht="11.25" customHeight="1">
      <c r="A226" s="3486"/>
      <c r="B226" s="3487"/>
      <c r="C226" s="3487"/>
      <c r="D226" s="3487"/>
      <c r="E226" s="3487"/>
      <c r="F226" s="3487"/>
      <c r="G226" s="3487"/>
      <c r="H226" s="3487"/>
      <c r="I226" s="3487"/>
      <c r="J226" s="3487"/>
      <c r="K226" s="3487"/>
      <c r="L226" s="3487"/>
      <c r="M226" s="3487"/>
      <c r="N226" s="3487"/>
      <c r="O226" s="3487"/>
      <c r="P226" s="3488"/>
      <c r="Q226" s="445"/>
    </row>
    <row r="227" spans="1:23" s="42" customFormat="1" ht="3" customHeight="1" thickBot="1">
      <c r="A227" s="41"/>
      <c r="C227" s="2296"/>
      <c r="D227" s="2296"/>
      <c r="E227" s="2296"/>
      <c r="F227" s="2296"/>
      <c r="G227" s="2296"/>
      <c r="H227" s="2296"/>
      <c r="I227" s="2296"/>
      <c r="J227" s="2296"/>
      <c r="K227" s="2296"/>
      <c r="L227" s="2296"/>
      <c r="M227" s="2296"/>
      <c r="N227" s="74"/>
      <c r="O227" s="70"/>
      <c r="P227" s="887"/>
    </row>
    <row r="228" spans="1:23" s="42" customFormat="1" ht="13.5" customHeight="1" thickBot="1">
      <c r="A228" s="152" t="s">
        <v>292</v>
      </c>
      <c r="B228" s="106" t="s">
        <v>4012</v>
      </c>
      <c r="C228" s="2296"/>
      <c r="D228" s="2296"/>
      <c r="E228" s="2296"/>
      <c r="F228" s="2296"/>
      <c r="G228" s="2296"/>
      <c r="H228" s="2296"/>
      <c r="I228" s="2296"/>
      <c r="J228" s="2296"/>
      <c r="M228" s="887">
        <v>3</v>
      </c>
      <c r="N228" s="74"/>
      <c r="O228" s="70"/>
      <c r="P228" s="1123"/>
      <c r="Q228" s="109" t="s">
        <v>441</v>
      </c>
      <c r="R228" s="1016" t="s">
        <v>2706</v>
      </c>
    </row>
    <row r="229" spans="1:23" s="42" customFormat="1" ht="13.5" customHeight="1">
      <c r="A229" s="152"/>
      <c r="B229" s="103" t="s">
        <v>4605</v>
      </c>
      <c r="C229" s="2296"/>
      <c r="D229" s="2296"/>
      <c r="E229" s="2296"/>
      <c r="F229" s="2296"/>
      <c r="G229" s="2296"/>
      <c r="H229" s="2296"/>
      <c r="I229" s="2296"/>
      <c r="J229" s="2296"/>
      <c r="K229" s="2297"/>
      <c r="L229" s="2100" t="str">
        <f>IF(OR(O$153&gt;0,O$277&gt;0),"Applicant is ineligible for points in this section!  Points claimed in VI or IX.","")</f>
        <v/>
      </c>
      <c r="M229" s="887"/>
      <c r="N229" s="74"/>
      <c r="O229" s="2674"/>
      <c r="P229" s="1953"/>
      <c r="Q229" s="109"/>
      <c r="R229" s="1016"/>
    </row>
    <row r="230" spans="1:23" s="42" customFormat="1" ht="13.5" customHeight="1">
      <c r="A230" s="152"/>
      <c r="B230" s="113" t="s">
        <v>4014</v>
      </c>
      <c r="C230" s="2296"/>
      <c r="D230" s="2296"/>
      <c r="E230" s="2296"/>
      <c r="F230" s="2296"/>
      <c r="G230" s="2296"/>
      <c r="H230" s="2296"/>
      <c r="I230" s="2296"/>
      <c r="J230" s="2296"/>
      <c r="K230" s="2297" t="s">
        <v>3245</v>
      </c>
      <c r="L230" s="2297" t="s">
        <v>256</v>
      </c>
      <c r="M230" s="887"/>
      <c r="N230" s="74"/>
      <c r="O230" s="70"/>
      <c r="P230" s="70"/>
      <c r="Q230" s="109"/>
      <c r="R230" s="1016"/>
    </row>
    <row r="231" spans="1:23" s="42" customFormat="1" ht="11.25" customHeight="1">
      <c r="A231" s="138"/>
      <c r="C231" s="54" t="s">
        <v>4849</v>
      </c>
      <c r="K231" s="1170">
        <f>$O$189</f>
        <v>7</v>
      </c>
      <c r="L231" s="1171">
        <f>$P$189</f>
        <v>0</v>
      </c>
      <c r="N231" s="463" t="s">
        <v>2435</v>
      </c>
      <c r="O231" s="2671"/>
      <c r="P231" s="534"/>
      <c r="R231" s="376"/>
    </row>
    <row r="232" spans="1:23" s="42" customFormat="1" ht="11.25" customHeight="1">
      <c r="A232" s="138"/>
      <c r="C232" s="54" t="s">
        <v>4850</v>
      </c>
      <c r="K232" s="1170">
        <f>$O$107</f>
        <v>4</v>
      </c>
      <c r="L232" s="1171">
        <f>$P$107</f>
        <v>0</v>
      </c>
      <c r="N232" s="463" t="s">
        <v>2436</v>
      </c>
      <c r="O232" s="2672"/>
      <c r="P232" s="535"/>
      <c r="R232" s="1070"/>
      <c r="S232" s="1070"/>
    </row>
    <row r="233" spans="1:23" s="42" customFormat="1" ht="11.25" customHeight="1">
      <c r="C233" s="54" t="s">
        <v>4851</v>
      </c>
      <c r="N233" s="463" t="s">
        <v>2437</v>
      </c>
      <c r="O233" s="2673"/>
      <c r="P233" s="535"/>
      <c r="R233" s="1070"/>
      <c r="S233" s="1070"/>
    </row>
    <row r="234" spans="1:23" s="42" customFormat="1" ht="11.25" customHeight="1">
      <c r="A234" s="138"/>
      <c r="C234" s="54" t="s">
        <v>4018</v>
      </c>
      <c r="K234" s="2088" t="str">
        <f>'Part I-Project Information'!F38</f>
        <v>Columbus</v>
      </c>
      <c r="L234" s="2089"/>
      <c r="N234" s="463" t="s">
        <v>2438</v>
      </c>
      <c r="O234" s="463"/>
      <c r="P234" s="535"/>
      <c r="R234" s="1070"/>
      <c r="S234" s="1070"/>
    </row>
    <row r="235" spans="1:23" s="42" customFormat="1" ht="11.25" customHeight="1">
      <c r="A235" s="138"/>
      <c r="C235" s="54" t="s">
        <v>4943</v>
      </c>
      <c r="K235" s="1170">
        <f>$O$153</f>
        <v>0</v>
      </c>
      <c r="L235" s="1171">
        <f>$P$153</f>
        <v>0</v>
      </c>
      <c r="N235" s="463" t="s">
        <v>2439</v>
      </c>
      <c r="O235" s="2671"/>
      <c r="P235" s="535"/>
      <c r="R235" s="1070"/>
      <c r="S235" s="1070"/>
    </row>
    <row r="236" spans="1:23" s="42" customFormat="1" ht="11.25" customHeight="1">
      <c r="A236" s="138"/>
      <c r="C236" s="54" t="s">
        <v>4942</v>
      </c>
      <c r="K236" s="1170">
        <f>$O$277</f>
        <v>0</v>
      </c>
      <c r="L236" s="1171">
        <f>$P$277</f>
        <v>0</v>
      </c>
      <c r="N236" s="463" t="s">
        <v>2438</v>
      </c>
      <c r="O236" s="2673"/>
      <c r="P236" s="536"/>
      <c r="R236" s="1070"/>
      <c r="S236" s="1070"/>
    </row>
    <row r="237" spans="1:23" s="42" customFormat="1" ht="3" customHeight="1">
      <c r="A237" s="41"/>
      <c r="C237" s="2296"/>
      <c r="D237" s="2296"/>
      <c r="E237" s="2296"/>
      <c r="F237" s="2296"/>
      <c r="G237" s="2296"/>
      <c r="H237" s="2296"/>
      <c r="I237" s="2296"/>
      <c r="J237" s="2296"/>
      <c r="K237" s="2296"/>
      <c r="L237" s="2296"/>
      <c r="M237" s="2296"/>
      <c r="N237" s="74"/>
      <c r="O237" s="70"/>
      <c r="P237" s="887"/>
    </row>
    <row r="238" spans="1:23" ht="11.25" customHeight="1">
      <c r="A238" s="138" t="s">
        <v>1983</v>
      </c>
      <c r="B238" s="177" t="s">
        <v>4021</v>
      </c>
      <c r="D238" s="32"/>
      <c r="G238" s="474" t="s">
        <v>3779</v>
      </c>
      <c r="N238" s="26"/>
      <c r="O238" s="26"/>
      <c r="P238" s="26"/>
      <c r="Q238" s="1026"/>
    </row>
    <row r="239" spans="1:23" s="32" customFormat="1" ht="11.25" customHeight="1">
      <c r="A239" s="508"/>
      <c r="B239" s="134" t="s">
        <v>3858</v>
      </c>
      <c r="D239" s="4029"/>
      <c r="E239" s="4027"/>
      <c r="F239" s="4027"/>
      <c r="G239" s="3372"/>
      <c r="H239" s="4030"/>
      <c r="I239" s="2311" t="s">
        <v>2704</v>
      </c>
      <c r="J239" s="4029"/>
      <c r="K239" s="4027"/>
      <c r="L239" s="4027"/>
      <c r="M239" s="4027"/>
      <c r="N239" s="4030"/>
      <c r="O239" s="572"/>
      <c r="P239" s="572"/>
      <c r="Q239" s="1026"/>
      <c r="R239" s="4031" t="s">
        <v>5019</v>
      </c>
      <c r="S239" s="4032"/>
    </row>
    <row r="240" spans="1:23" s="32" customFormat="1" ht="11.25" customHeight="1">
      <c r="A240" s="508"/>
      <c r="B240" s="134" t="s">
        <v>2194</v>
      </c>
      <c r="D240" s="3910"/>
      <c r="E240" s="3911"/>
      <c r="F240" s="3912"/>
      <c r="G240" s="134" t="s">
        <v>1721</v>
      </c>
      <c r="H240" s="2734"/>
      <c r="I240" s="433" t="s">
        <v>1800</v>
      </c>
      <c r="J240" s="3910"/>
      <c r="K240" s="3911"/>
      <c r="L240" s="3911"/>
      <c r="M240" s="3911"/>
      <c r="N240" s="3912"/>
      <c r="Q240" s="1026"/>
      <c r="R240" s="4033"/>
      <c r="S240" s="4034"/>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4033"/>
      <c r="S241" s="4034"/>
    </row>
    <row r="242" spans="1:23" ht="10.5" customHeight="1">
      <c r="A242" s="508"/>
      <c r="B242" s="586" t="s">
        <v>1986</v>
      </c>
      <c r="C242" s="1028" t="s">
        <v>4020</v>
      </c>
      <c r="D242" s="1023"/>
      <c r="E242" s="1023"/>
      <c r="F242" s="1023"/>
      <c r="G242" s="1023"/>
      <c r="H242" s="1023"/>
      <c r="I242" s="1023"/>
      <c r="J242" s="1023"/>
      <c r="K242" s="1023"/>
      <c r="L242" s="1023"/>
      <c r="M242" s="1023"/>
      <c r="N242" s="1023"/>
      <c r="O242" s="516" t="s">
        <v>2510</v>
      </c>
      <c r="P242" s="516" t="s">
        <v>2510</v>
      </c>
      <c r="Q242" s="1023"/>
      <c r="R242" s="4033"/>
      <c r="S242" s="4034"/>
    </row>
    <row r="243" spans="1:23" s="32" customFormat="1" ht="21.75" customHeight="1">
      <c r="A243" s="2307"/>
      <c r="B243" s="614"/>
      <c r="C243" s="3745" t="s">
        <v>4031</v>
      </c>
      <c r="D243" s="3745"/>
      <c r="E243" s="3745"/>
      <c r="F243" s="3745"/>
      <c r="G243" s="3745"/>
      <c r="H243" s="3745"/>
      <c r="I243" s="3745"/>
      <c r="J243" s="3745"/>
      <c r="K243" s="3745"/>
      <c r="L243" s="3745"/>
      <c r="M243" s="3745"/>
      <c r="N243" s="390" t="s">
        <v>1986</v>
      </c>
      <c r="O243" s="2691"/>
      <c r="P243" s="1150"/>
      <c r="Q243" s="1023"/>
      <c r="R243" s="4033"/>
      <c r="S243" s="4034"/>
      <c r="V243" s="1070"/>
      <c r="W243" s="1070"/>
    </row>
    <row r="244" spans="1:23" s="32" customFormat="1" ht="11.25" customHeight="1">
      <c r="A244" s="508"/>
      <c r="B244" s="463" t="s">
        <v>2435</v>
      </c>
      <c r="C244" s="134" t="s">
        <v>4022</v>
      </c>
      <c r="D244" s="3903"/>
      <c r="E244" s="3904"/>
      <c r="F244" s="3904"/>
      <c r="G244" s="4027"/>
      <c r="H244" s="3905"/>
      <c r="I244" s="2311" t="s">
        <v>2704</v>
      </c>
      <c r="J244" s="3903"/>
      <c r="K244" s="3904"/>
      <c r="L244" s="3904"/>
      <c r="M244" s="3904"/>
      <c r="N244" s="3905"/>
      <c r="O244" s="4003" t="s">
        <v>4024</v>
      </c>
      <c r="P244" s="4004"/>
      <c r="Q244" s="1023"/>
      <c r="R244" s="4033"/>
      <c r="S244" s="4034"/>
      <c r="V244" s="1070"/>
      <c r="W244" s="1070"/>
    </row>
    <row r="245" spans="1:23" s="32" customFormat="1" ht="11.25" customHeight="1">
      <c r="A245" s="508"/>
      <c r="C245" s="1078" t="s">
        <v>2194</v>
      </c>
      <c r="D245" s="3910"/>
      <c r="E245" s="3911"/>
      <c r="F245" s="3912"/>
      <c r="G245" s="1148" t="s">
        <v>1721</v>
      </c>
      <c r="H245" s="2734"/>
      <c r="I245" s="1077" t="s">
        <v>1800</v>
      </c>
      <c r="J245" s="3910"/>
      <c r="K245" s="3911"/>
      <c r="L245" s="3911"/>
      <c r="M245" s="3911"/>
      <c r="N245" s="3912"/>
      <c r="O245" s="2673"/>
      <c r="P245" s="536"/>
      <c r="Q245" s="1023"/>
      <c r="R245" s="4033"/>
      <c r="S245" s="4034"/>
      <c r="V245" s="1070"/>
      <c r="W245" s="1070"/>
    </row>
    <row r="246" spans="1:23" s="32" customFormat="1" ht="11.25" customHeight="1">
      <c r="A246" s="508"/>
      <c r="B246" s="463" t="s">
        <v>2436</v>
      </c>
      <c r="C246" s="134" t="s">
        <v>4023</v>
      </c>
      <c r="D246" s="3903"/>
      <c r="E246" s="3904"/>
      <c r="F246" s="3904"/>
      <c r="G246" s="4027"/>
      <c r="H246" s="3905"/>
      <c r="I246" s="2311" t="s">
        <v>2704</v>
      </c>
      <c r="J246" s="3903"/>
      <c r="K246" s="3904"/>
      <c r="L246" s="3904"/>
      <c r="M246" s="3904"/>
      <c r="N246" s="3905"/>
      <c r="O246" s="4003" t="s">
        <v>4024</v>
      </c>
      <c r="P246" s="4004"/>
      <c r="Q246" s="1023"/>
      <c r="R246" s="4033"/>
      <c r="S246" s="4034"/>
      <c r="V246" s="1070"/>
      <c r="W246" s="1070"/>
    </row>
    <row r="247" spans="1:23" s="32" customFormat="1" ht="11.25" customHeight="1">
      <c r="A247" s="508"/>
      <c r="C247" s="1078" t="s">
        <v>2194</v>
      </c>
      <c r="D247" s="3910"/>
      <c r="E247" s="3911"/>
      <c r="F247" s="3912"/>
      <c r="G247" s="1148" t="s">
        <v>1721</v>
      </c>
      <c r="H247" s="2734"/>
      <c r="I247" s="1077" t="s">
        <v>1800</v>
      </c>
      <c r="J247" s="3910"/>
      <c r="K247" s="3911"/>
      <c r="L247" s="3911"/>
      <c r="M247" s="3911"/>
      <c r="N247" s="3912"/>
      <c r="O247" s="2673"/>
      <c r="P247" s="536"/>
      <c r="Q247" s="1023"/>
      <c r="R247" s="4033"/>
      <c r="S247" s="4034"/>
      <c r="V247" s="1070"/>
      <c r="W247" s="1070"/>
    </row>
    <row r="248" spans="1:23" ht="11.25" customHeight="1">
      <c r="A248" s="508"/>
      <c r="B248" s="586" t="s">
        <v>1988</v>
      </c>
      <c r="C248" s="1028" t="s">
        <v>4025</v>
      </c>
      <c r="D248" s="1023"/>
      <c r="E248" s="1023"/>
      <c r="F248" s="1023"/>
      <c r="G248" s="474" t="s">
        <v>3779</v>
      </c>
      <c r="H248" s="1023"/>
      <c r="I248" s="1023"/>
      <c r="J248" s="1023"/>
      <c r="K248" s="1023"/>
      <c r="L248" s="1023"/>
      <c r="M248" s="1023"/>
      <c r="N248" s="1023"/>
      <c r="O248" s="516" t="s">
        <v>2510</v>
      </c>
      <c r="P248" s="516" t="s">
        <v>2510</v>
      </c>
      <c r="Q248" s="1023"/>
      <c r="R248" s="4033"/>
      <c r="S248" s="4034"/>
    </row>
    <row r="249" spans="1:23" ht="33.75" customHeight="1">
      <c r="A249" s="508"/>
      <c r="B249" s="1030"/>
      <c r="C249" s="3746" t="s">
        <v>4130</v>
      </c>
      <c r="D249" s="3746"/>
      <c r="E249" s="3746"/>
      <c r="F249" s="3746"/>
      <c r="G249" s="3746"/>
      <c r="H249" s="3746"/>
      <c r="I249" s="3746"/>
      <c r="J249" s="3746"/>
      <c r="K249" s="3746"/>
      <c r="L249" s="3746"/>
      <c r="M249" s="3746"/>
      <c r="N249" s="390" t="s">
        <v>1988</v>
      </c>
      <c r="O249" s="2691"/>
      <c r="P249" s="1150"/>
      <c r="Q249" s="1027"/>
      <c r="R249" s="4033"/>
      <c r="S249" s="4034"/>
      <c r="V249" s="1070"/>
      <c r="W249" s="1070"/>
    </row>
    <row r="250" spans="1:23" ht="11.25" customHeight="1">
      <c r="A250" s="508"/>
      <c r="B250" s="463" t="s">
        <v>2435</v>
      </c>
      <c r="C250" s="1032" t="s">
        <v>4131</v>
      </c>
      <c r="D250" s="2313"/>
      <c r="E250" s="2313"/>
      <c r="F250" s="2313"/>
      <c r="G250" s="2313"/>
      <c r="H250" s="2313"/>
      <c r="I250" s="2313"/>
      <c r="J250" s="2313"/>
      <c r="K250" s="2313"/>
      <c r="L250" s="2313"/>
      <c r="M250" s="2313"/>
      <c r="N250" s="2313"/>
      <c r="O250" s="2313"/>
      <c r="P250" s="2313"/>
      <c r="Q250" s="1027"/>
      <c r="R250" s="4033"/>
      <c r="S250" s="4034"/>
      <c r="V250" s="1070"/>
      <c r="W250" s="1070"/>
    </row>
    <row r="251" spans="1:23" ht="11.25" customHeight="1">
      <c r="A251" s="508"/>
      <c r="B251" s="32"/>
      <c r="C251" s="3841" t="s">
        <v>4606</v>
      </c>
      <c r="D251" s="3842"/>
      <c r="E251" s="3842"/>
      <c r="F251" s="3842"/>
      <c r="G251" s="3842"/>
      <c r="H251" s="3842"/>
      <c r="I251" s="3842"/>
      <c r="J251" s="3842"/>
      <c r="K251" s="3842"/>
      <c r="L251" s="3842"/>
      <c r="M251" s="3842"/>
      <c r="N251" s="3842"/>
      <c r="O251" s="3842"/>
      <c r="P251" s="3843"/>
      <c r="Q251" s="1074"/>
      <c r="R251" s="4033"/>
      <c r="S251" s="4034"/>
      <c r="V251" s="1070"/>
      <c r="W251" s="1070"/>
    </row>
    <row r="252" spans="1:23" ht="11.25" customHeight="1">
      <c r="A252" s="508"/>
      <c r="B252" s="1030"/>
      <c r="C252" s="3844" t="s">
        <v>226</v>
      </c>
      <c r="D252" s="3845"/>
      <c r="E252" s="3845"/>
      <c r="F252" s="3845"/>
      <c r="G252" s="3845"/>
      <c r="H252" s="3845"/>
      <c r="I252" s="3845"/>
      <c r="J252" s="3845"/>
      <c r="K252" s="3845"/>
      <c r="L252" s="3845"/>
      <c r="M252" s="3845"/>
      <c r="N252" s="3845"/>
      <c r="O252" s="3845"/>
      <c r="P252" s="3846"/>
      <c r="Q252" s="1027"/>
      <c r="R252" s="4033"/>
      <c r="S252" s="4034"/>
      <c r="V252" s="1070"/>
      <c r="W252" s="1070"/>
    </row>
    <row r="253" spans="1:23" ht="11.25" customHeight="1">
      <c r="A253" s="508"/>
      <c r="B253" s="1030"/>
      <c r="C253" s="3847" t="s">
        <v>1404</v>
      </c>
      <c r="D253" s="3848"/>
      <c r="E253" s="3848"/>
      <c r="F253" s="3848"/>
      <c r="G253" s="3848"/>
      <c r="H253" s="3848"/>
      <c r="I253" s="3848"/>
      <c r="J253" s="3848"/>
      <c r="K253" s="3848"/>
      <c r="L253" s="3848"/>
      <c r="M253" s="3848"/>
      <c r="N253" s="3848"/>
      <c r="O253" s="3848"/>
      <c r="P253" s="3849"/>
      <c r="Q253" s="1027"/>
      <c r="R253" s="4033"/>
      <c r="S253" s="4034"/>
      <c r="V253" s="1070"/>
      <c r="W253" s="1070"/>
    </row>
    <row r="254" spans="1:23" ht="11.25" customHeight="1">
      <c r="A254" s="508"/>
      <c r="B254" s="463" t="s">
        <v>2436</v>
      </c>
      <c r="C254" s="1032" t="s">
        <v>4129</v>
      </c>
      <c r="D254" s="2313"/>
      <c r="E254" s="2313"/>
      <c r="F254" s="2313"/>
      <c r="G254" s="2313"/>
      <c r="H254" s="2313"/>
      <c r="I254" s="2313"/>
      <c r="J254" s="2313"/>
      <c r="K254" s="2313"/>
      <c r="L254" s="3859" t="s">
        <v>4133</v>
      </c>
      <c r="M254" s="3859"/>
      <c r="N254" s="3860" t="s">
        <v>4134</v>
      </c>
      <c r="O254" s="3860"/>
      <c r="P254" s="3860"/>
      <c r="Q254" s="1027"/>
      <c r="R254" s="4033"/>
      <c r="S254" s="4034"/>
      <c r="V254" s="1070"/>
      <c r="W254" s="1070"/>
    </row>
    <row r="255" spans="1:23" ht="11.25" customHeight="1">
      <c r="A255" s="508"/>
      <c r="B255" s="1030"/>
      <c r="C255" s="3850" t="s">
        <v>4606</v>
      </c>
      <c r="D255" s="3851"/>
      <c r="E255" s="3851"/>
      <c r="F255" s="3851"/>
      <c r="G255" s="3851"/>
      <c r="H255" s="3851"/>
      <c r="I255" s="3851"/>
      <c r="J255" s="3851"/>
      <c r="K255" s="3852"/>
      <c r="L255" s="3850"/>
      <c r="M255" s="3852"/>
      <c r="N255" s="3850"/>
      <c r="O255" s="3851"/>
      <c r="P255" s="3852"/>
      <c r="Q255" s="1074"/>
      <c r="R255" s="4033"/>
      <c r="S255" s="4034"/>
      <c r="V255" s="1070"/>
      <c r="W255" s="1070"/>
    </row>
    <row r="256" spans="1:23" ht="11.25" customHeight="1">
      <c r="A256" s="508"/>
      <c r="B256" s="1030"/>
      <c r="C256" s="3853" t="s">
        <v>226</v>
      </c>
      <c r="D256" s="3854"/>
      <c r="E256" s="3854"/>
      <c r="F256" s="3854"/>
      <c r="G256" s="3854"/>
      <c r="H256" s="3854"/>
      <c r="I256" s="3854"/>
      <c r="J256" s="3854"/>
      <c r="K256" s="3855"/>
      <c r="L256" s="3853"/>
      <c r="M256" s="3855"/>
      <c r="N256" s="3853"/>
      <c r="O256" s="3854"/>
      <c r="P256" s="3855"/>
      <c r="Q256" s="1027"/>
      <c r="R256" s="4033"/>
      <c r="S256" s="4034"/>
      <c r="V256" s="1070"/>
      <c r="W256" s="1070"/>
    </row>
    <row r="257" spans="1:23" ht="11.25" customHeight="1">
      <c r="A257" s="508"/>
      <c r="B257" s="1030"/>
      <c r="C257" s="3856" t="s">
        <v>1404</v>
      </c>
      <c r="D257" s="3857"/>
      <c r="E257" s="3857"/>
      <c r="F257" s="3857"/>
      <c r="G257" s="3857"/>
      <c r="H257" s="3857"/>
      <c r="I257" s="3857"/>
      <c r="J257" s="3857"/>
      <c r="K257" s="3858"/>
      <c r="L257" s="3856"/>
      <c r="M257" s="3858"/>
      <c r="N257" s="3856"/>
      <c r="O257" s="3857"/>
      <c r="P257" s="3858"/>
      <c r="Q257" s="1027"/>
      <c r="R257" s="4033"/>
      <c r="S257" s="4034"/>
      <c r="V257" s="1070"/>
      <c r="W257" s="1070"/>
    </row>
    <row r="258" spans="1:23" ht="11.25" customHeight="1">
      <c r="A258" s="508"/>
      <c r="B258" s="586" t="s">
        <v>2534</v>
      </c>
      <c r="C258" s="1028" t="s">
        <v>4026</v>
      </c>
      <c r="D258" s="1023"/>
      <c r="E258" s="1023"/>
      <c r="F258" s="1023"/>
      <c r="G258" s="1023"/>
      <c r="H258" s="1023"/>
      <c r="I258" s="1023"/>
      <c r="J258" s="1023"/>
      <c r="K258" s="1023"/>
      <c r="L258" s="1023"/>
      <c r="M258" s="1023"/>
      <c r="N258" s="1023"/>
      <c r="O258" s="516"/>
      <c r="P258" s="516"/>
      <c r="Q258" s="1023"/>
      <c r="R258" s="4035"/>
      <c r="S258" s="4036"/>
    </row>
    <row r="259" spans="1:23" s="32" customFormat="1" ht="11.25" customHeight="1">
      <c r="A259" s="508"/>
      <c r="B259" s="1031"/>
      <c r="C259" s="3745" t="s">
        <v>4030</v>
      </c>
      <c r="D259" s="3745"/>
      <c r="E259" s="3745"/>
      <c r="F259" s="3745"/>
      <c r="G259" s="3745"/>
      <c r="H259" s="3745"/>
      <c r="I259" s="3745"/>
      <c r="J259" s="3745"/>
      <c r="K259" s="3745"/>
      <c r="L259" s="3745"/>
      <c r="M259" s="3745"/>
      <c r="N259" s="390" t="s">
        <v>2534</v>
      </c>
      <c r="O259" s="2674"/>
      <c r="P259" s="533"/>
      <c r="Q259" s="1027"/>
      <c r="V259" s="1070"/>
      <c r="W259" s="1070"/>
    </row>
    <row r="260" spans="1:23" ht="11.25" customHeight="1">
      <c r="A260" s="138"/>
      <c r="B260" s="888" t="s">
        <v>1224</v>
      </c>
      <c r="C260" s="583" t="s">
        <v>3782</v>
      </c>
      <c r="D260" s="32"/>
      <c r="N260" s="26"/>
      <c r="O260" s="26"/>
      <c r="P260" s="26"/>
      <c r="Q260" s="114"/>
    </row>
    <row r="261" spans="1:23" s="32" customFormat="1" ht="21.75" customHeight="1">
      <c r="A261" s="508"/>
      <c r="B261" s="1031"/>
      <c r="C261" s="3744" t="s">
        <v>4032</v>
      </c>
      <c r="D261" s="3744"/>
      <c r="E261" s="3744"/>
      <c r="F261" s="3744"/>
      <c r="G261" s="3744"/>
      <c r="H261" s="3744"/>
      <c r="I261" s="3744"/>
      <c r="J261" s="3744"/>
      <c r="K261" s="3744"/>
      <c r="L261" s="3744"/>
      <c r="M261" s="3744"/>
      <c r="N261" s="390" t="s">
        <v>1224</v>
      </c>
      <c r="O261" s="2691"/>
      <c r="P261" s="1150"/>
      <c r="Q261" s="1027"/>
      <c r="V261" s="1070"/>
      <c r="W261" s="1070"/>
    </row>
    <row r="262" spans="1:23" s="32" customFormat="1" ht="10.5" customHeight="1">
      <c r="A262" s="508"/>
      <c r="B262" s="1031"/>
      <c r="C262" s="2312"/>
      <c r="D262" s="2312"/>
      <c r="E262" s="2312"/>
      <c r="F262" s="2312"/>
      <c r="G262" s="614" t="s">
        <v>4944</v>
      </c>
      <c r="H262" s="2312"/>
      <c r="J262" s="3864"/>
      <c r="K262" s="3865"/>
      <c r="L262" s="2312"/>
      <c r="M262" s="2312"/>
      <c r="N262" s="2312"/>
      <c r="O262" s="2312"/>
      <c r="P262" s="2312"/>
      <c r="Q262" s="1027"/>
      <c r="V262" s="1070"/>
      <c r="W262" s="1070"/>
    </row>
    <row r="263" spans="1:23" s="32" customFormat="1" ht="11.25" customHeight="1">
      <c r="A263" s="508"/>
      <c r="B263" s="387" t="s">
        <v>2435</v>
      </c>
      <c r="C263" s="3745" t="s">
        <v>4033</v>
      </c>
      <c r="D263" s="3745"/>
      <c r="E263" s="3745"/>
      <c r="F263" s="3745"/>
      <c r="G263" s="3745"/>
      <c r="H263" s="3745"/>
      <c r="I263" s="3745"/>
      <c r="J263" s="3745"/>
      <c r="K263" s="3745"/>
      <c r="L263" s="3745"/>
      <c r="M263" s="3745"/>
      <c r="N263" s="387" t="s">
        <v>2435</v>
      </c>
      <c r="O263" s="2671"/>
      <c r="P263" s="534"/>
      <c r="Q263" s="1027"/>
      <c r="V263" s="1070"/>
      <c r="W263" s="1070"/>
    </row>
    <row r="264" spans="1:23" s="32" customFormat="1" ht="11.25" customHeight="1">
      <c r="A264" s="508"/>
      <c r="B264" s="387" t="s">
        <v>2436</v>
      </c>
      <c r="C264" s="3745" t="s">
        <v>4843</v>
      </c>
      <c r="D264" s="3745"/>
      <c r="E264" s="3745"/>
      <c r="F264" s="3745"/>
      <c r="G264" s="3745"/>
      <c r="H264" s="3745"/>
      <c r="I264" s="3745"/>
      <c r="J264" s="3745"/>
      <c r="K264" s="3745"/>
      <c r="L264" s="3745"/>
      <c r="M264" s="3745"/>
      <c r="N264" s="387" t="s">
        <v>2436</v>
      </c>
      <c r="O264" s="2673"/>
      <c r="P264" s="536"/>
      <c r="Q264" s="1027"/>
      <c r="V264" s="1070"/>
      <c r="W264" s="1070"/>
    </row>
    <row r="265" spans="1:23" ht="11.25" customHeight="1">
      <c r="A265" s="138"/>
      <c r="B265" s="888" t="s">
        <v>1225</v>
      </c>
      <c r="C265" s="583" t="s">
        <v>4844</v>
      </c>
      <c r="D265" s="32"/>
      <c r="N265" s="390" t="s">
        <v>1225</v>
      </c>
      <c r="O265" s="26"/>
      <c r="P265" s="26"/>
      <c r="Q265" s="114"/>
    </row>
    <row r="266" spans="1:23" s="32" customFormat="1" ht="11.25" customHeight="1">
      <c r="A266" s="508"/>
      <c r="B266" s="387" t="s">
        <v>2435</v>
      </c>
      <c r="C266" s="3745" t="s">
        <v>4845</v>
      </c>
      <c r="D266" s="3745"/>
      <c r="E266" s="3745"/>
      <c r="F266" s="3745"/>
      <c r="G266" s="3745"/>
      <c r="H266" s="3745"/>
      <c r="I266" s="3745"/>
      <c r="J266" s="3745"/>
      <c r="K266" s="3745"/>
      <c r="L266" s="3745"/>
      <c r="M266" s="3745"/>
      <c r="N266" s="387" t="s">
        <v>2435</v>
      </c>
      <c r="O266" s="2671"/>
      <c r="P266" s="534"/>
      <c r="Q266" s="1027"/>
      <c r="V266" s="1070"/>
      <c r="W266" s="1070"/>
    </row>
    <row r="267" spans="1:23" s="32" customFormat="1" ht="11.25" customHeight="1">
      <c r="A267" s="508"/>
      <c r="B267" s="387" t="s">
        <v>2436</v>
      </c>
      <c r="C267" s="3745" t="s">
        <v>4846</v>
      </c>
      <c r="D267" s="3745"/>
      <c r="E267" s="3745"/>
      <c r="F267" s="3745"/>
      <c r="G267" s="3745"/>
      <c r="H267" s="3745"/>
      <c r="I267" s="3745"/>
      <c r="J267" s="3745"/>
      <c r="K267" s="3745"/>
      <c r="L267" s="3745"/>
      <c r="M267" s="3745"/>
      <c r="N267" s="387" t="s">
        <v>2436</v>
      </c>
      <c r="O267" s="2673"/>
      <c r="P267" s="536"/>
      <c r="Q267" s="1027"/>
      <c r="V267" s="1070"/>
      <c r="W267" s="1070"/>
    </row>
    <row r="268" spans="1:23" ht="11.7" customHeight="1">
      <c r="A268" s="138" t="s">
        <v>1985</v>
      </c>
      <c r="B268" s="177" t="s">
        <v>4027</v>
      </c>
      <c r="D268" s="32"/>
      <c r="G268" s="474" t="s">
        <v>3779</v>
      </c>
      <c r="N268" s="26"/>
      <c r="O268" s="516" t="s">
        <v>2510</v>
      </c>
      <c r="P268" s="516" t="s">
        <v>2510</v>
      </c>
      <c r="Q268" s="1026"/>
    </row>
    <row r="269" spans="1:23" ht="22.5" customHeight="1">
      <c r="B269" s="586" t="s">
        <v>1986</v>
      </c>
      <c r="C269" s="3759" t="s">
        <v>4028</v>
      </c>
      <c r="D269" s="3759"/>
      <c r="E269" s="3759"/>
      <c r="F269" s="3759"/>
      <c r="G269" s="3759"/>
      <c r="H269" s="3759"/>
      <c r="I269" s="3759"/>
      <c r="J269" s="3759"/>
      <c r="K269" s="3759"/>
      <c r="L269" s="3759"/>
      <c r="M269" s="1124" t="s">
        <v>1985</v>
      </c>
      <c r="N269" s="390" t="s">
        <v>1986</v>
      </c>
      <c r="O269" s="2683"/>
      <c r="P269" s="1149"/>
      <c r="Q269" s="1026"/>
      <c r="V269" s="1070"/>
      <c r="W269" s="1070"/>
    </row>
    <row r="270" spans="1:23" s="32" customFormat="1" ht="11.25" customHeight="1">
      <c r="A270" s="508"/>
      <c r="B270" s="586" t="s">
        <v>1988</v>
      </c>
      <c r="C270" s="433" t="s">
        <v>4847</v>
      </c>
      <c r="D270" s="972"/>
      <c r="E270" s="972"/>
      <c r="F270" s="972"/>
      <c r="G270" s="972"/>
      <c r="H270" s="972"/>
      <c r="I270" s="972"/>
      <c r="J270" s="972"/>
      <c r="K270" s="972"/>
      <c r="L270" s="972"/>
      <c r="M270" s="972"/>
      <c r="N270" s="390" t="s">
        <v>1988</v>
      </c>
      <c r="O270" s="2672"/>
      <c r="P270" s="535"/>
      <c r="Q270" s="1027"/>
      <c r="V270" s="1216"/>
      <c r="W270" s="1216"/>
    </row>
    <row r="271" spans="1:23" s="32" customFormat="1" ht="11.25" customHeight="1">
      <c r="A271" s="508"/>
      <c r="B271" s="586" t="s">
        <v>2534</v>
      </c>
      <c r="C271" s="433" t="s">
        <v>4848</v>
      </c>
      <c r="D271" s="972"/>
      <c r="E271" s="972"/>
      <c r="F271" s="972"/>
      <c r="G271" s="972"/>
      <c r="H271" s="972"/>
      <c r="I271" s="972"/>
      <c r="J271" s="972"/>
      <c r="K271" s="972"/>
      <c r="L271" s="972"/>
      <c r="M271" s="972"/>
      <c r="N271" s="390" t="s">
        <v>2534</v>
      </c>
      <c r="O271" s="2673"/>
      <c r="P271" s="536"/>
      <c r="Q271" s="1027"/>
      <c r="V271" s="1216"/>
      <c r="W271" s="1216"/>
    </row>
    <row r="272" spans="1:23" s="42" customFormat="1" ht="12" customHeight="1" thickBot="1">
      <c r="A272" s="41"/>
      <c r="B272" s="1206" t="s">
        <v>3750</v>
      </c>
      <c r="C272" s="41"/>
      <c r="D272" s="47"/>
      <c r="E272" s="47"/>
      <c r="F272" s="47"/>
      <c r="G272" s="47"/>
      <c r="H272" s="35"/>
      <c r="I272" s="134"/>
      <c r="M272" s="45"/>
      <c r="N272" s="61"/>
      <c r="O272" s="2"/>
      <c r="P272" s="2295"/>
    </row>
    <row r="273" spans="1:18" s="42" customFormat="1" ht="21.75" customHeight="1" thickTop="1" thickBot="1">
      <c r="A273" s="3760" t="s">
        <v>5230</v>
      </c>
      <c r="B273" s="3761"/>
      <c r="C273" s="3761"/>
      <c r="D273" s="3761"/>
      <c r="E273" s="3761"/>
      <c r="F273" s="3761"/>
      <c r="G273" s="3761"/>
      <c r="H273" s="3761"/>
      <c r="I273" s="3761"/>
      <c r="J273" s="3761"/>
      <c r="K273" s="3761"/>
      <c r="L273" s="3761"/>
      <c r="M273" s="3761"/>
      <c r="N273" s="3761"/>
      <c r="O273" s="3761"/>
      <c r="P273" s="3762"/>
      <c r="Q273" s="1074" t="s">
        <v>1254</v>
      </c>
    </row>
    <row r="274" spans="1:18" s="42" customFormat="1" ht="10.5" customHeight="1" thickTop="1">
      <c r="A274" s="41"/>
      <c r="B274" s="85" t="s">
        <v>1866</v>
      </c>
      <c r="C274" s="41"/>
      <c r="D274" s="85"/>
      <c r="E274" s="2296"/>
      <c r="F274" s="2296"/>
      <c r="G274" s="2296"/>
      <c r="H274" s="2296"/>
      <c r="I274" s="2296"/>
      <c r="J274" s="2296"/>
      <c r="K274" s="2296"/>
      <c r="L274" s="2296"/>
      <c r="M274" s="2296"/>
      <c r="N274" s="74"/>
      <c r="O274" s="70"/>
      <c r="P274" s="2292"/>
      <c r="Q274" s="426"/>
    </row>
    <row r="275" spans="1:18" s="42" customFormat="1" ht="11.25" customHeight="1">
      <c r="A275" s="3869"/>
      <c r="B275" s="3870"/>
      <c r="C275" s="3870"/>
      <c r="D275" s="3870"/>
      <c r="E275" s="3870"/>
      <c r="F275" s="3870"/>
      <c r="G275" s="3870"/>
      <c r="H275" s="3870"/>
      <c r="I275" s="3870"/>
      <c r="J275" s="3870"/>
      <c r="K275" s="3870"/>
      <c r="L275" s="3870"/>
      <c r="M275" s="3870"/>
      <c r="N275" s="3870"/>
      <c r="O275" s="3870"/>
      <c r="P275" s="3871"/>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4174</v>
      </c>
      <c r="M277" s="2292">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72" t="s">
        <v>3599</v>
      </c>
      <c r="B279" s="869" t="s">
        <v>4852</v>
      </c>
      <c r="C279" s="92"/>
      <c r="D279" s="58"/>
      <c r="E279" s="58"/>
      <c r="G279" s="474" t="s">
        <v>4859</v>
      </c>
      <c r="I279" s="26"/>
      <c r="J279" s="3866" t="str">
        <f>'Part I-Project Information'!$O$38</f>
        <v>13215002902</v>
      </c>
      <c r="K279" s="3866"/>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7" customHeight="1">
      <c r="A280" s="3872"/>
      <c r="B280" s="110" t="s">
        <v>2794</v>
      </c>
      <c r="C280" s="512"/>
      <c r="D280" s="512"/>
      <c r="G280" s="513" t="str">
        <f>'Part I-Project Information'!$H$105</f>
        <v>Flexible</v>
      </c>
      <c r="M280" s="1024" t="s">
        <v>4853</v>
      </c>
      <c r="N280" s="2101"/>
      <c r="O280" s="1174" t="s">
        <v>2510</v>
      </c>
      <c r="P280" s="1174" t="s">
        <v>2510</v>
      </c>
    </row>
    <row r="281" spans="1:18" ht="11.7" customHeight="1">
      <c r="A281" s="3872"/>
      <c r="B281" s="888" t="s">
        <v>1986</v>
      </c>
      <c r="C281" s="438" t="s">
        <v>2685</v>
      </c>
      <c r="E281" s="116"/>
      <c r="M281" s="80"/>
      <c r="N281" s="174" t="s">
        <v>1986</v>
      </c>
      <c r="O281" s="2671"/>
      <c r="P281" s="534"/>
      <c r="Q281" s="3861" t="str">
        <f>IF(AND(O281="Yes",O284="Yes"),"Only 1 or 4 can be 'Yes'!","")</f>
        <v/>
      </c>
      <c r="R281" s="3861"/>
    </row>
    <row r="282" spans="1:18" ht="11.7" customHeight="1">
      <c r="B282" s="888" t="s">
        <v>1988</v>
      </c>
      <c r="C282" s="438" t="s">
        <v>2739</v>
      </c>
      <c r="G282" s="100" t="s">
        <v>2389</v>
      </c>
      <c r="H282" s="2735" t="s">
        <v>4893</v>
      </c>
      <c r="I282" s="438" t="s">
        <v>2740</v>
      </c>
      <c r="L282" s="134" t="s">
        <v>2738</v>
      </c>
      <c r="M282" s="889" t="str">
        <f>IF(O282&gt;H282,"CHECK ACTUAL PERCENT!!!","")</f>
        <v/>
      </c>
      <c r="N282" s="174" t="s">
        <v>1988</v>
      </c>
      <c r="O282" s="2736"/>
      <c r="P282" s="2102"/>
      <c r="Q282" s="3861"/>
      <c r="R282" s="3861"/>
    </row>
    <row r="283" spans="1:18" ht="11.7" customHeight="1">
      <c r="B283" s="888" t="s">
        <v>2534</v>
      </c>
      <c r="C283" s="415" t="s">
        <v>2390</v>
      </c>
      <c r="E283" s="116"/>
      <c r="G283" s="100" t="s">
        <v>2391</v>
      </c>
      <c r="J283" s="3732" t="s">
        <v>5057</v>
      </c>
      <c r="L283" s="433" t="s">
        <v>2732</v>
      </c>
      <c r="M283" s="32"/>
      <c r="N283" s="174" t="s">
        <v>2534</v>
      </c>
      <c r="O283" s="2737" t="s">
        <v>201</v>
      </c>
      <c r="P283" s="2103" t="s">
        <v>201</v>
      </c>
      <c r="Q283" s="3861"/>
      <c r="R283" s="3861"/>
    </row>
    <row r="284" spans="1:18" s="392" customFormat="1" ht="11.7" customHeight="1">
      <c r="B284" s="586" t="s">
        <v>1224</v>
      </c>
      <c r="C284" s="3746" t="s">
        <v>4868</v>
      </c>
      <c r="D284" s="3746"/>
      <c r="E284" s="3746"/>
      <c r="F284" s="3746"/>
      <c r="G284" s="3746"/>
      <c r="H284" s="3746"/>
      <c r="I284" s="3746"/>
      <c r="J284" s="3733"/>
      <c r="K284" s="3732" t="s">
        <v>4035</v>
      </c>
      <c r="M284" s="1128">
        <v>2</v>
      </c>
      <c r="N284" s="174" t="s">
        <v>1224</v>
      </c>
      <c r="O284" s="2684"/>
      <c r="P284" s="2308"/>
      <c r="Q284" s="3861"/>
      <c r="R284" s="3861"/>
    </row>
    <row r="285" spans="1:18" ht="11.7" customHeight="1">
      <c r="B285" s="374"/>
      <c r="C285" s="3746"/>
      <c r="D285" s="3746"/>
      <c r="E285" s="3746"/>
      <c r="F285" s="3746"/>
      <c r="G285" s="3746"/>
      <c r="H285" s="3746"/>
      <c r="I285" s="3746"/>
      <c r="J285" s="3734"/>
      <c r="K285" s="3734"/>
      <c r="L285" s="3763" t="s">
        <v>4091</v>
      </c>
      <c r="M285" s="3764"/>
      <c r="N285" s="116"/>
    </row>
    <row r="286" spans="1:18" ht="23.25" customHeight="1">
      <c r="B286" s="374"/>
      <c r="C286" s="3746"/>
      <c r="D286" s="3746"/>
      <c r="E286" s="3746"/>
      <c r="F286" s="3746"/>
      <c r="G286" s="3746"/>
      <c r="H286" s="3746"/>
      <c r="I286" s="3746"/>
      <c r="J286" s="2738"/>
      <c r="K286" s="2739"/>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4854</v>
      </c>
      <c r="C288" s="415"/>
      <c r="E288" s="116"/>
      <c r="G288" s="431" t="s">
        <v>4855</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7" customHeight="1">
      <c r="A289" s="515"/>
      <c r="B289" s="888" t="s">
        <v>1986</v>
      </c>
      <c r="C289" s="134" t="s">
        <v>5052</v>
      </c>
      <c r="D289" s="134"/>
      <c r="G289" s="134" t="s">
        <v>4856</v>
      </c>
      <c r="H289" s="972"/>
      <c r="I289" s="972"/>
      <c r="J289" s="32"/>
      <c r="K289" s="32"/>
      <c r="L289" s="32"/>
      <c r="M289" s="32"/>
      <c r="N289" s="174" t="s">
        <v>1986</v>
      </c>
      <c r="O289" s="2740"/>
      <c r="P289" s="2104"/>
    </row>
    <row r="290" spans="1:21" ht="11.7" customHeight="1">
      <c r="A290" s="515"/>
      <c r="B290" s="888" t="s">
        <v>1988</v>
      </c>
      <c r="C290" s="134" t="s">
        <v>5053</v>
      </c>
      <c r="D290" s="134"/>
      <c r="G290" s="134" t="s">
        <v>4857</v>
      </c>
      <c r="H290" s="972"/>
      <c r="I290" s="972"/>
      <c r="J290" s="32"/>
      <c r="K290" s="32"/>
      <c r="L290" s="32"/>
      <c r="M290" s="32"/>
      <c r="N290" s="174" t="s">
        <v>1988</v>
      </c>
      <c r="O290" s="2741"/>
      <c r="P290" s="2105"/>
      <c r="R290" s="158" t="s">
        <v>5063</v>
      </c>
    </row>
    <row r="291" spans="1:21" ht="11.7" customHeight="1">
      <c r="A291" s="515"/>
      <c r="B291" s="888" t="s">
        <v>2534</v>
      </c>
      <c r="C291" s="134" t="s">
        <v>5054</v>
      </c>
      <c r="D291" s="134"/>
      <c r="G291" s="134" t="s">
        <v>4858</v>
      </c>
      <c r="H291" s="972"/>
      <c r="I291" s="972"/>
      <c r="J291" s="32"/>
      <c r="K291" s="32"/>
      <c r="L291" s="32"/>
      <c r="M291" s="32"/>
      <c r="N291" s="174" t="s">
        <v>2534</v>
      </c>
      <c r="O291" s="2742"/>
      <c r="P291" s="2106"/>
    </row>
    <row r="292" spans="1:21" ht="2.25" customHeight="1">
      <c r="A292" s="515"/>
      <c r="B292" s="888"/>
      <c r="C292" s="415"/>
      <c r="E292" s="116"/>
      <c r="M292" s="1127"/>
      <c r="N292" s="1120"/>
      <c r="O292" s="887"/>
      <c r="P292" s="887"/>
    </row>
    <row r="293" spans="1:21" ht="11.7" customHeight="1">
      <c r="A293" s="515" t="s">
        <v>2115</v>
      </c>
      <c r="B293" s="888" t="s">
        <v>3600</v>
      </c>
      <c r="C293" s="415"/>
      <c r="E293" s="116"/>
      <c r="G293" s="2307" t="s">
        <v>3604</v>
      </c>
      <c r="H293" s="2107">
        <f>IF('Part VI-Revenues &amp; Expenses'!$O$67=0,0,'Part VI-Revenues &amp; Expenses'!$O$64/'Part VI-Revenues &amp; Expenses'!$O$67)</f>
        <v>0.125</v>
      </c>
      <c r="J293" s="2094" t="s">
        <v>4860</v>
      </c>
      <c r="K293" s="3867" t="str">
        <f>'Part I-Project Information'!$K$94</f>
        <v>40% of Units at 60% of AMI</v>
      </c>
      <c r="L293" s="3868"/>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296"/>
      <c r="F295" s="2296"/>
      <c r="G295" s="2296"/>
      <c r="H295" s="2296"/>
      <c r="I295" s="2296"/>
      <c r="J295" s="2296"/>
      <c r="K295" s="2296"/>
      <c r="L295" s="2296"/>
      <c r="M295" s="2296"/>
      <c r="N295" s="74"/>
      <c r="O295" s="70"/>
      <c r="P295" s="2292"/>
      <c r="Q295" s="426"/>
    </row>
    <row r="296" spans="1:21" s="42" customFormat="1" ht="11.25" customHeight="1">
      <c r="A296" s="3869"/>
      <c r="B296" s="3870"/>
      <c r="C296" s="3870"/>
      <c r="D296" s="3870"/>
      <c r="E296" s="3870"/>
      <c r="F296" s="3870"/>
      <c r="G296" s="3870"/>
      <c r="H296" s="3870"/>
      <c r="I296" s="3870"/>
      <c r="J296" s="3870"/>
      <c r="K296" s="3870"/>
      <c r="L296" s="3870"/>
      <c r="M296" s="3870"/>
      <c r="N296" s="3870"/>
      <c r="O296" s="3870"/>
      <c r="P296" s="3871"/>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4038</v>
      </c>
      <c r="C298" s="92"/>
      <c r="D298" s="58"/>
      <c r="E298" s="58"/>
      <c r="H298" s="172"/>
      <c r="I298" s="432" t="s">
        <v>3795</v>
      </c>
      <c r="M298" s="2292">
        <v>10</v>
      </c>
      <c r="N298" s="6"/>
      <c r="O298" s="1090">
        <f>IF(OR(O299="Yes",O300="Yes"),$M$298,0)</f>
        <v>0</v>
      </c>
      <c r="P298" s="1090">
        <f>IF(OR(P299="Yes",P300="Yes"),$M$298,0)</f>
        <v>0</v>
      </c>
      <c r="Q298" s="109" t="s">
        <v>441</v>
      </c>
      <c r="R298" s="42"/>
    </row>
    <row r="299" spans="1:21" ht="11.25" customHeight="1">
      <c r="A299" s="2293" t="s">
        <v>1983</v>
      </c>
      <c r="B299" s="1130" t="s">
        <v>3786</v>
      </c>
      <c r="D299" s="614"/>
      <c r="E299" s="614"/>
      <c r="F299" s="614"/>
      <c r="G299" s="614"/>
      <c r="H299" s="614"/>
      <c r="I299" s="614"/>
      <c r="J299" s="614"/>
      <c r="K299" s="614"/>
      <c r="L299" s="1032"/>
      <c r="M299" s="3880" t="str">
        <f>IF(OR(SUM(T299:T300)&gt;1,SUM(U299:U300)&gt;1),"Only one category can be met by other means!","")</f>
        <v/>
      </c>
      <c r="N299" s="463" t="s">
        <v>1983</v>
      </c>
      <c r="O299" s="2671"/>
      <c r="P299" s="534"/>
      <c r="U299" s="1218">
        <f>IF(L299="Yes",1,0)</f>
        <v>0</v>
      </c>
    </row>
    <row r="300" spans="1:21" ht="11.25" customHeight="1">
      <c r="A300" s="2293" t="s">
        <v>1985</v>
      </c>
      <c r="B300" s="1130" t="s">
        <v>3787</v>
      </c>
      <c r="D300" s="614"/>
      <c r="L300" s="1032"/>
      <c r="M300" s="3880"/>
      <c r="N300" s="463" t="s">
        <v>1985</v>
      </c>
      <c r="O300" s="2673"/>
      <c r="P300" s="536"/>
      <c r="U300" s="1218">
        <f>IF(L300="Yes",1,0)</f>
        <v>0</v>
      </c>
    </row>
    <row r="301" spans="1:21" s="42" customFormat="1" ht="10.5" customHeight="1" thickBot="1">
      <c r="A301" s="41"/>
      <c r="B301" s="1206" t="s">
        <v>3750</v>
      </c>
      <c r="C301" s="41"/>
      <c r="D301" s="47"/>
      <c r="E301" s="47"/>
      <c r="F301" s="47"/>
      <c r="G301" s="47"/>
      <c r="H301" s="35"/>
      <c r="I301" s="35"/>
      <c r="J301" s="35"/>
      <c r="K301" s="35"/>
      <c r="M301" s="45"/>
      <c r="N301" s="61"/>
      <c r="O301" s="2"/>
      <c r="P301" s="2295"/>
    </row>
    <row r="302" spans="1:21" s="42" customFormat="1" ht="21.75" customHeight="1" thickTop="1" thickBot="1">
      <c r="A302" s="3817" t="s">
        <v>5230</v>
      </c>
      <c r="B302" s="3818"/>
      <c r="C302" s="3818"/>
      <c r="D302" s="3818"/>
      <c r="E302" s="3818"/>
      <c r="F302" s="3818"/>
      <c r="G302" s="3818"/>
      <c r="H302" s="3818"/>
      <c r="I302" s="3818"/>
      <c r="J302" s="3818"/>
      <c r="K302" s="3818"/>
      <c r="L302" s="3818"/>
      <c r="M302" s="3818"/>
      <c r="N302" s="3818"/>
      <c r="O302" s="3818"/>
      <c r="P302" s="3819"/>
      <c r="Q302" s="1074" t="s">
        <v>1254</v>
      </c>
    </row>
    <row r="303" spans="1:21" s="42" customFormat="1" ht="10.5" customHeight="1" thickTop="1">
      <c r="A303" s="41"/>
      <c r="B303" s="85" t="s">
        <v>1866</v>
      </c>
      <c r="C303" s="41"/>
      <c r="D303" s="85"/>
      <c r="E303" s="2296"/>
      <c r="F303" s="2296"/>
      <c r="G303" s="2296"/>
      <c r="H303" s="2296"/>
      <c r="I303" s="2296"/>
      <c r="J303" s="2296"/>
      <c r="K303" s="2296"/>
      <c r="L303" s="2296"/>
      <c r="M303" s="2296"/>
      <c r="N303" s="74"/>
      <c r="O303" s="70"/>
      <c r="P303" s="2292"/>
      <c r="Q303" s="426"/>
    </row>
    <row r="304" spans="1:21" s="42" customFormat="1" ht="11.25" customHeight="1">
      <c r="A304" s="3869"/>
      <c r="B304" s="3870"/>
      <c r="C304" s="3870"/>
      <c r="D304" s="3870"/>
      <c r="E304" s="3870"/>
      <c r="F304" s="3870"/>
      <c r="G304" s="3870"/>
      <c r="H304" s="3870"/>
      <c r="I304" s="3870"/>
      <c r="J304" s="3870"/>
      <c r="K304" s="3870"/>
      <c r="L304" s="3870"/>
      <c r="M304" s="3870"/>
      <c r="N304" s="3870"/>
      <c r="O304" s="3870"/>
      <c r="P304" s="3871"/>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4864</v>
      </c>
      <c r="J306" s="86" t="s">
        <v>2794</v>
      </c>
      <c r="K306" s="47"/>
      <c r="L306" s="613" t="str">
        <f>'Part I-Project Information'!$H$105</f>
        <v>Flexible</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4039</v>
      </c>
      <c r="D307" s="32"/>
      <c r="E307" s="32"/>
      <c r="F307" s="32"/>
      <c r="H307" s="86" t="s">
        <v>3681</v>
      </c>
      <c r="I307" s="431"/>
      <c r="J307" s="3876" t="str">
        <f>'Part I-Project Information'!$O$34</f>
        <v>No</v>
      </c>
      <c r="K307" s="3876"/>
      <c r="L307" s="929">
        <f>'Part I-Project Information'!$O$35</f>
        <v>0</v>
      </c>
      <c r="M307" s="72">
        <v>3</v>
      </c>
      <c r="N307" s="463" t="s">
        <v>1983</v>
      </c>
      <c r="O307" s="2711"/>
      <c r="P307" s="860"/>
      <c r="Q307" s="1020" t="str">
        <f>IF(OR($O307=$M307,$O307=0,$O307=""),"","*CHECK!*")</f>
        <v/>
      </c>
      <c r="R307" s="1088" t="s">
        <v>2706</v>
      </c>
    </row>
    <row r="308" spans="1:27" s="100" customFormat="1" ht="22.95" customHeight="1">
      <c r="B308" s="586" t="s">
        <v>1986</v>
      </c>
      <c r="C308" s="3744" t="s">
        <v>4869</v>
      </c>
      <c r="D308" s="3744"/>
      <c r="E308" s="3744"/>
      <c r="F308" s="3744"/>
      <c r="G308" s="3744"/>
      <c r="H308" s="3744"/>
      <c r="I308" s="3744"/>
      <c r="J308" s="3744"/>
      <c r="K308" s="3744"/>
      <c r="L308" s="3744"/>
      <c r="M308" s="1025"/>
      <c r="N308" s="390" t="s">
        <v>1986</v>
      </c>
      <c r="O308" s="2743"/>
      <c r="P308" s="1131"/>
      <c r="Q308" s="3862" t="s">
        <v>4188</v>
      </c>
      <c r="R308" s="3746"/>
      <c r="S308" s="3746"/>
      <c r="T308" s="1025"/>
      <c r="U308" s="1025"/>
      <c r="V308" s="1025"/>
      <c r="W308" s="1025"/>
      <c r="X308" s="1025"/>
      <c r="Y308" s="1025"/>
      <c r="Z308" s="1025"/>
      <c r="AA308" s="1025"/>
    </row>
    <row r="309" spans="1:27" s="117" customFormat="1" ht="11.25" customHeight="1">
      <c r="B309" s="888"/>
      <c r="C309" s="134" t="s">
        <v>3801</v>
      </c>
      <c r="I309" s="387" t="s">
        <v>4865</v>
      </c>
      <c r="J309" s="2744"/>
      <c r="K309" s="433" t="s">
        <v>2301</v>
      </c>
      <c r="L309" s="3877"/>
      <c r="M309" s="3878"/>
      <c r="N309" s="3878"/>
      <c r="O309" s="3878"/>
      <c r="P309" s="3879"/>
      <c r="Q309" s="3862"/>
      <c r="R309" s="3746"/>
      <c r="S309" s="3746"/>
    </row>
    <row r="310" spans="1:27" s="117" customFormat="1" ht="11.25" customHeight="1">
      <c r="B310" s="888"/>
      <c r="C310" s="134" t="s">
        <v>3855</v>
      </c>
      <c r="I310" s="387" t="s">
        <v>4865</v>
      </c>
      <c r="J310" s="2745"/>
      <c r="K310" s="433" t="s">
        <v>2301</v>
      </c>
      <c r="L310" s="3882"/>
      <c r="M310" s="3883"/>
      <c r="N310" s="3883"/>
      <c r="O310" s="3883"/>
      <c r="P310" s="3884"/>
      <c r="Q310" s="3862"/>
      <c r="R310" s="3746"/>
      <c r="S310" s="3746"/>
    </row>
    <row r="311" spans="1:27" s="117" customFormat="1" ht="11.25" customHeight="1">
      <c r="B311" s="888" t="s">
        <v>1988</v>
      </c>
      <c r="C311" s="117" t="s">
        <v>963</v>
      </c>
      <c r="M311" s="6"/>
      <c r="N311" s="174" t="s">
        <v>1988</v>
      </c>
      <c r="O311" s="2680"/>
      <c r="P311" s="940"/>
      <c r="Q311" s="3862"/>
      <c r="R311" s="3746"/>
      <c r="S311" s="3746"/>
    </row>
    <row r="312" spans="1:27" s="117" customFormat="1" ht="11.25" customHeight="1">
      <c r="B312" s="888" t="s">
        <v>2534</v>
      </c>
      <c r="C312" s="117" t="s">
        <v>964</v>
      </c>
      <c r="M312" s="6"/>
      <c r="N312" s="174" t="s">
        <v>2534</v>
      </c>
      <c r="O312" s="2672"/>
      <c r="P312" s="535"/>
      <c r="Q312" s="3862"/>
      <c r="R312" s="3746"/>
      <c r="S312" s="3746"/>
    </row>
    <row r="313" spans="1:27" s="117" customFormat="1" ht="11.25" customHeight="1">
      <c r="B313" s="888" t="s">
        <v>1224</v>
      </c>
      <c r="C313" s="134" t="s">
        <v>4870</v>
      </c>
      <c r="M313" s="6"/>
      <c r="N313" s="174" t="s">
        <v>1224</v>
      </c>
      <c r="O313" s="2672"/>
      <c r="P313" s="535"/>
      <c r="Q313" s="3862"/>
      <c r="R313" s="3746"/>
      <c r="S313" s="3746"/>
    </row>
    <row r="314" spans="1:27" s="117" customFormat="1" ht="11.25" customHeight="1">
      <c r="A314" s="508"/>
      <c r="B314" s="888" t="s">
        <v>1225</v>
      </c>
      <c r="C314" s="117" t="s">
        <v>965</v>
      </c>
      <c r="M314" s="6"/>
      <c r="N314" s="174" t="s">
        <v>1225</v>
      </c>
      <c r="O314" s="2673"/>
      <c r="P314" s="536"/>
      <c r="Q314" s="3862"/>
      <c r="R314" s="3746"/>
      <c r="S314" s="3746"/>
    </row>
    <row r="315" spans="1:27" s="32" customFormat="1" ht="11.25" customHeight="1">
      <c r="A315" s="2293" t="s">
        <v>1985</v>
      </c>
      <c r="B315" s="177" t="s">
        <v>4040</v>
      </c>
      <c r="D315" s="585"/>
      <c r="H315" s="60" t="s">
        <v>4866</v>
      </c>
    </row>
    <row r="316" spans="1:27" s="32" customFormat="1" ht="11.25" customHeight="1">
      <c r="A316" s="2293"/>
      <c r="B316" s="2108" t="s">
        <v>4871</v>
      </c>
      <c r="C316" s="2108"/>
      <c r="D316" s="2108"/>
      <c r="E316" s="2108"/>
      <c r="F316" s="2108"/>
      <c r="G316" s="2108"/>
      <c r="H316" s="2108"/>
      <c r="I316" s="2108"/>
      <c r="J316" s="2108"/>
      <c r="K316" s="2108"/>
      <c r="L316" s="2108"/>
      <c r="M316" s="581">
        <v>3</v>
      </c>
      <c r="N316" s="463" t="s">
        <v>1985</v>
      </c>
      <c r="O316" s="894">
        <f>IF(AND(O317&gt;0,O318&gt;0),"choose",IF($L$306="Flexible", MIN($M$316, SUM(O317:O318)), 0))</f>
        <v>3</v>
      </c>
      <c r="P316" s="894">
        <f>IF(AND(P317&gt;0,P318&gt;0),"choose",IF($L$306="Flexible", MIN($M$316, SUM(P317:P318)), 0))</f>
        <v>0</v>
      </c>
    </row>
    <row r="317" spans="1:27" s="32" customFormat="1" ht="11.25" customHeight="1">
      <c r="B317" s="888" t="s">
        <v>1986</v>
      </c>
      <c r="C317" s="583" t="s">
        <v>4042</v>
      </c>
      <c r="L317" s="376" t="str">
        <f>IF(OR($O317=$M317,$O317=0,$O317=""),"","* * Check Score! * *")</f>
        <v/>
      </c>
      <c r="M317" s="72">
        <v>3</v>
      </c>
      <c r="N317" s="435" t="s">
        <v>1986</v>
      </c>
      <c r="O317" s="2746">
        <v>3</v>
      </c>
      <c r="P317" s="528"/>
      <c r="Q317" s="1020" t="str">
        <f>IF(OR($O317=$M317,$O317=0,$O317=""),"","*CHECK!*")</f>
        <v/>
      </c>
      <c r="R317" s="1088" t="s">
        <v>2706</v>
      </c>
    </row>
    <row r="318" spans="1:27" ht="11.25" customHeight="1">
      <c r="A318" s="584"/>
      <c r="B318" s="586" t="s">
        <v>1988</v>
      </c>
      <c r="C318" s="439" t="s">
        <v>3606</v>
      </c>
      <c r="D318" s="32"/>
      <c r="E318" s="32"/>
      <c r="F318" s="32"/>
      <c r="G318" s="39"/>
      <c r="H318" s="60"/>
      <c r="I318" s="39"/>
      <c r="L318" s="376" t="str">
        <f>IF(OR($O318=$M318,$O318=0,$O318=""),"","* * Check Score! * *")</f>
        <v/>
      </c>
      <c r="M318" s="80">
        <v>2</v>
      </c>
      <c r="N318" s="892" t="s">
        <v>1988</v>
      </c>
      <c r="O318" s="2707"/>
      <c r="P318" s="530"/>
      <c r="Q318" s="1020" t="str">
        <f>IF(OR($O318=$M318,$O318=0,$O318=""),"","*CHECK!*")</f>
        <v/>
      </c>
      <c r="R318" s="1088" t="s">
        <v>2706</v>
      </c>
    </row>
    <row r="319" spans="1:27" s="32" customFormat="1" ht="11.25" customHeight="1">
      <c r="A319" s="2293" t="s">
        <v>749</v>
      </c>
      <c r="B319" s="177" t="s">
        <v>4041</v>
      </c>
      <c r="D319" s="585"/>
      <c r="H319" s="60" t="s">
        <v>4867</v>
      </c>
    </row>
    <row r="320" spans="1:27" s="32" customFormat="1" ht="11.25" customHeight="1">
      <c r="A320" s="2293"/>
      <c r="B320" s="891" t="s">
        <v>3608</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3607</v>
      </c>
      <c r="K321" s="3881" t="str">
        <f>IF(OR(AND(O321&gt;0,O323&gt;0), AND(O322&gt;0,O323&gt;0), AND(O321&gt;0,O322&gt;0)),"Choose option 1 or 2 or 3!!!","")</f>
        <v/>
      </c>
      <c r="L321" s="3881"/>
      <c r="M321" s="72">
        <v>4</v>
      </c>
      <c r="N321" s="435" t="s">
        <v>1986</v>
      </c>
      <c r="O321" s="2746"/>
      <c r="P321" s="528"/>
      <c r="Q321" s="1020" t="str">
        <f>IF(OR($O321=$M321,$O321=0,$O321=""),"","*CHECK!*")</f>
        <v/>
      </c>
      <c r="R321" s="1088" t="s">
        <v>2706</v>
      </c>
    </row>
    <row r="322" spans="1:21" ht="11.25" customHeight="1">
      <c r="A322" s="584"/>
      <c r="B322" s="586" t="s">
        <v>1988</v>
      </c>
      <c r="C322" s="583" t="s">
        <v>4043</v>
      </c>
      <c r="D322" s="32"/>
      <c r="E322" s="32"/>
      <c r="F322" s="32"/>
      <c r="G322" s="39"/>
      <c r="H322" s="893"/>
      <c r="I322" s="39"/>
      <c r="K322" s="3881"/>
      <c r="L322" s="3881"/>
      <c r="M322" s="80">
        <v>3</v>
      </c>
      <c r="N322" s="892" t="s">
        <v>1988</v>
      </c>
      <c r="O322" s="2706"/>
      <c r="P322" s="529"/>
      <c r="Q322" s="1020" t="str">
        <f>IF(OR($O322=$M322,$O322=0,$O322=""),"","*CHECK!*")</f>
        <v/>
      </c>
      <c r="R322" s="1088" t="s">
        <v>2706</v>
      </c>
    </row>
    <row r="323" spans="1:21" ht="11.25" customHeight="1">
      <c r="A323" s="584"/>
      <c r="B323" s="586" t="s">
        <v>2534</v>
      </c>
      <c r="C323" s="439" t="s">
        <v>3609</v>
      </c>
      <c r="D323" s="32"/>
      <c r="E323" s="32"/>
      <c r="F323" s="32"/>
      <c r="G323" s="39"/>
      <c r="H323" s="60"/>
      <c r="I323" s="39"/>
      <c r="K323" s="3881"/>
      <c r="L323" s="3881"/>
      <c r="M323" s="80">
        <v>2</v>
      </c>
      <c r="N323" s="892" t="s">
        <v>2534</v>
      </c>
      <c r="O323" s="2707"/>
      <c r="P323" s="530"/>
      <c r="Q323" s="1020" t="str">
        <f>IF(OR($O323=$M323,$O323=0,$O323=""),"","*CHECK!*")</f>
        <v/>
      </c>
      <c r="R323" s="1088" t="s">
        <v>2706</v>
      </c>
    </row>
    <row r="324" spans="1:21" s="42" customFormat="1" ht="10.5" customHeight="1" thickBot="1">
      <c r="A324" s="41"/>
      <c r="B324" s="1206" t="s">
        <v>3750</v>
      </c>
      <c r="C324" s="41"/>
      <c r="D324" s="47"/>
      <c r="E324" s="47"/>
      <c r="F324" s="47"/>
      <c r="G324" s="47"/>
      <c r="H324" s="35"/>
      <c r="I324" s="35"/>
      <c r="J324" s="35"/>
      <c r="K324" s="35"/>
      <c r="M324" s="45"/>
      <c r="N324" s="61"/>
      <c r="O324" s="2"/>
      <c r="P324" s="2295"/>
    </row>
    <row r="325" spans="1:21" s="42" customFormat="1" ht="21.75" customHeight="1" thickTop="1" thickBot="1">
      <c r="A325" s="3817" t="s">
        <v>5251</v>
      </c>
      <c r="B325" s="3818"/>
      <c r="C325" s="3818"/>
      <c r="D325" s="3818"/>
      <c r="E325" s="3818"/>
      <c r="F325" s="3818"/>
      <c r="G325" s="3818"/>
      <c r="H325" s="3818"/>
      <c r="I325" s="3818"/>
      <c r="J325" s="3818"/>
      <c r="K325" s="3818"/>
      <c r="L325" s="3818"/>
      <c r="M325" s="3818"/>
      <c r="N325" s="3818"/>
      <c r="O325" s="3818"/>
      <c r="P325" s="3819"/>
      <c r="Q325" s="1074" t="s">
        <v>1254</v>
      </c>
    </row>
    <row r="326" spans="1:21" s="42" customFormat="1" ht="10.5" customHeight="1" thickTop="1">
      <c r="B326" s="85" t="s">
        <v>1866</v>
      </c>
      <c r="C326" s="98"/>
      <c r="D326" s="85"/>
      <c r="E326" s="99"/>
      <c r="F326" s="2296"/>
      <c r="G326" s="2296"/>
      <c r="H326" s="2296"/>
      <c r="I326" s="2296"/>
      <c r="J326" s="2296"/>
      <c r="K326" s="2296"/>
      <c r="L326" s="2296"/>
      <c r="M326" s="2296"/>
      <c r="N326" s="74"/>
      <c r="O326" s="70"/>
      <c r="P326" s="2292"/>
      <c r="Q326" s="426"/>
    </row>
    <row r="327" spans="1:21" s="42" customFormat="1" ht="11.25" customHeight="1">
      <c r="A327" s="3486"/>
      <c r="B327" s="3487"/>
      <c r="C327" s="3487"/>
      <c r="D327" s="3487"/>
      <c r="E327" s="3487"/>
      <c r="F327" s="3487"/>
      <c r="G327" s="3487"/>
      <c r="H327" s="3487"/>
      <c r="I327" s="3487"/>
      <c r="J327" s="3487"/>
      <c r="K327" s="3487"/>
      <c r="L327" s="3487"/>
      <c r="M327" s="3487"/>
      <c r="N327" s="3487"/>
      <c r="O327" s="3487"/>
      <c r="P327" s="3488"/>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4872</v>
      </c>
      <c r="D331" s="60"/>
      <c r="E331" s="60"/>
      <c r="F331" s="43"/>
      <c r="G331" s="26"/>
      <c r="L331" s="376"/>
      <c r="M331" s="6">
        <v>3</v>
      </c>
      <c r="N331" s="435" t="s">
        <v>1986</v>
      </c>
      <c r="O331" s="2671" t="s">
        <v>2989</v>
      </c>
      <c r="P331" s="534"/>
      <c r="Q331" s="1020"/>
      <c r="R331" s="1088"/>
      <c r="T331" s="1070"/>
      <c r="U331" s="1070"/>
    </row>
    <row r="332" spans="1:21" s="102" customFormat="1" ht="11.25" customHeight="1">
      <c r="A332" s="138"/>
      <c r="B332" s="586" t="s">
        <v>1988</v>
      </c>
      <c r="C332" s="39" t="s">
        <v>4873</v>
      </c>
      <c r="D332" s="60"/>
      <c r="E332" s="60"/>
      <c r="F332" s="43"/>
      <c r="G332" s="26"/>
      <c r="L332" s="376"/>
      <c r="M332" s="6">
        <v>2</v>
      </c>
      <c r="N332" s="892" t="s">
        <v>1988</v>
      </c>
      <c r="O332" s="2672"/>
      <c r="P332" s="535"/>
      <c r="Q332" s="1020"/>
      <c r="R332" s="1088"/>
      <c r="T332" s="1070"/>
      <c r="U332" s="1070"/>
    </row>
    <row r="333" spans="1:21" s="102" customFormat="1" ht="10.5" customHeight="1">
      <c r="A333" s="138"/>
      <c r="B333" s="586" t="s">
        <v>2534</v>
      </c>
      <c r="C333" s="39" t="s">
        <v>4874</v>
      </c>
      <c r="D333" s="60"/>
      <c r="E333" s="60"/>
      <c r="F333" s="43"/>
      <c r="G333" s="26"/>
      <c r="K333" s="463"/>
      <c r="M333" s="6">
        <v>1</v>
      </c>
      <c r="N333" s="892" t="s">
        <v>2534</v>
      </c>
      <c r="O333" s="2673"/>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565" t="s">
        <v>4876</v>
      </c>
      <c r="C335" s="3565"/>
      <c r="D335" s="3565"/>
      <c r="E335" s="3565"/>
      <c r="F335" s="3565"/>
      <c r="G335" s="3565"/>
      <c r="H335" s="3565"/>
      <c r="I335" s="3565"/>
      <c r="J335" s="3565"/>
      <c r="K335" s="3565"/>
      <c r="L335" s="3565"/>
      <c r="M335" s="6"/>
      <c r="N335" s="463"/>
      <c r="O335" s="2747"/>
      <c r="P335" s="1212"/>
      <c r="Q335" s="389"/>
      <c r="R335" s="376"/>
      <c r="T335" s="1070"/>
      <c r="U335" s="1070"/>
    </row>
    <row r="336" spans="1:21" s="42" customFormat="1" ht="11.25" customHeight="1">
      <c r="A336" s="138" t="s">
        <v>749</v>
      </c>
      <c r="B336" s="165" t="s">
        <v>4875</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485" t="s">
        <v>5028</v>
      </c>
      <c r="C337" s="3485"/>
      <c r="D337" s="3485"/>
      <c r="E337" s="3485"/>
      <c r="F337" s="3485"/>
      <c r="G337" s="3485"/>
      <c r="H337" s="3485"/>
      <c r="I337" s="3485"/>
      <c r="J337" s="3485"/>
      <c r="K337" s="3485"/>
      <c r="L337" s="3485"/>
      <c r="M337" s="6"/>
      <c r="N337" s="463"/>
      <c r="O337" s="2684" t="s">
        <v>2989</v>
      </c>
      <c r="P337" s="2308"/>
      <c r="Q337" s="389"/>
      <c r="R337" s="376"/>
      <c r="T337" s="1070"/>
      <c r="U337" s="1070"/>
    </row>
    <row r="338" spans="1:21" s="42" customFormat="1" ht="22.5" customHeight="1">
      <c r="B338" s="3485" t="s">
        <v>5029</v>
      </c>
      <c r="C338" s="3485"/>
      <c r="D338" s="3485"/>
      <c r="E338" s="3485"/>
      <c r="F338" s="3485"/>
      <c r="G338" s="3485"/>
      <c r="H338" s="3485"/>
      <c r="I338" s="3485"/>
      <c r="J338" s="3485"/>
      <c r="K338" s="3485"/>
      <c r="L338" s="3485"/>
      <c r="M338" s="6"/>
      <c r="N338" s="6"/>
      <c r="O338" s="6"/>
      <c r="P338" s="6"/>
      <c r="Q338" s="389"/>
      <c r="R338" s="376"/>
      <c r="T338" s="1070"/>
      <c r="U338" s="1070"/>
    </row>
    <row r="339" spans="1:21" s="42" customFormat="1" ht="10.5" customHeight="1">
      <c r="A339" s="41"/>
      <c r="B339" s="85" t="s">
        <v>1866</v>
      </c>
      <c r="C339" s="98"/>
      <c r="D339" s="85"/>
      <c r="E339" s="99"/>
      <c r="F339" s="2296"/>
      <c r="G339" s="2296"/>
      <c r="H339" s="2296"/>
      <c r="I339" s="2296"/>
      <c r="J339" s="2296"/>
      <c r="K339" s="2296"/>
      <c r="L339" s="2296"/>
      <c r="M339" s="2296"/>
      <c r="N339" s="74"/>
      <c r="O339" s="70"/>
      <c r="P339" s="2292"/>
      <c r="Q339" s="426"/>
    </row>
    <row r="340" spans="1:21" s="42" customFormat="1" ht="11.25" customHeight="1">
      <c r="A340" s="3486"/>
      <c r="B340" s="3487"/>
      <c r="C340" s="3487"/>
      <c r="D340" s="3487"/>
      <c r="E340" s="3487"/>
      <c r="F340" s="3487"/>
      <c r="G340" s="3487"/>
      <c r="H340" s="3487"/>
      <c r="I340" s="3487"/>
      <c r="J340" s="3487"/>
      <c r="K340" s="3487"/>
      <c r="L340" s="3487"/>
      <c r="M340" s="3487"/>
      <c r="N340" s="3487"/>
      <c r="O340" s="3487"/>
      <c r="P340" s="3488"/>
      <c r="Q340" s="445"/>
    </row>
    <row r="341" spans="1:21" s="42" customFormat="1" ht="1.5" customHeight="1" thickBot="1">
      <c r="A341" s="41"/>
      <c r="B341" s="41"/>
      <c r="C341" s="2296"/>
      <c r="D341" s="2296"/>
      <c r="E341" s="2296"/>
      <c r="F341" s="2296"/>
      <c r="G341" s="2296"/>
      <c r="H341" s="2296"/>
      <c r="I341" s="2296"/>
      <c r="J341" s="2296"/>
      <c r="K341" s="2296"/>
      <c r="L341" s="2296"/>
      <c r="M341" s="2296"/>
      <c r="N341" s="74"/>
      <c r="O341" s="70"/>
      <c r="P341" s="887"/>
    </row>
    <row r="342" spans="1:21" s="42" customFormat="1" ht="12" customHeight="1" thickBot="1">
      <c r="A342" s="153" t="s">
        <v>1726</v>
      </c>
      <c r="B342" s="106" t="s">
        <v>4046</v>
      </c>
      <c r="C342" s="87"/>
      <c r="D342" s="57"/>
      <c r="E342" s="51"/>
      <c r="G342" s="54"/>
      <c r="M342" s="2292">
        <v>2</v>
      </c>
      <c r="N342" s="5"/>
      <c r="O342" s="5"/>
      <c r="P342" s="1136">
        <f>P343+P351</f>
        <v>0</v>
      </c>
      <c r="Q342" s="109" t="s">
        <v>441</v>
      </c>
    </row>
    <row r="343" spans="1:21" s="42" customFormat="1" ht="12" customHeight="1">
      <c r="A343" s="138" t="s">
        <v>1983</v>
      </c>
      <c r="B343" s="165" t="s">
        <v>4047</v>
      </c>
      <c r="C343" s="87"/>
      <c r="D343" s="57"/>
      <c r="E343" s="51"/>
      <c r="G343" s="487">
        <f>'Part VIII-Threshold Criteria'!I361</f>
        <v>0</v>
      </c>
      <c r="J343" s="39" t="s">
        <v>2686</v>
      </c>
      <c r="L343" s="35"/>
      <c r="N343" s="463" t="s">
        <v>1983</v>
      </c>
      <c r="O343" s="462" t="str">
        <f>'Part I-Project Information'!$H$100</f>
        <v>No</v>
      </c>
      <c r="P343" s="531"/>
      <c r="Q343" s="109"/>
      <c r="R343" s="1088" t="s">
        <v>2706</v>
      </c>
    </row>
    <row r="344" spans="1:21" s="102" customFormat="1" ht="10.5" customHeight="1">
      <c r="A344" s="138"/>
      <c r="B344" s="374" t="s">
        <v>1986</v>
      </c>
      <c r="C344" s="35" t="s">
        <v>4948</v>
      </c>
      <c r="D344" s="32"/>
      <c r="N344" s="435" t="s">
        <v>4950</v>
      </c>
      <c r="O344" s="2671"/>
      <c r="P344" s="534"/>
      <c r="R344" s="376"/>
    </row>
    <row r="345" spans="1:21" s="102" customFormat="1" ht="10.5" customHeight="1">
      <c r="A345" s="138"/>
      <c r="B345" s="374"/>
      <c r="C345" s="35" t="s">
        <v>4949</v>
      </c>
      <c r="D345" s="32"/>
      <c r="N345" s="435" t="s">
        <v>4951</v>
      </c>
      <c r="O345" s="2672"/>
      <c r="P345" s="535"/>
      <c r="R345" s="376"/>
    </row>
    <row r="346" spans="1:21" s="102" customFormat="1" ht="10.5" customHeight="1">
      <c r="A346" s="138"/>
      <c r="B346" s="374" t="s">
        <v>1988</v>
      </c>
      <c r="C346" s="35" t="s">
        <v>4064</v>
      </c>
      <c r="D346" s="32"/>
      <c r="N346" s="892" t="s">
        <v>1988</v>
      </c>
      <c r="O346" s="2672"/>
      <c r="P346" s="535"/>
      <c r="R346" s="376"/>
    </row>
    <row r="347" spans="1:21" s="102" customFormat="1" ht="10.5" customHeight="1">
      <c r="A347" s="138"/>
      <c r="B347" s="374" t="s">
        <v>2534</v>
      </c>
      <c r="C347" s="35" t="s">
        <v>4952</v>
      </c>
      <c r="D347" s="32"/>
      <c r="N347" s="892" t="s">
        <v>2534</v>
      </c>
      <c r="O347" s="2672"/>
      <c r="P347" s="535"/>
      <c r="R347" s="376"/>
    </row>
    <row r="348" spans="1:21" s="102" customFormat="1" ht="10.5" customHeight="1">
      <c r="B348" s="374" t="s">
        <v>1224</v>
      </c>
      <c r="C348" s="35" t="s">
        <v>4877</v>
      </c>
      <c r="D348" s="32"/>
      <c r="N348" s="892" t="s">
        <v>1224</v>
      </c>
      <c r="O348" s="2672"/>
      <c r="P348" s="535"/>
      <c r="R348" s="376"/>
    </row>
    <row r="349" spans="1:21" s="102" customFormat="1" ht="10.5" customHeight="1">
      <c r="A349" s="138"/>
      <c r="B349" s="374" t="s">
        <v>1225</v>
      </c>
      <c r="C349" s="35" t="s">
        <v>4878</v>
      </c>
      <c r="D349" s="32"/>
      <c r="N349" s="892" t="s">
        <v>1225</v>
      </c>
      <c r="O349" s="2672"/>
      <c r="P349" s="535"/>
      <c r="R349" s="376"/>
    </row>
    <row r="350" spans="1:21" s="102" customFormat="1" ht="10.5" customHeight="1">
      <c r="A350" s="138"/>
      <c r="B350" s="374" t="s">
        <v>1881</v>
      </c>
      <c r="C350" s="35" t="s">
        <v>4065</v>
      </c>
      <c r="D350" s="32"/>
      <c r="N350" s="892" t="s">
        <v>1881</v>
      </c>
      <c r="O350" s="2673"/>
      <c r="P350" s="536"/>
      <c r="R350" s="376"/>
    </row>
    <row r="351" spans="1:21" s="42" customFormat="1" ht="12" customHeight="1">
      <c r="A351" s="138" t="s">
        <v>1985</v>
      </c>
      <c r="B351" s="165" t="s">
        <v>4048</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4948</v>
      </c>
      <c r="D352" s="51"/>
      <c r="E352" s="51"/>
      <c r="M352" s="2292"/>
      <c r="N352" s="435" t="s">
        <v>4950</v>
      </c>
      <c r="O352" s="2671"/>
      <c r="P352" s="534"/>
      <c r="Q352" s="109"/>
    </row>
    <row r="353" spans="1:18" s="102" customFormat="1" ht="10.5" customHeight="1">
      <c r="A353" s="138"/>
      <c r="B353" s="374"/>
      <c r="C353" s="35" t="s">
        <v>4953</v>
      </c>
      <c r="D353" s="32"/>
      <c r="N353" s="435" t="s">
        <v>4951</v>
      </c>
      <c r="O353" s="2672"/>
      <c r="P353" s="535"/>
      <c r="R353" s="376"/>
    </row>
    <row r="354" spans="1:18" s="102" customFormat="1" ht="10.5" customHeight="1">
      <c r="A354" s="138"/>
      <c r="B354" s="374" t="s">
        <v>1988</v>
      </c>
      <c r="C354" s="35" t="s">
        <v>4077</v>
      </c>
      <c r="D354" s="32"/>
      <c r="N354" s="892" t="s">
        <v>1988</v>
      </c>
      <c r="O354" s="2672"/>
      <c r="P354" s="535"/>
      <c r="R354" s="376"/>
    </row>
    <row r="355" spans="1:18" s="102" customFormat="1" ht="10.5" customHeight="1">
      <c r="B355" s="374" t="s">
        <v>2534</v>
      </c>
      <c r="C355" s="35" t="s">
        <v>4065</v>
      </c>
      <c r="D355" s="32"/>
      <c r="N355" s="892" t="s">
        <v>2534</v>
      </c>
      <c r="O355" s="2673"/>
      <c r="P355" s="536"/>
      <c r="R355" s="376"/>
    </row>
    <row r="356" spans="1:18" s="42" customFormat="1" ht="10.5" customHeight="1">
      <c r="B356" s="85" t="s">
        <v>1866</v>
      </c>
      <c r="C356" s="98"/>
      <c r="D356" s="85"/>
      <c r="E356" s="99"/>
      <c r="F356" s="2296"/>
      <c r="G356" s="2296"/>
      <c r="H356" s="2296"/>
      <c r="I356" s="2296"/>
      <c r="J356" s="2296"/>
      <c r="K356" s="2296"/>
      <c r="L356" s="2296"/>
      <c r="M356" s="2296"/>
      <c r="N356" s="74"/>
      <c r="O356" s="70"/>
      <c r="P356" s="2292"/>
      <c r="Q356" s="426"/>
    </row>
    <row r="357" spans="1:18" s="42" customFormat="1" ht="11.25" customHeight="1">
      <c r="A357" s="3486"/>
      <c r="B357" s="3487"/>
      <c r="C357" s="3487"/>
      <c r="D357" s="3487"/>
      <c r="E357" s="3487"/>
      <c r="F357" s="3487"/>
      <c r="G357" s="3487"/>
      <c r="H357" s="3487"/>
      <c r="I357" s="3487"/>
      <c r="J357" s="3487"/>
      <c r="K357" s="3487"/>
      <c r="L357" s="3487"/>
      <c r="M357" s="3487"/>
      <c r="N357" s="3487"/>
      <c r="O357" s="3487"/>
      <c r="P357" s="3488"/>
      <c r="Q357" s="445"/>
    </row>
    <row r="358" spans="1:18" ht="2.25" customHeight="1" thickBot="1"/>
    <row r="359" spans="1:18" s="62" customFormat="1" ht="12.6" customHeight="1" thickBot="1">
      <c r="A359" s="153" t="s">
        <v>2782</v>
      </c>
      <c r="B359" s="105" t="s">
        <v>4049</v>
      </c>
      <c r="H359" s="463" t="s">
        <v>3576</v>
      </c>
      <c r="I359" s="2318" t="str">
        <f>'Part I-Project Information'!$H$105</f>
        <v>Flexible</v>
      </c>
      <c r="J359" s="2069"/>
      <c r="L359" s="376" t="str">
        <f>IF(OR($O359=$M359,$O359=0,$O359=""),"","* * Check Score! * *")</f>
        <v/>
      </c>
      <c r="M359" s="2292">
        <v>1</v>
      </c>
      <c r="N359" s="395"/>
      <c r="O359" s="2748">
        <v>1</v>
      </c>
      <c r="P359" s="1139"/>
      <c r="Q359" s="109" t="s">
        <v>441</v>
      </c>
    </row>
    <row r="360" spans="1:18" s="62" customFormat="1" ht="12" customHeight="1">
      <c r="C360" s="898"/>
      <c r="D360" s="898"/>
      <c r="E360" s="898"/>
      <c r="F360" s="898"/>
      <c r="G360" s="898"/>
      <c r="H360" s="898"/>
      <c r="I360" s="3875" t="s">
        <v>4879</v>
      </c>
      <c r="J360" s="3875"/>
      <c r="K360" s="3875"/>
      <c r="L360" s="3875"/>
      <c r="M360" s="3875"/>
      <c r="N360" s="3875"/>
      <c r="O360" s="3875"/>
      <c r="P360" s="3875"/>
      <c r="R360" s="376"/>
    </row>
    <row r="361" spans="1:18" s="62" customFormat="1" ht="12" customHeight="1">
      <c r="A361" s="898"/>
      <c r="B361" s="3485" t="s">
        <v>4922</v>
      </c>
      <c r="C361" s="3485"/>
      <c r="D361" s="3485"/>
      <c r="E361" s="3485"/>
      <c r="F361" s="3485"/>
      <c r="G361" s="3485"/>
      <c r="H361" s="3561"/>
      <c r="I361" s="3873">
        <v>1</v>
      </c>
      <c r="J361" s="3873"/>
      <c r="K361" s="3873"/>
      <c r="L361" s="3873">
        <v>4</v>
      </c>
      <c r="M361" s="3873"/>
      <c r="N361" s="3873"/>
      <c r="O361" s="3873"/>
      <c r="P361" s="3873"/>
      <c r="R361" s="376"/>
    </row>
    <row r="362" spans="1:18" s="62" customFormat="1" ht="12" customHeight="1">
      <c r="A362" s="898"/>
      <c r="B362" s="3485"/>
      <c r="C362" s="3485"/>
      <c r="D362" s="3485"/>
      <c r="E362" s="3485"/>
      <c r="F362" s="3485"/>
      <c r="G362" s="3485"/>
      <c r="H362" s="3561"/>
      <c r="I362" s="3874">
        <v>2</v>
      </c>
      <c r="J362" s="3874"/>
      <c r="K362" s="3874"/>
      <c r="L362" s="3874">
        <v>5</v>
      </c>
      <c r="M362" s="3874"/>
      <c r="N362" s="3874"/>
      <c r="O362" s="3874"/>
      <c r="P362" s="3874"/>
      <c r="R362" s="376"/>
    </row>
    <row r="363" spans="1:18" s="62" customFormat="1" ht="12" customHeight="1">
      <c r="A363" s="2296"/>
      <c r="B363" s="3485"/>
      <c r="C363" s="3485"/>
      <c r="D363" s="3485"/>
      <c r="E363" s="3485"/>
      <c r="F363" s="3485"/>
      <c r="G363" s="3485"/>
      <c r="H363" s="3561"/>
      <c r="I363" s="3742">
        <v>3</v>
      </c>
      <c r="J363" s="3742"/>
      <c r="K363" s="3742"/>
      <c r="L363" s="3742">
        <v>6</v>
      </c>
      <c r="M363" s="3742"/>
      <c r="N363" s="3742"/>
      <c r="O363" s="3742"/>
      <c r="P363" s="3742"/>
      <c r="R363" s="376"/>
    </row>
    <row r="364" spans="1:18" s="102" customFormat="1" ht="10.5" customHeight="1" thickBot="1">
      <c r="A364" s="41"/>
      <c r="B364" s="1206" t="s">
        <v>3750</v>
      </c>
      <c r="C364" s="41"/>
      <c r="D364" s="47"/>
      <c r="E364" s="47"/>
      <c r="F364" s="47"/>
      <c r="G364" s="47"/>
      <c r="H364" s="35"/>
      <c r="I364" s="35"/>
      <c r="J364" s="35"/>
      <c r="K364" s="35"/>
      <c r="M364" s="45"/>
      <c r="N364" s="5"/>
      <c r="O364" s="2"/>
      <c r="P364" s="2292"/>
    </row>
    <row r="365" spans="1:18" s="42" customFormat="1" ht="21.75" customHeight="1" thickTop="1" thickBot="1">
      <c r="A365" s="3817" t="s">
        <v>5299</v>
      </c>
      <c r="B365" s="3818"/>
      <c r="C365" s="3818"/>
      <c r="D365" s="3818"/>
      <c r="E365" s="3818"/>
      <c r="F365" s="3818"/>
      <c r="G365" s="3818"/>
      <c r="H365" s="3818"/>
      <c r="I365" s="3818"/>
      <c r="J365" s="3818"/>
      <c r="K365" s="3818"/>
      <c r="L365" s="3818"/>
      <c r="M365" s="3818"/>
      <c r="N365" s="3818"/>
      <c r="O365" s="3818"/>
      <c r="P365" s="3819"/>
      <c r="Q365" s="1074" t="s">
        <v>1254</v>
      </c>
    </row>
    <row r="366" spans="1:18" s="102" customFormat="1" ht="10.5" customHeight="1" thickTop="1">
      <c r="A366" s="41"/>
      <c r="B366" s="97" t="s">
        <v>1866</v>
      </c>
      <c r="C366" s="41"/>
      <c r="D366" s="97"/>
      <c r="E366" s="2301"/>
      <c r="F366" s="2301"/>
      <c r="G366" s="2301"/>
      <c r="H366" s="2301"/>
      <c r="I366" s="2301"/>
      <c r="J366" s="2301"/>
      <c r="K366" s="2301"/>
      <c r="L366" s="2301"/>
      <c r="M366" s="2301"/>
      <c r="N366" s="93"/>
      <c r="O366" s="872"/>
      <c r="P366" s="2292"/>
      <c r="Q366" s="426"/>
    </row>
    <row r="367" spans="1:18" s="42" customFormat="1" ht="11.25" customHeight="1">
      <c r="A367" s="3486"/>
      <c r="B367" s="3487"/>
      <c r="C367" s="3487"/>
      <c r="D367" s="3487"/>
      <c r="E367" s="3487"/>
      <c r="F367" s="3487"/>
      <c r="G367" s="3487"/>
      <c r="H367" s="3487"/>
      <c r="I367" s="3487"/>
      <c r="J367" s="3487"/>
      <c r="K367" s="3487"/>
      <c r="L367" s="3487"/>
      <c r="M367" s="3487"/>
      <c r="N367" s="3487"/>
      <c r="O367" s="3487"/>
      <c r="P367" s="3488"/>
      <c r="Q367" s="445"/>
    </row>
    <row r="368" spans="1:18" s="42" customFormat="1" ht="2.25" customHeight="1" thickBot="1">
      <c r="A368" s="41"/>
      <c r="C368" s="2296"/>
      <c r="D368" s="2296"/>
      <c r="E368" s="2296"/>
      <c r="F368" s="2296"/>
      <c r="G368" s="2296"/>
      <c r="H368" s="2296"/>
      <c r="I368" s="2296"/>
      <c r="J368" s="2296"/>
      <c r="K368" s="2296"/>
      <c r="L368" s="2296"/>
      <c r="M368" s="2296"/>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3612</v>
      </c>
      <c r="D370" s="88"/>
      <c r="E370" s="88"/>
      <c r="G370" s="51"/>
      <c r="I370" s="3371" t="s">
        <v>2522</v>
      </c>
      <c r="J370" s="3372"/>
      <c r="K370" s="3372"/>
      <c r="L370" s="3373"/>
      <c r="M370" s="430"/>
      <c r="N370" s="395"/>
      <c r="Q370" s="1020"/>
      <c r="R370" s="1088" t="s">
        <v>2706</v>
      </c>
    </row>
    <row r="371" spans="1:18" s="42" customFormat="1" ht="11.25" customHeight="1">
      <c r="A371" s="138"/>
      <c r="B371" s="374" t="s">
        <v>1986</v>
      </c>
      <c r="C371" s="54" t="s">
        <v>4895</v>
      </c>
      <c r="D371" s="88"/>
      <c r="E371" s="54" t="s">
        <v>4896</v>
      </c>
      <c r="G371" s="51"/>
      <c r="I371" s="1577"/>
      <c r="J371" s="1042"/>
      <c r="K371" s="1042"/>
      <c r="L371" s="1042"/>
      <c r="M371" s="2310"/>
      <c r="N371" s="2120"/>
      <c r="O371" s="2671"/>
      <c r="P371" s="534"/>
      <c r="Q371" s="2121"/>
      <c r="R371" s="1088"/>
    </row>
    <row r="372" spans="1:18" s="42" customFormat="1" ht="11.25" customHeight="1">
      <c r="A372" s="138"/>
      <c r="B372" s="50"/>
      <c r="C372" s="54"/>
      <c r="D372" s="88"/>
      <c r="E372" s="1060" t="s">
        <v>4897</v>
      </c>
      <c r="G372" s="51"/>
      <c r="H372" s="1104"/>
      <c r="I372" s="54"/>
      <c r="J372" s="54"/>
      <c r="K372" s="54"/>
      <c r="L372" s="2120"/>
      <c r="M372" s="2711"/>
      <c r="N372" s="2120"/>
      <c r="O372" s="2673"/>
      <c r="P372" s="536"/>
      <c r="Q372" s="2121"/>
      <c r="R372" s="1088"/>
    </row>
    <row r="373" spans="1:18" s="42" customFormat="1" ht="11.25" customHeight="1">
      <c r="B373" s="374" t="s">
        <v>1988</v>
      </c>
      <c r="C373" s="39" t="s">
        <v>4898</v>
      </c>
      <c r="D373" s="102"/>
      <c r="E373" s="88"/>
      <c r="F373" s="51"/>
      <c r="G373" s="51"/>
      <c r="N373" s="463" t="s">
        <v>1983</v>
      </c>
      <c r="O373" s="1174" t="s">
        <v>2510</v>
      </c>
      <c r="P373" s="1174" t="s">
        <v>2510</v>
      </c>
    </row>
    <row r="374" spans="1:18" s="117" customFormat="1" ht="10.5" customHeight="1">
      <c r="B374" s="375" t="s">
        <v>2435</v>
      </c>
      <c r="C374" s="433" t="s">
        <v>4050</v>
      </c>
      <c r="H374" s="38"/>
      <c r="I374" s="38"/>
      <c r="J374" s="38"/>
      <c r="K374" s="38"/>
      <c r="N374" s="375" t="s">
        <v>2435</v>
      </c>
      <c r="O374" s="2671"/>
      <c r="P374" s="534"/>
    </row>
    <row r="375" spans="1:18" s="117" customFormat="1" ht="10.5" customHeight="1">
      <c r="B375" s="388" t="s">
        <v>2436</v>
      </c>
      <c r="C375" s="433" t="s">
        <v>4051</v>
      </c>
      <c r="N375" s="388" t="s">
        <v>2436</v>
      </c>
      <c r="O375" s="2672"/>
      <c r="P375" s="535"/>
    </row>
    <row r="376" spans="1:18" s="117" customFormat="1" ht="10.5" customHeight="1">
      <c r="B376" s="375" t="s">
        <v>2437</v>
      </c>
      <c r="C376" s="433" t="s">
        <v>4880</v>
      </c>
      <c r="N376" s="375" t="s">
        <v>2437</v>
      </c>
      <c r="O376" s="2673"/>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3750</v>
      </c>
      <c r="C379" s="41"/>
      <c r="D379" s="47"/>
      <c r="E379" s="47"/>
      <c r="F379" s="47"/>
      <c r="G379" s="47"/>
      <c r="H379" s="35"/>
      <c r="I379" s="35"/>
      <c r="J379" s="35"/>
      <c r="K379" s="35"/>
      <c r="M379" s="45"/>
      <c r="N379" s="5"/>
      <c r="O379" s="2"/>
      <c r="P379" s="2292"/>
    </row>
    <row r="380" spans="1:18" s="42" customFormat="1" ht="21.75" customHeight="1" thickTop="1" thickBot="1">
      <c r="A380" s="3817" t="s">
        <v>5230</v>
      </c>
      <c r="B380" s="3818"/>
      <c r="C380" s="3818"/>
      <c r="D380" s="3818"/>
      <c r="E380" s="3818"/>
      <c r="F380" s="3818"/>
      <c r="G380" s="3818"/>
      <c r="H380" s="3818"/>
      <c r="I380" s="3818"/>
      <c r="J380" s="3818"/>
      <c r="K380" s="3818"/>
      <c r="L380" s="3818"/>
      <c r="M380" s="3818"/>
      <c r="N380" s="3818"/>
      <c r="O380" s="3818"/>
      <c r="P380" s="3819"/>
      <c r="Q380" s="1074" t="s">
        <v>1254</v>
      </c>
    </row>
    <row r="381" spans="1:18" s="102" customFormat="1" ht="10.5" customHeight="1" thickTop="1">
      <c r="A381" s="41"/>
      <c r="B381" s="97" t="s">
        <v>1866</v>
      </c>
      <c r="C381" s="41"/>
      <c r="D381" s="97"/>
      <c r="E381" s="2301"/>
      <c r="F381" s="2301"/>
      <c r="G381" s="2301"/>
      <c r="H381" s="2301"/>
      <c r="I381" s="2301"/>
      <c r="J381" s="2301"/>
      <c r="K381" s="2301"/>
      <c r="L381" s="2301"/>
      <c r="M381" s="2301"/>
      <c r="N381" s="93"/>
      <c r="O381" s="872"/>
      <c r="P381" s="2292"/>
      <c r="Q381" s="426"/>
    </row>
    <row r="382" spans="1:18" s="42" customFormat="1" ht="11.25" customHeight="1">
      <c r="A382" s="3486"/>
      <c r="B382" s="3487"/>
      <c r="C382" s="3487"/>
      <c r="D382" s="3487"/>
      <c r="E382" s="3487"/>
      <c r="F382" s="3487"/>
      <c r="G382" s="3487"/>
      <c r="H382" s="3487"/>
      <c r="I382" s="3487"/>
      <c r="J382" s="3487"/>
      <c r="K382" s="3487"/>
      <c r="L382" s="3487"/>
      <c r="M382" s="3487"/>
      <c r="N382" s="3487"/>
      <c r="O382" s="3487"/>
      <c r="P382" s="3488"/>
      <c r="Q382" s="445"/>
    </row>
    <row r="383" spans="1:18" ht="3" customHeight="1" thickBot="1"/>
    <row r="384" spans="1:18" s="42" customFormat="1" ht="12.75" customHeight="1" thickBot="1">
      <c r="A384" s="152" t="s">
        <v>4095</v>
      </c>
      <c r="B384" s="105" t="s">
        <v>4056</v>
      </c>
      <c r="D384" s="88"/>
      <c r="E384" s="88"/>
      <c r="F384" s="51"/>
      <c r="G384" s="51"/>
      <c r="H384" s="165" t="s">
        <v>2794</v>
      </c>
      <c r="J384" s="513" t="str">
        <f>'Part I-Project Information'!$H$105</f>
        <v>Flexible</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4882</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889" t="str">
        <f>IF(OR(O386="No",O386="",O387="No",O387="",O388="No",O388="",O389="No",O389=""),"Unmet criterion results in no points!","")</f>
        <v>Unmet criterion results in no points!</v>
      </c>
      <c r="M386" s="3889"/>
      <c r="N386" s="375" t="s">
        <v>2435</v>
      </c>
      <c r="O386" s="2671"/>
      <c r="P386" s="534"/>
      <c r="R386" s="3863" t="str">
        <f>IF(OR(P386="No",P386="",P387="No",P387="",P388="No",P388="",P389="No",P389=""),"Unmet criterion results in no points!","")</f>
        <v>Unmet criterion results in no points!</v>
      </c>
      <c r="S386" s="3863" t="e">
        <f>IF(OR(V386="No",V386="",V387="No",V387="",V388="No",V388="",V389="No",V389="",#REF!="No",#REF!="",#REF!="No",#REF!=""),"Unmet criterion results in no points!","")</f>
        <v>#REF!</v>
      </c>
    </row>
    <row r="387" spans="1:19" s="100" customFormat="1" ht="12.75" customHeight="1">
      <c r="B387" s="375" t="s">
        <v>2436</v>
      </c>
      <c r="C387" s="134" t="s">
        <v>3804</v>
      </c>
      <c r="L387" s="3889"/>
      <c r="M387" s="3889"/>
      <c r="N387" s="375" t="s">
        <v>2436</v>
      </c>
      <c r="O387" s="2672"/>
      <c r="P387" s="535"/>
      <c r="R387" s="3863"/>
      <c r="S387" s="3863"/>
    </row>
    <row r="388" spans="1:19" s="100" customFormat="1" ht="12.75" customHeight="1">
      <c r="B388" s="375" t="s">
        <v>2437</v>
      </c>
      <c r="C388" s="134" t="s">
        <v>3803</v>
      </c>
      <c r="L388" s="3889"/>
      <c r="M388" s="3889"/>
      <c r="N388" s="375" t="s">
        <v>2437</v>
      </c>
      <c r="O388" s="2672"/>
      <c r="P388" s="535"/>
      <c r="R388" s="3863"/>
      <c r="S388" s="3863"/>
    </row>
    <row r="389" spans="1:19" s="100" customFormat="1" ht="33.75" customHeight="1">
      <c r="B389" s="388" t="s">
        <v>2438</v>
      </c>
      <c r="C389" s="3744" t="s">
        <v>4881</v>
      </c>
      <c r="D389" s="3744"/>
      <c r="E389" s="3744"/>
      <c r="F389" s="3744"/>
      <c r="G389" s="3744"/>
      <c r="H389" s="3744"/>
      <c r="I389" s="3744"/>
      <c r="J389" s="3744"/>
      <c r="K389" s="3744"/>
      <c r="L389" s="3744"/>
      <c r="M389" s="3744"/>
      <c r="N389" s="388" t="s">
        <v>2438</v>
      </c>
      <c r="O389" s="2684"/>
      <c r="P389" s="2308"/>
    </row>
    <row r="390" spans="1:19" ht="3" customHeight="1">
      <c r="C390" s="3744"/>
      <c r="D390" s="3744"/>
      <c r="E390" s="3744"/>
      <c r="F390" s="3744"/>
      <c r="G390" s="3744"/>
      <c r="H390" s="3744"/>
      <c r="I390" s="3744"/>
      <c r="J390" s="3744"/>
      <c r="K390" s="3744"/>
      <c r="L390" s="3744"/>
      <c r="M390" s="3744"/>
    </row>
    <row r="391" spans="1:19" ht="12.75" customHeight="1">
      <c r="A391" s="1039" t="s">
        <v>1983</v>
      </c>
      <c r="B391" s="177" t="s">
        <v>4058</v>
      </c>
      <c r="L391" s="376" t="str">
        <f>IF(OR($O391=$M391,$O391=0,$O391=""),"","* * Check Score! * *")</f>
        <v/>
      </c>
      <c r="M391" s="1128">
        <v>3</v>
      </c>
      <c r="N391" s="463" t="s">
        <v>1983</v>
      </c>
      <c r="O391" s="2711"/>
      <c r="P391" s="860"/>
      <c r="Q391" s="1020" t="str">
        <f>IF(OR($O391=$M391,$O391=0,$O391=""),"","*CHECK!*")</f>
        <v/>
      </c>
      <c r="R391" s="1088" t="s">
        <v>2706</v>
      </c>
    </row>
    <row r="392" spans="1:19" ht="12.75" customHeight="1">
      <c r="A392" s="1039"/>
      <c r="B392" s="586" t="s">
        <v>1986</v>
      </c>
      <c r="C392" s="1023" t="s">
        <v>4884</v>
      </c>
      <c r="D392" s="1023"/>
      <c r="E392" s="1023"/>
      <c r="F392" s="1023"/>
      <c r="G392" s="1023"/>
      <c r="H392" s="1023"/>
      <c r="I392" s="1023"/>
      <c r="N392" s="26"/>
      <c r="O392" s="26"/>
      <c r="P392" s="26"/>
    </row>
    <row r="393" spans="1:19" ht="12.75" customHeight="1">
      <c r="A393" s="1039"/>
      <c r="B393" s="440"/>
      <c r="C393" s="1023" t="s">
        <v>4883</v>
      </c>
      <c r="D393" s="1023"/>
      <c r="E393" s="1023"/>
      <c r="F393" s="1023"/>
      <c r="G393" s="1023"/>
      <c r="H393" s="1023"/>
      <c r="I393" s="1023"/>
      <c r="J393" s="3888" t="s">
        <v>1990</v>
      </c>
      <c r="K393" s="3888"/>
      <c r="M393" s="3888" t="s">
        <v>1990</v>
      </c>
      <c r="N393" s="3888"/>
      <c r="O393" s="3888"/>
      <c r="P393" s="3888"/>
    </row>
    <row r="394" spans="1:19" s="42" customFormat="1" ht="12.75" customHeight="1">
      <c r="A394" s="175"/>
      <c r="B394" s="375" t="s">
        <v>2435</v>
      </c>
      <c r="C394" s="35" t="s">
        <v>1482</v>
      </c>
      <c r="I394" s="375" t="s">
        <v>2435</v>
      </c>
      <c r="J394" s="3757"/>
      <c r="K394" s="3758"/>
      <c r="L394" s="375" t="s">
        <v>2435</v>
      </c>
      <c r="M394" s="3885"/>
      <c r="N394" s="3886"/>
      <c r="O394" s="3886"/>
      <c r="P394" s="3887"/>
      <c r="R394" s="376"/>
    </row>
    <row r="395" spans="1:19" ht="12.75" customHeight="1">
      <c r="A395" s="176"/>
      <c r="B395" s="388" t="s">
        <v>2436</v>
      </c>
      <c r="C395" s="35" t="s">
        <v>3619</v>
      </c>
      <c r="I395" s="388" t="s">
        <v>2436</v>
      </c>
      <c r="J395" s="3815"/>
      <c r="K395" s="3816"/>
      <c r="L395" s="388" t="s">
        <v>2436</v>
      </c>
      <c r="M395" s="3754"/>
      <c r="N395" s="3755"/>
      <c r="O395" s="3755"/>
      <c r="P395" s="3756"/>
      <c r="R395" s="376"/>
    </row>
    <row r="396" spans="1:19" ht="12.75" customHeight="1">
      <c r="B396" s="375" t="s">
        <v>2437</v>
      </c>
      <c r="C396" s="35" t="s">
        <v>2626</v>
      </c>
      <c r="I396" s="375" t="s">
        <v>2437</v>
      </c>
      <c r="J396" s="3815"/>
      <c r="K396" s="3816"/>
      <c r="L396" s="375" t="s">
        <v>2437</v>
      </c>
      <c r="M396" s="3754"/>
      <c r="N396" s="3755"/>
      <c r="O396" s="3755"/>
      <c r="P396" s="3756"/>
      <c r="R396" s="376"/>
    </row>
    <row r="397" spans="1:19" ht="12.75" customHeight="1">
      <c r="A397" s="176"/>
      <c r="B397" s="375" t="s">
        <v>2438</v>
      </c>
      <c r="C397" s="35" t="s">
        <v>3460</v>
      </c>
      <c r="I397" s="375" t="s">
        <v>2438</v>
      </c>
      <c r="J397" s="3815"/>
      <c r="K397" s="3816"/>
      <c r="L397" s="375" t="s">
        <v>2438</v>
      </c>
      <c r="M397" s="3754"/>
      <c r="N397" s="3755"/>
      <c r="O397" s="3755"/>
      <c r="P397" s="3756"/>
      <c r="R397" s="376"/>
    </row>
    <row r="398" spans="1:19" s="42" customFormat="1" ht="12.75" customHeight="1">
      <c r="A398" s="175"/>
      <c r="B398" s="388" t="s">
        <v>2439</v>
      </c>
      <c r="C398" s="35" t="s">
        <v>2731</v>
      </c>
      <c r="I398" s="388" t="s">
        <v>2439</v>
      </c>
      <c r="J398" s="3815"/>
      <c r="K398" s="3816"/>
      <c r="L398" s="388" t="s">
        <v>2439</v>
      </c>
      <c r="M398" s="3754"/>
      <c r="N398" s="3755"/>
      <c r="O398" s="3755"/>
      <c r="P398" s="3756"/>
      <c r="R398" s="376"/>
    </row>
    <row r="399" spans="1:19" ht="12.75" customHeight="1">
      <c r="B399" s="375" t="s">
        <v>2455</v>
      </c>
      <c r="C399" s="35" t="s">
        <v>1481</v>
      </c>
      <c r="I399" s="375" t="s">
        <v>2455</v>
      </c>
      <c r="J399" s="3815"/>
      <c r="K399" s="3816"/>
      <c r="L399" s="375" t="s">
        <v>2455</v>
      </c>
      <c r="M399" s="3754"/>
      <c r="N399" s="3755"/>
      <c r="O399" s="3755"/>
      <c r="P399" s="3756"/>
      <c r="R399" s="376"/>
    </row>
    <row r="400" spans="1:19" ht="12.75" customHeight="1">
      <c r="A400" s="176"/>
      <c r="B400" s="375" t="s">
        <v>2456</v>
      </c>
      <c r="C400" s="35" t="s">
        <v>3617</v>
      </c>
      <c r="I400" s="375" t="s">
        <v>2456</v>
      </c>
      <c r="J400" s="3815"/>
      <c r="K400" s="3816"/>
      <c r="L400" s="375" t="s">
        <v>2456</v>
      </c>
      <c r="M400" s="3754"/>
      <c r="N400" s="3755"/>
      <c r="O400" s="3755"/>
      <c r="P400" s="3756"/>
      <c r="R400" s="376"/>
    </row>
    <row r="401" spans="1:23" ht="12.75" customHeight="1">
      <c r="B401" s="387" t="s">
        <v>2457</v>
      </c>
      <c r="C401" s="35" t="s">
        <v>4885</v>
      </c>
      <c r="I401" s="387" t="s">
        <v>2457</v>
      </c>
      <c r="J401" s="3815"/>
      <c r="K401" s="3816"/>
      <c r="L401" s="387" t="s">
        <v>2457</v>
      </c>
      <c r="M401" s="3754"/>
      <c r="N401" s="3755"/>
      <c r="O401" s="3755"/>
      <c r="P401" s="3756"/>
      <c r="R401" s="376"/>
    </row>
    <row r="402" spans="1:23" ht="12.75" customHeight="1">
      <c r="B402" s="387" t="s">
        <v>2458</v>
      </c>
      <c r="C402" s="35" t="s">
        <v>4886</v>
      </c>
      <c r="I402" s="387" t="s">
        <v>2458</v>
      </c>
      <c r="J402" s="3815"/>
      <c r="K402" s="3816"/>
      <c r="L402" s="387" t="s">
        <v>2458</v>
      </c>
      <c r="M402" s="3754"/>
      <c r="N402" s="3755"/>
      <c r="O402" s="3755"/>
      <c r="P402" s="3756"/>
      <c r="R402" s="376"/>
    </row>
    <row r="403" spans="1:23" ht="12.75" customHeight="1" thickBot="1">
      <c r="B403" s="387" t="s">
        <v>3620</v>
      </c>
      <c r="C403" s="35" t="s">
        <v>4887</v>
      </c>
      <c r="I403" s="387" t="s">
        <v>3620</v>
      </c>
      <c r="J403" s="3815"/>
      <c r="K403" s="3816"/>
      <c r="L403" s="387" t="s">
        <v>3620</v>
      </c>
      <c r="M403" s="3838"/>
      <c r="N403" s="3839"/>
      <c r="O403" s="3839"/>
      <c r="P403" s="3840"/>
      <c r="R403" s="376"/>
    </row>
    <row r="404" spans="1:23" ht="12.75" customHeight="1" thickBot="1">
      <c r="B404" s="1172" t="s">
        <v>4888</v>
      </c>
      <c r="H404" s="1205" t="s">
        <v>2628</v>
      </c>
      <c r="J404" s="3893">
        <f>SUM(J394:K403)</f>
        <v>0</v>
      </c>
      <c r="K404" s="3894"/>
      <c r="M404" s="3893">
        <f>SUM($M394:$M403)</f>
        <v>0</v>
      </c>
      <c r="N404" s="3895"/>
      <c r="O404" s="3895"/>
      <c r="P404" s="3894"/>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3735" t="s">
        <v>5031</v>
      </c>
      <c r="D407" s="3735"/>
      <c r="E407" s="3735"/>
      <c r="F407" s="433" t="s">
        <v>4930</v>
      </c>
      <c r="H407" s="26"/>
      <c r="I407" s="2749"/>
      <c r="J407" s="3826">
        <f>'Part IV-A-Uses of Funds'!$G$132</f>
        <v>14176065</v>
      </c>
      <c r="K407" s="3827"/>
      <c r="L407" s="547"/>
      <c r="M407" s="502"/>
      <c r="N407" s="502"/>
      <c r="O407" s="1114"/>
      <c r="P407" s="502"/>
    </row>
    <row r="408" spans="1:23" ht="12.75" customHeight="1">
      <c r="C408" s="3735"/>
      <c r="D408" s="3735"/>
      <c r="E408" s="3735"/>
      <c r="F408" s="437" t="s">
        <v>4929</v>
      </c>
      <c r="I408" s="2750"/>
      <c r="J408" s="3833">
        <f>IF($J407=0,0,$J404/$J407)</f>
        <v>0</v>
      </c>
      <c r="K408" s="3834"/>
      <c r="M408" s="3835">
        <f>IF($J407=0,0,$M404/$J407)</f>
        <v>0</v>
      </c>
      <c r="N408" s="3836"/>
      <c r="O408" s="3836"/>
      <c r="P408" s="3837"/>
    </row>
    <row r="409" spans="1:23" s="42" customFormat="1" ht="12.75" customHeight="1">
      <c r="C409" s="3735"/>
      <c r="D409" s="3735"/>
      <c r="E409" s="3735"/>
      <c r="F409" s="1060" t="s">
        <v>4928</v>
      </c>
      <c r="I409" s="2751"/>
      <c r="J409" s="3830">
        <f>IF(L386="", IF($J408&gt;=0.1, 3,IF($J408&gt;=0.05, 2,IF($J408&gt;=0.02,1,0))),0)</f>
        <v>0</v>
      </c>
      <c r="K409" s="3832"/>
      <c r="L409" s="513"/>
      <c r="M409" s="3830">
        <f>IF(R386="", IF($M408&gt;=0.1, 3,IF($M408&gt;=0.05, 2,IF($M408&gt;=0.02,1,0))),0)</f>
        <v>0</v>
      </c>
      <c r="N409" s="3831"/>
      <c r="O409" s="3831"/>
      <c r="P409" s="3832"/>
    </row>
    <row r="410" spans="1:23" ht="3" customHeight="1" thickBot="1"/>
    <row r="411" spans="1:23" s="102" customFormat="1" ht="12.75" customHeight="1" thickBot="1">
      <c r="A411" s="138" t="s">
        <v>1985</v>
      </c>
      <c r="B411" s="179" t="s">
        <v>3621</v>
      </c>
      <c r="D411" s="38"/>
      <c r="E411" s="35"/>
      <c r="F411" s="887"/>
      <c r="H411" s="35"/>
      <c r="I411" s="887"/>
      <c r="J411" s="897"/>
      <c r="K411" s="897"/>
      <c r="L411" s="376" t="str">
        <f>IF(OR($O411=$M411,$O411=0,$O411=""),"","* * Check Score! * *")</f>
        <v/>
      </c>
      <c r="M411" s="590">
        <v>1</v>
      </c>
      <c r="N411" s="64" t="s">
        <v>1985</v>
      </c>
      <c r="O411" s="2712"/>
      <c r="P411" s="1123"/>
      <c r="Q411" s="109" t="s">
        <v>441</v>
      </c>
      <c r="R411" s="1088" t="s">
        <v>2706</v>
      </c>
      <c r="V411" s="1070"/>
      <c r="W411" s="1070"/>
    </row>
    <row r="412" spans="1:23" s="42" customFormat="1" ht="22.5" customHeight="1">
      <c r="A412" s="138"/>
      <c r="B412" s="1029" t="s">
        <v>2435</v>
      </c>
      <c r="C412" s="3485" t="s">
        <v>4060</v>
      </c>
      <c r="D412" s="3485"/>
      <c r="E412" s="3485"/>
      <c r="F412" s="3485"/>
      <c r="G412" s="3485"/>
      <c r="H412" s="3485"/>
      <c r="I412" s="3485"/>
      <c r="J412" s="3485"/>
      <c r="K412" s="3485"/>
      <c r="L412" s="3485"/>
      <c r="M412" s="3485"/>
      <c r="N412" s="388" t="s">
        <v>2435</v>
      </c>
      <c r="O412" s="2693"/>
      <c r="P412" s="1137"/>
      <c r="V412" s="1070"/>
      <c r="W412" s="1070"/>
    </row>
    <row r="413" spans="1:23" s="42" customFormat="1" ht="12.75" customHeight="1">
      <c r="A413" s="138"/>
      <c r="B413" s="375" t="s">
        <v>2436</v>
      </c>
      <c r="C413" s="51" t="s">
        <v>3796</v>
      </c>
      <c r="D413" s="51"/>
      <c r="E413" s="51"/>
      <c r="F413" s="51"/>
      <c r="G413" s="51"/>
      <c r="H413" s="51"/>
      <c r="I413" s="51"/>
      <c r="J413" s="51"/>
      <c r="K413" s="51"/>
      <c r="M413" s="51"/>
      <c r="N413" s="388" t="s">
        <v>2436</v>
      </c>
      <c r="O413" s="2673"/>
      <c r="P413" s="536"/>
      <c r="V413" s="1070"/>
      <c r="W413" s="1070"/>
    </row>
    <row r="414" spans="1:23" ht="12.75" customHeight="1">
      <c r="B414" s="375" t="s">
        <v>2437</v>
      </c>
      <c r="C414" s="431" t="s">
        <v>4889</v>
      </c>
      <c r="N414" s="375" t="s">
        <v>2437</v>
      </c>
      <c r="O414" s="2673"/>
      <c r="P414" s="536"/>
    </row>
    <row r="415" spans="1:23" ht="12" customHeight="1" thickBot="1">
      <c r="B415" s="1206" t="s">
        <v>3750</v>
      </c>
    </row>
    <row r="416" spans="1:23" s="42" customFormat="1" ht="21.75" customHeight="1" thickTop="1" thickBot="1">
      <c r="A416" s="3817" t="s">
        <v>5230</v>
      </c>
      <c r="B416" s="3818"/>
      <c r="C416" s="3818"/>
      <c r="D416" s="3818"/>
      <c r="E416" s="3818"/>
      <c r="F416" s="3818"/>
      <c r="G416" s="3818"/>
      <c r="H416" s="3818"/>
      <c r="I416" s="3818"/>
      <c r="J416" s="3818"/>
      <c r="K416" s="3818"/>
      <c r="L416" s="3818"/>
      <c r="M416" s="3818"/>
      <c r="N416" s="3818"/>
      <c r="O416" s="3818"/>
      <c r="P416" s="3819"/>
      <c r="Q416" s="1074" t="s">
        <v>1254</v>
      </c>
    </row>
    <row r="417" spans="1:19" s="102" customFormat="1" ht="11.25" customHeight="1" thickTop="1">
      <c r="A417" s="41"/>
      <c r="B417" s="504" t="s">
        <v>1866</v>
      </c>
      <c r="C417" s="98"/>
      <c r="D417" s="97"/>
      <c r="E417" s="2316"/>
      <c r="F417" s="2301"/>
      <c r="G417" s="2301"/>
      <c r="H417" s="2301"/>
      <c r="I417" s="2301"/>
      <c r="J417" s="2301"/>
      <c r="K417" s="2301"/>
      <c r="L417" s="2301"/>
      <c r="M417" s="2301"/>
      <c r="N417" s="93"/>
      <c r="O417" s="872"/>
      <c r="P417" s="2292"/>
      <c r="Q417" s="426"/>
    </row>
    <row r="418" spans="1:19" s="42" customFormat="1" ht="11.25" customHeight="1">
      <c r="A418" s="3486"/>
      <c r="B418" s="3487"/>
      <c r="C418" s="3487"/>
      <c r="D418" s="3487"/>
      <c r="E418" s="3487"/>
      <c r="F418" s="3487"/>
      <c r="G418" s="3487"/>
      <c r="H418" s="3487"/>
      <c r="I418" s="3487"/>
      <c r="J418" s="3487"/>
      <c r="K418" s="3487"/>
      <c r="L418" s="3487"/>
      <c r="M418" s="3487"/>
      <c r="N418" s="3487"/>
      <c r="O418" s="3487"/>
      <c r="P418" s="3488"/>
      <c r="Q418" s="445"/>
    </row>
    <row r="419" spans="1:19" s="42" customFormat="1" ht="3" customHeight="1" thickBot="1">
      <c r="A419" s="41"/>
      <c r="B419" s="41"/>
      <c r="C419" s="2296"/>
      <c r="D419" s="2296"/>
      <c r="E419" s="2296"/>
      <c r="F419" s="2296"/>
      <c r="G419" s="2296"/>
      <c r="H419" s="2296"/>
      <c r="I419" s="2296"/>
      <c r="J419" s="2296"/>
      <c r="K419" s="2296"/>
      <c r="L419" s="2296"/>
      <c r="M419" s="2296"/>
      <c r="N419" s="74"/>
      <c r="O419" s="70"/>
      <c r="P419" s="887"/>
    </row>
    <row r="420" spans="1:19" s="42" customFormat="1" ht="13.5" customHeight="1" thickBot="1">
      <c r="A420" s="152" t="s">
        <v>4096</v>
      </c>
      <c r="B420" s="105" t="s">
        <v>2721</v>
      </c>
      <c r="D420" s="39"/>
      <c r="G420" s="60" t="s">
        <v>3390</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371" t="s">
        <v>5020</v>
      </c>
      <c r="E422" s="3372"/>
      <c r="F422" s="3372"/>
      <c r="G422" s="3372"/>
      <c r="H422" s="3372"/>
      <c r="I422" s="3373"/>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3673</v>
      </c>
      <c r="C424" s="391"/>
      <c r="D424" s="391"/>
      <c r="E424" s="391"/>
      <c r="F424" s="391"/>
      <c r="G424" s="391"/>
      <c r="H424" s="391"/>
      <c r="I424" s="391"/>
      <c r="M424" s="413">
        <v>2</v>
      </c>
      <c r="N424" s="160" t="s">
        <v>1983</v>
      </c>
      <c r="O424" s="2711"/>
      <c r="P424" s="860"/>
      <c r="Q424" s="1020" t="str">
        <f>IF(OR($O424=$M424,$O424=0,$O424=""),"","*CHECK!*")</f>
        <v/>
      </c>
      <c r="R424" s="1088" t="s">
        <v>2706</v>
      </c>
    </row>
    <row r="425" spans="1:19" s="412" customFormat="1" ht="12" customHeight="1">
      <c r="A425" s="411"/>
      <c r="B425" s="3696" t="s">
        <v>4891</v>
      </c>
      <c r="C425" s="3696"/>
      <c r="D425" s="3696"/>
      <c r="E425" s="3696"/>
      <c r="F425" s="3696"/>
      <c r="G425" s="3696"/>
      <c r="H425" s="3696"/>
      <c r="I425" s="3696"/>
      <c r="J425" s="3696"/>
      <c r="K425" s="3696"/>
      <c r="L425" s="3696"/>
      <c r="M425" s="3824" t="s">
        <v>5021</v>
      </c>
      <c r="N425" s="3824"/>
      <c r="Q425" s="172"/>
    </row>
    <row r="426" spans="1:19" s="412" customFormat="1" ht="12" customHeight="1">
      <c r="B426" s="3696"/>
      <c r="C426" s="3696"/>
      <c r="D426" s="3696"/>
      <c r="E426" s="3696"/>
      <c r="F426" s="3696"/>
      <c r="G426" s="3696"/>
      <c r="H426" s="3696"/>
      <c r="I426" s="3696"/>
      <c r="J426" s="3696"/>
      <c r="K426" s="3696"/>
      <c r="L426" s="3696"/>
      <c r="M426" s="3824"/>
      <c r="N426" s="3824"/>
      <c r="O426" s="3828">
        <f>'Part VI-Revenues &amp; Expenses'!$O$111</f>
        <v>0</v>
      </c>
      <c r="P426" s="3829"/>
      <c r="Q426" s="172"/>
    </row>
    <row r="427" spans="1:19" s="412" customFormat="1" ht="12" customHeight="1">
      <c r="B427" s="3696"/>
      <c r="C427" s="3696"/>
      <c r="D427" s="3696"/>
      <c r="E427" s="3696"/>
      <c r="F427" s="3696"/>
      <c r="G427" s="3696"/>
      <c r="H427" s="3696"/>
      <c r="I427" s="3696"/>
      <c r="J427" s="3696"/>
      <c r="K427" s="3696"/>
      <c r="L427" s="3696"/>
      <c r="M427" s="1026" t="s">
        <v>2829</v>
      </c>
      <c r="N427" s="413"/>
      <c r="O427" s="3822">
        <f>'Part VI-Revenues &amp; Expenses'!$O$67</f>
        <v>72</v>
      </c>
      <c r="P427" s="3823"/>
      <c r="Q427" s="172"/>
    </row>
    <row r="428" spans="1:19" s="412" customFormat="1" ht="12" customHeight="1">
      <c r="B428" s="3825"/>
      <c r="C428" s="3825"/>
      <c r="D428" s="3825"/>
      <c r="E428" s="3825"/>
      <c r="F428" s="3825"/>
      <c r="G428" s="3825"/>
      <c r="H428" s="3825"/>
      <c r="I428" s="3825"/>
      <c r="J428" s="3825"/>
      <c r="K428" s="3825"/>
      <c r="L428" s="3825"/>
      <c r="M428" s="2112" t="s">
        <v>2830</v>
      </c>
      <c r="N428" s="413"/>
      <c r="O428" s="3820">
        <f>IF(O427=0,0,O426/O427)</f>
        <v>0</v>
      </c>
      <c r="P428" s="3821"/>
      <c r="Q428" s="172"/>
    </row>
    <row r="429" spans="1:19" s="42" customFormat="1" ht="66.75" customHeight="1">
      <c r="A429" s="525"/>
      <c r="B429" s="3710" t="s">
        <v>4195</v>
      </c>
      <c r="C429" s="3711"/>
      <c r="D429" s="3711"/>
      <c r="E429" s="3711"/>
      <c r="F429" s="3711"/>
      <c r="G429" s="3711"/>
      <c r="H429" s="3711"/>
      <c r="I429" s="3711"/>
      <c r="J429" s="3711"/>
      <c r="K429" s="3711"/>
      <c r="L429" s="3711"/>
      <c r="M429" s="3711"/>
      <c r="N429" s="3711"/>
      <c r="O429" s="3711"/>
      <c r="P429" s="3712"/>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4194</v>
      </c>
      <c r="B431" s="928" t="s">
        <v>3356</v>
      </c>
      <c r="C431" s="139"/>
      <c r="D431" s="871"/>
      <c r="H431" s="391"/>
      <c r="M431" s="413">
        <v>2</v>
      </c>
      <c r="N431" s="160" t="s">
        <v>1985</v>
      </c>
      <c r="O431" s="2711"/>
      <c r="P431" s="860"/>
      <c r="Q431" s="1020" t="str">
        <f>IF(OR($O431=$M431,$O431=0,$O431=""),"","*CHECK!*")</f>
        <v/>
      </c>
      <c r="R431" s="1088" t="s">
        <v>2706</v>
      </c>
    </row>
    <row r="432" spans="1:19" s="412" customFormat="1" ht="11.25" customHeight="1">
      <c r="A432" s="526"/>
      <c r="B432" s="3485" t="s">
        <v>4890</v>
      </c>
      <c r="C432" s="3485"/>
      <c r="D432" s="3485"/>
      <c r="E432" s="3485"/>
      <c r="F432" s="3485"/>
      <c r="G432" s="3485"/>
      <c r="H432" s="3485"/>
      <c r="I432" s="3485"/>
      <c r="J432" s="3485"/>
      <c r="K432" s="3485"/>
      <c r="L432" s="3485"/>
      <c r="M432" s="2185" t="s">
        <v>4892</v>
      </c>
      <c r="O432" s="3891">
        <f>'Part VI-Revenues &amp; Expenses'!$O$113</f>
        <v>0</v>
      </c>
      <c r="P432" s="3892"/>
      <c r="Q432" s="172"/>
    </row>
    <row r="433" spans="1:18" s="412" customFormat="1" ht="11.25" customHeight="1">
      <c r="A433" s="526"/>
      <c r="B433" s="3485"/>
      <c r="C433" s="3485"/>
      <c r="D433" s="3485"/>
      <c r="E433" s="3485"/>
      <c r="F433" s="3485"/>
      <c r="G433" s="3485"/>
      <c r="H433" s="3485"/>
      <c r="I433" s="3485"/>
      <c r="J433" s="3485"/>
      <c r="K433" s="3485"/>
      <c r="L433" s="3485"/>
      <c r="M433" s="1227" t="s">
        <v>2829</v>
      </c>
      <c r="N433" s="413"/>
      <c r="O433" s="3822">
        <f>'Part VI-Revenues &amp; Expenses'!$O$67</f>
        <v>72</v>
      </c>
      <c r="P433" s="3823"/>
      <c r="Q433" s="172"/>
    </row>
    <row r="434" spans="1:18" s="412" customFormat="1" ht="11.25" customHeight="1">
      <c r="A434" s="526"/>
      <c r="B434" s="3485"/>
      <c r="C434" s="3485"/>
      <c r="D434" s="3485"/>
      <c r="E434" s="3485"/>
      <c r="F434" s="3485"/>
      <c r="G434" s="3485"/>
      <c r="H434" s="3485"/>
      <c r="I434" s="3485"/>
      <c r="J434" s="3485"/>
      <c r="K434" s="3485"/>
      <c r="L434" s="3485"/>
      <c r="M434" s="2112" t="s">
        <v>2830</v>
      </c>
      <c r="N434" s="413"/>
      <c r="O434" s="3820">
        <f>IF(O433=0,0,L420/O433)</f>
        <v>0</v>
      </c>
      <c r="P434" s="3821"/>
      <c r="Q434" s="172"/>
    </row>
    <row r="435" spans="1:18" s="42" customFormat="1" ht="11.25" customHeight="1" thickBot="1">
      <c r="A435" s="41"/>
      <c r="B435" s="1206" t="s">
        <v>3750</v>
      </c>
      <c r="C435" s="41"/>
      <c r="D435" s="47"/>
      <c r="E435" s="47"/>
      <c r="F435" s="47"/>
      <c r="G435" s="47"/>
      <c r="H435" s="35"/>
      <c r="I435" s="35"/>
      <c r="J435" s="35"/>
      <c r="K435" s="35"/>
      <c r="M435" s="45"/>
      <c r="N435" s="61"/>
      <c r="O435" s="2"/>
      <c r="P435" s="2295"/>
    </row>
    <row r="436" spans="1:18" s="42" customFormat="1" ht="21.75" customHeight="1" thickTop="1" thickBot="1">
      <c r="A436" s="3817" t="s">
        <v>5298</v>
      </c>
      <c r="B436" s="3818"/>
      <c r="C436" s="3818"/>
      <c r="D436" s="3818"/>
      <c r="E436" s="3818"/>
      <c r="F436" s="3818"/>
      <c r="G436" s="3818"/>
      <c r="H436" s="3818"/>
      <c r="I436" s="3818"/>
      <c r="J436" s="3818"/>
      <c r="K436" s="3818"/>
      <c r="L436" s="3818"/>
      <c r="M436" s="3818"/>
      <c r="N436" s="3818"/>
      <c r="O436" s="3818"/>
      <c r="P436" s="3819"/>
      <c r="Q436" s="1074" t="s">
        <v>1254</v>
      </c>
      <c r="R436" s="446"/>
    </row>
    <row r="437" spans="1:18" s="42" customFormat="1" ht="10.5" customHeight="1" thickTop="1">
      <c r="B437" s="85" t="s">
        <v>1866</v>
      </c>
      <c r="C437" s="98"/>
      <c r="D437" s="85"/>
      <c r="E437" s="99"/>
      <c r="F437" s="2296"/>
      <c r="G437" s="2296"/>
      <c r="H437" s="2296"/>
      <c r="I437" s="2296"/>
      <c r="J437" s="2296"/>
      <c r="K437" s="2296"/>
      <c r="L437" s="2296"/>
      <c r="M437" s="2296"/>
      <c r="N437" s="74"/>
      <c r="O437" s="70"/>
      <c r="P437" s="2292"/>
      <c r="Q437" s="426"/>
    </row>
    <row r="438" spans="1:18" s="42" customFormat="1" ht="11.25" customHeight="1">
      <c r="A438" s="3486"/>
      <c r="B438" s="3487"/>
      <c r="C438" s="3487"/>
      <c r="D438" s="3487"/>
      <c r="E438" s="3487"/>
      <c r="F438" s="3487"/>
      <c r="G438" s="3487"/>
      <c r="H438" s="3487"/>
      <c r="I438" s="3487"/>
      <c r="J438" s="3487"/>
      <c r="K438" s="3487"/>
      <c r="L438" s="3487"/>
      <c r="M438" s="3487"/>
      <c r="N438" s="3487"/>
      <c r="O438" s="3487"/>
      <c r="P438" s="3488"/>
      <c r="Q438" s="445"/>
    </row>
    <row r="439" spans="1:18" s="42" customFormat="1" ht="3" customHeight="1" thickBot="1">
      <c r="A439" s="41"/>
      <c r="B439" s="41"/>
      <c r="C439" s="2296"/>
      <c r="D439" s="2296"/>
      <c r="E439" s="2296"/>
      <c r="F439" s="2296"/>
      <c r="G439" s="2296"/>
      <c r="H439" s="2296"/>
      <c r="I439" s="2296"/>
      <c r="J439" s="2296"/>
      <c r="K439" s="2296"/>
      <c r="L439" s="2296"/>
      <c r="M439" s="2296"/>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3655</v>
      </c>
      <c r="D442" s="44"/>
      <c r="E442" s="44"/>
      <c r="F442" s="38"/>
      <c r="G442" s="35"/>
      <c r="I442" s="35"/>
      <c r="J442" s="35"/>
      <c r="K442" s="35"/>
      <c r="L442" s="376"/>
      <c r="M442" s="2292"/>
      <c r="N442" s="5"/>
      <c r="O442" s="1147">
        <v>10</v>
      </c>
      <c r="P442" s="1147">
        <v>10</v>
      </c>
      <c r="Q442" s="109"/>
    </row>
    <row r="443" spans="1:18" s="102" customFormat="1" ht="10.5" customHeight="1">
      <c r="A443" s="153"/>
      <c r="B443" s="86" t="s">
        <v>3656</v>
      </c>
      <c r="D443" s="44"/>
      <c r="E443" s="44"/>
      <c r="F443" s="38"/>
      <c r="G443" s="35"/>
      <c r="I443" s="35"/>
      <c r="J443" s="35"/>
      <c r="K443" s="35"/>
      <c r="L443" s="376"/>
      <c r="M443" s="2292"/>
      <c r="N443" s="5"/>
      <c r="O443" s="2752"/>
      <c r="P443" s="1140"/>
      <c r="Q443" s="109"/>
    </row>
    <row r="444" spans="1:18" s="102" customFormat="1" ht="10.5" customHeight="1">
      <c r="A444" s="153"/>
      <c r="B444" s="86" t="s">
        <v>3657</v>
      </c>
      <c r="D444" s="44"/>
      <c r="E444" s="44"/>
      <c r="F444" s="38"/>
      <c r="G444" s="35"/>
      <c r="I444" s="35"/>
      <c r="J444" s="35"/>
      <c r="K444" s="35"/>
      <c r="L444" s="376"/>
      <c r="M444" s="2292"/>
      <c r="N444" s="5"/>
      <c r="O444" s="2753"/>
      <c r="P444" s="530"/>
      <c r="Q444" s="109"/>
    </row>
    <row r="445" spans="1:18" s="102" customFormat="1" ht="10.5" customHeight="1">
      <c r="A445" s="66"/>
      <c r="B445" s="66" t="s">
        <v>1866</v>
      </c>
      <c r="C445" s="49"/>
      <c r="D445" s="66"/>
      <c r="E445" s="2301"/>
      <c r="F445" s="2301"/>
      <c r="G445" s="2301"/>
      <c r="H445" s="2301"/>
      <c r="I445" s="2301"/>
      <c r="J445" s="2301"/>
      <c r="K445" s="2301"/>
      <c r="L445" s="2301"/>
      <c r="M445" s="2301"/>
      <c r="N445" s="93"/>
      <c r="O445" s="872"/>
      <c r="P445" s="2292"/>
    </row>
    <row r="446" spans="1:18" s="42" customFormat="1" ht="11.25" customHeight="1">
      <c r="A446" s="3486"/>
      <c r="B446" s="3487"/>
      <c r="C446" s="3487"/>
      <c r="D446" s="3487"/>
      <c r="E446" s="3487"/>
      <c r="F446" s="3487"/>
      <c r="G446" s="3487"/>
      <c r="H446" s="3487"/>
      <c r="I446" s="3487"/>
      <c r="J446" s="3487"/>
      <c r="K446" s="3487"/>
      <c r="L446" s="3487"/>
      <c r="M446" s="3487"/>
      <c r="N446" s="3487"/>
      <c r="O446" s="3487"/>
      <c r="P446" s="3488"/>
      <c r="Q446" s="445"/>
      <c r="R446" s="446"/>
    </row>
    <row r="447" spans="1:18" s="42" customFormat="1" ht="6" customHeight="1" thickBot="1">
      <c r="A447" s="153"/>
      <c r="B447" s="41"/>
      <c r="C447" s="2296"/>
      <c r="D447" s="2296"/>
      <c r="E447" s="2296"/>
      <c r="F447" s="2296"/>
      <c r="G447" s="2296"/>
      <c r="H447" s="2296"/>
      <c r="I447" s="2296"/>
      <c r="J447" s="2296"/>
      <c r="K447" s="2296"/>
      <c r="L447" s="2296"/>
      <c r="M447" s="2296"/>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56</v>
      </c>
      <c r="P448" s="1135">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292"/>
      <c r="O449" s="2292"/>
      <c r="P449" s="461">
        <f>P228</f>
        <v>0</v>
      </c>
    </row>
    <row r="450" spans="1:19" s="41" customFormat="1" ht="11.25" customHeight="1">
      <c r="A450" s="53"/>
      <c r="B450" s="67"/>
      <c r="C450" s="53"/>
      <c r="D450" s="34"/>
      <c r="E450" s="34"/>
      <c r="F450" s="69"/>
      <c r="G450" s="69"/>
      <c r="H450" s="165" t="s">
        <v>4185</v>
      </c>
      <c r="J450" s="68"/>
      <c r="K450" s="68"/>
      <c r="L450" s="42"/>
      <c r="M450" s="34"/>
      <c r="N450" s="2292"/>
      <c r="O450" s="461"/>
      <c r="P450" s="461">
        <f>P342</f>
        <v>0</v>
      </c>
    </row>
    <row r="451" spans="1:19" s="42" customFormat="1" ht="11.25" customHeight="1">
      <c r="A451" s="41"/>
      <c r="D451" s="38"/>
      <c r="E451" s="35"/>
      <c r="F451" s="887"/>
      <c r="H451" s="165" t="s">
        <v>4192</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890" t="s">
        <v>3686</v>
      </c>
      <c r="B453" s="3890"/>
      <c r="C453" s="3890"/>
      <c r="D453" s="3890"/>
      <c r="E453" s="3890"/>
      <c r="F453" s="3890"/>
      <c r="G453" s="3890"/>
      <c r="H453" s="3890"/>
      <c r="I453" s="3890"/>
      <c r="J453" s="3890"/>
      <c r="K453" s="3890"/>
      <c r="L453" s="3890"/>
      <c r="M453" s="3890"/>
      <c r="N453" s="3890"/>
      <c r="O453" s="3890"/>
      <c r="P453" s="3890"/>
    </row>
    <row r="454" spans="1:19" s="42" customFormat="1" ht="207.6" customHeight="1">
      <c r="A454" s="3530" t="s">
        <v>5300</v>
      </c>
      <c r="B454" s="3531"/>
      <c r="C454" s="3531"/>
      <c r="D454" s="3531"/>
      <c r="E454" s="3531"/>
      <c r="F454" s="3531"/>
      <c r="G454" s="3531"/>
      <c r="H454" s="3531"/>
      <c r="I454" s="3531"/>
      <c r="J454" s="3531"/>
      <c r="K454" s="3531"/>
      <c r="L454" s="3531"/>
      <c r="M454" s="3531"/>
      <c r="N454" s="3531"/>
      <c r="O454" s="3531"/>
      <c r="P454" s="3532"/>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3414</v>
      </c>
      <c r="K477" s="451"/>
      <c r="L477" s="451"/>
      <c r="M477" s="451"/>
      <c r="N477" s="452"/>
      <c r="O477" s="1197" t="s">
        <v>3764</v>
      </c>
      <c r="P477" s="1193"/>
      <c r="Q477" s="1121"/>
    </row>
    <row r="478" spans="3:17" s="482" customFormat="1">
      <c r="C478" s="1122" t="s">
        <v>1389</v>
      </c>
      <c r="D478" s="451"/>
      <c r="E478" s="451"/>
      <c r="F478" s="451"/>
      <c r="G478" s="451"/>
      <c r="H478" s="451"/>
      <c r="I478" s="451"/>
      <c r="J478" s="1194" t="s">
        <v>3415</v>
      </c>
      <c r="K478" s="451"/>
      <c r="L478" s="451"/>
      <c r="M478" s="451"/>
      <c r="N478" s="452"/>
      <c r="O478" s="1193"/>
      <c r="P478" s="1193"/>
      <c r="Q478" s="1121"/>
    </row>
    <row r="479" spans="3:17" s="482" customFormat="1">
      <c r="C479" s="1122" t="s">
        <v>2282</v>
      </c>
      <c r="D479" s="89"/>
      <c r="E479" s="89"/>
      <c r="F479" s="451"/>
      <c r="G479" s="451"/>
      <c r="H479" s="451"/>
      <c r="I479" s="451"/>
      <c r="J479" s="451" t="s">
        <v>3399</v>
      </c>
      <c r="K479" s="451"/>
      <c r="L479" s="89"/>
      <c r="M479" s="451"/>
      <c r="N479" s="452"/>
      <c r="O479" s="1193">
        <v>2</v>
      </c>
      <c r="P479" s="1193"/>
      <c r="Q479" s="1121"/>
    </row>
    <row r="480" spans="3:17" s="482" customFormat="1">
      <c r="C480" s="451"/>
      <c r="D480" s="89"/>
      <c r="E480" s="89"/>
      <c r="F480" s="451"/>
      <c r="G480" s="451"/>
      <c r="H480" s="451"/>
      <c r="I480" s="451"/>
      <c r="J480" s="451" t="s">
        <v>3400</v>
      </c>
      <c r="K480" s="451"/>
      <c r="L480" s="89"/>
      <c r="M480" s="451"/>
      <c r="N480" s="452"/>
      <c r="O480" s="1193">
        <v>2</v>
      </c>
      <c r="P480" s="1193"/>
      <c r="Q480" s="1121"/>
    </row>
    <row r="481" spans="1:17" s="482" customFormat="1">
      <c r="C481" s="451"/>
      <c r="D481" s="89"/>
      <c r="E481" s="89"/>
      <c r="F481" s="451"/>
      <c r="G481" s="451"/>
      <c r="H481" s="451"/>
      <c r="I481" s="451"/>
      <c r="J481" s="451" t="s">
        <v>3401</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3402</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3762</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3403</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3404</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3405</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3763</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3413</v>
      </c>
      <c r="K488" s="451"/>
      <c r="L488" s="2062"/>
      <c r="M488" s="451"/>
      <c r="N488" s="452"/>
      <c r="O488" s="1193">
        <v>1</v>
      </c>
      <c r="P488" s="1193"/>
      <c r="Q488" s="1121"/>
    </row>
    <row r="489" spans="1:17" s="482" customFormat="1">
      <c r="C489" s="1200"/>
      <c r="D489" s="89"/>
      <c r="E489" s="89"/>
      <c r="F489" s="451"/>
      <c r="G489" s="1201" t="s">
        <v>3802</v>
      </c>
      <c r="H489" s="1199"/>
      <c r="I489" s="1202"/>
      <c r="J489" s="1199" t="s">
        <v>3406</v>
      </c>
      <c r="K489" s="451"/>
      <c r="L489" s="2062"/>
      <c r="M489" s="451"/>
      <c r="N489" s="452"/>
      <c r="O489" s="1193">
        <v>1</v>
      </c>
      <c r="P489" s="1193"/>
      <c r="Q489" s="1121"/>
    </row>
    <row r="490" spans="1:17" s="482" customFormat="1">
      <c r="C490" s="1200"/>
      <c r="D490" s="89"/>
      <c r="E490" s="89"/>
      <c r="F490" s="451"/>
      <c r="G490" s="1201" t="s">
        <v>11</v>
      </c>
      <c r="H490" s="1199"/>
      <c r="I490" s="1202"/>
      <c r="J490" s="1199" t="s">
        <v>3407</v>
      </c>
      <c r="K490" s="451"/>
      <c r="L490" s="2062"/>
      <c r="M490" s="451"/>
      <c r="N490" s="452"/>
      <c r="O490" s="1193">
        <v>1</v>
      </c>
      <c r="P490" s="1193"/>
      <c r="Q490" s="1121"/>
    </row>
    <row r="491" spans="1:17" s="482" customFormat="1">
      <c r="C491" s="1200"/>
      <c r="D491" s="451"/>
      <c r="E491" s="451"/>
      <c r="F491" s="451"/>
      <c r="G491" s="1201" t="s">
        <v>356</v>
      </c>
      <c r="H491" s="1199"/>
      <c r="I491" s="1202"/>
      <c r="J491" s="1199" t="s">
        <v>3408</v>
      </c>
      <c r="K491" s="451"/>
      <c r="L491" s="1202"/>
      <c r="M491" s="451"/>
      <c r="N491" s="452"/>
      <c r="O491" s="1193">
        <v>1</v>
      </c>
      <c r="P491" s="1193"/>
      <c r="Q491" s="1121"/>
    </row>
    <row r="492" spans="1:17" s="482" customFormat="1">
      <c r="C492" s="451"/>
      <c r="D492" s="451"/>
      <c r="E492" s="451"/>
      <c r="F492" s="451"/>
      <c r="G492" s="1201" t="s">
        <v>1332</v>
      </c>
      <c r="H492" s="1199"/>
      <c r="I492" s="1202"/>
      <c r="J492" s="1199" t="s">
        <v>3409</v>
      </c>
      <c r="K492" s="451"/>
      <c r="L492" s="1202"/>
      <c r="M492" s="451"/>
      <c r="N492" s="452"/>
      <c r="O492" s="1193">
        <v>1</v>
      </c>
      <c r="P492" s="1193"/>
      <c r="Q492" s="1121"/>
    </row>
    <row r="493" spans="1:17" s="482" customFormat="1">
      <c r="C493" s="451"/>
      <c r="D493" s="451"/>
      <c r="E493" s="451"/>
      <c r="F493" s="451"/>
      <c r="G493" s="1201" t="s">
        <v>1504</v>
      </c>
      <c r="H493" s="1199"/>
      <c r="I493" s="1202"/>
      <c r="J493" s="1199" t="s">
        <v>3412</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3410</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3411</v>
      </c>
      <c r="K495" s="451"/>
      <c r="L495" s="1202"/>
      <c r="M495" s="451"/>
      <c r="N495" s="452"/>
      <c r="O495" s="1193">
        <v>1</v>
      </c>
      <c r="P495" s="1193"/>
      <c r="Q495" s="1121"/>
    </row>
    <row r="496" spans="1:17" s="482" customFormat="1">
      <c r="A496" s="1052" t="s">
        <v>3375</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3376</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3377</v>
      </c>
      <c r="C498" s="451"/>
      <c r="D498" s="1200"/>
      <c r="E498" s="1200">
        <v>10</v>
      </c>
      <c r="F498" s="451"/>
      <c r="G498" s="1201" t="s">
        <v>2489</v>
      </c>
      <c r="H498" s="1199"/>
      <c r="I498" s="1202"/>
      <c r="J498" s="2064" t="s">
        <v>3773</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3974</v>
      </c>
      <c r="K499" s="451"/>
      <c r="L499" s="2062"/>
      <c r="M499" s="451"/>
      <c r="N499" s="452"/>
      <c r="O499" s="1193"/>
      <c r="P499" s="1193"/>
      <c r="Q499" s="1121"/>
    </row>
    <row r="500" spans="1:17" s="482" customFormat="1">
      <c r="C500" s="1200"/>
      <c r="D500" s="451"/>
      <c r="E500" s="451"/>
      <c r="F500" s="451"/>
      <c r="G500" s="1201" t="s">
        <v>2140</v>
      </c>
      <c r="H500" s="1199"/>
      <c r="I500" s="1202"/>
      <c r="J500" s="1199" t="s">
        <v>3969</v>
      </c>
      <c r="K500" s="451"/>
      <c r="L500" s="2062"/>
      <c r="M500" s="451"/>
      <c r="N500" s="452"/>
      <c r="O500" s="1193"/>
      <c r="P500" s="1193"/>
      <c r="Q500" s="1121"/>
    </row>
    <row r="501" spans="1:17" s="482" customFormat="1">
      <c r="C501" s="1200"/>
      <c r="D501" s="451"/>
      <c r="E501" s="451"/>
      <c r="F501" s="451"/>
      <c r="G501" s="1201" t="s">
        <v>2058</v>
      </c>
      <c r="H501" s="1199"/>
      <c r="I501" s="1202"/>
      <c r="J501" s="1199" t="s">
        <v>3766</v>
      </c>
      <c r="K501" s="1199"/>
      <c r="L501" s="2062"/>
      <c r="M501" s="451"/>
      <c r="N501" s="452"/>
      <c r="O501" s="1193"/>
      <c r="P501" s="1193"/>
      <c r="Q501" s="1121"/>
    </row>
    <row r="502" spans="1:17" s="482" customFormat="1">
      <c r="C502" s="1200"/>
      <c r="D502" s="451"/>
      <c r="E502" s="451"/>
      <c r="F502" s="451"/>
      <c r="G502" s="1201" t="s">
        <v>601</v>
      </c>
      <c r="H502" s="1202"/>
      <c r="I502" s="1199"/>
      <c r="J502" s="1199" t="s">
        <v>3963</v>
      </c>
      <c r="K502" s="451"/>
      <c r="L502" s="2062"/>
      <c r="M502" s="451"/>
      <c r="N502" s="452"/>
      <c r="O502" s="1193"/>
      <c r="P502" s="1193"/>
      <c r="Q502" s="1121"/>
    </row>
    <row r="503" spans="1:17" s="482" customFormat="1">
      <c r="C503" s="1200"/>
      <c r="D503" s="451"/>
      <c r="E503" s="451"/>
      <c r="F503" s="451"/>
      <c r="G503" s="1201" t="s">
        <v>335</v>
      </c>
      <c r="H503" s="1202"/>
      <c r="I503" s="1199"/>
      <c r="J503" s="1199" t="s">
        <v>3767</v>
      </c>
      <c r="K503" s="1199"/>
      <c r="L503" s="2062"/>
      <c r="M503" s="451"/>
      <c r="N503" s="452"/>
      <c r="O503" s="1193"/>
      <c r="P503" s="1193"/>
      <c r="Q503" s="1121"/>
    </row>
    <row r="504" spans="1:17" s="482" customFormat="1">
      <c r="C504" s="451"/>
      <c r="D504" s="451"/>
      <c r="E504" s="451"/>
      <c r="F504" s="451"/>
      <c r="G504" s="1201" t="s">
        <v>873</v>
      </c>
      <c r="H504" s="1202"/>
      <c r="I504" s="1199"/>
      <c r="J504" s="1199" t="s">
        <v>3964</v>
      </c>
      <c r="K504" s="451"/>
      <c r="L504" s="2062"/>
      <c r="M504" s="451"/>
      <c r="N504" s="452"/>
      <c r="O504" s="1193"/>
      <c r="P504" s="1193"/>
      <c r="Q504" s="1121"/>
    </row>
    <row r="505" spans="1:17" s="482" customFormat="1">
      <c r="C505" s="451"/>
      <c r="D505" s="451"/>
      <c r="E505" s="451"/>
      <c r="F505" s="451"/>
      <c r="G505" s="1201" t="s">
        <v>1924</v>
      </c>
      <c r="H505" s="1202"/>
      <c r="I505" s="1199"/>
      <c r="J505" s="1199" t="s">
        <v>3768</v>
      </c>
      <c r="K505" s="451"/>
      <c r="L505" s="2063"/>
      <c r="M505" s="451"/>
      <c r="N505" s="452"/>
      <c r="O505" s="1193"/>
      <c r="P505" s="1193"/>
      <c r="Q505" s="1121"/>
    </row>
    <row r="506" spans="1:17" s="482" customFormat="1">
      <c r="C506" s="451"/>
      <c r="D506" s="451"/>
      <c r="E506" s="451"/>
      <c r="F506" s="451"/>
      <c r="G506" s="1201" t="s">
        <v>1928</v>
      </c>
      <c r="H506" s="1202"/>
      <c r="I506" s="1199"/>
      <c r="J506" s="1199" t="s">
        <v>3965</v>
      </c>
      <c r="K506" s="451"/>
      <c r="L506" s="2062"/>
      <c r="M506" s="451"/>
      <c r="N506" s="452"/>
      <c r="O506" s="1193"/>
      <c r="P506" s="1193"/>
      <c r="Q506" s="1121"/>
    </row>
    <row r="507" spans="1:17" s="482" customFormat="1">
      <c r="C507" s="451"/>
      <c r="D507" s="451"/>
      <c r="E507" s="451"/>
      <c r="F507" s="451"/>
      <c r="G507" s="1201" t="s">
        <v>455</v>
      </c>
      <c r="H507" s="1202"/>
      <c r="I507" s="1199"/>
      <c r="J507" s="1199" t="s">
        <v>3970</v>
      </c>
      <c r="K507" s="451"/>
      <c r="L507" s="2062"/>
      <c r="M507" s="451"/>
      <c r="N507" s="452"/>
      <c r="O507" s="1193"/>
      <c r="P507" s="1193"/>
      <c r="Q507" s="1121"/>
    </row>
    <row r="508" spans="1:17" s="482" customFormat="1">
      <c r="C508" s="451"/>
      <c r="D508" s="451"/>
      <c r="E508" s="451"/>
      <c r="F508" s="451"/>
      <c r="G508" s="1201" t="s">
        <v>3616</v>
      </c>
      <c r="H508" s="1202"/>
      <c r="I508" s="1199"/>
      <c r="J508" s="1199" t="s">
        <v>3973</v>
      </c>
      <c r="K508" s="1199"/>
      <c r="L508" s="2063"/>
      <c r="M508" s="451"/>
      <c r="N508" s="452"/>
      <c r="O508" s="1193"/>
      <c r="P508" s="1193"/>
      <c r="Q508" s="1121"/>
    </row>
    <row r="509" spans="1:17" s="482" customFormat="1">
      <c r="C509" s="451"/>
      <c r="D509" s="1203"/>
      <c r="E509" s="451"/>
      <c r="F509" s="451"/>
      <c r="G509" s="1201" t="s">
        <v>420</v>
      </c>
      <c r="H509" s="1202"/>
      <c r="I509" s="1199"/>
      <c r="J509" s="1199" t="s">
        <v>3769</v>
      </c>
      <c r="K509" s="451"/>
      <c r="L509" s="2062"/>
      <c r="M509" s="451"/>
      <c r="N509" s="452"/>
      <c r="O509" s="1193"/>
      <c r="P509" s="1193"/>
      <c r="Q509" s="1121"/>
    </row>
    <row r="510" spans="1:17" s="482" customFormat="1">
      <c r="C510" s="451"/>
      <c r="D510" s="1203"/>
      <c r="E510" s="451"/>
      <c r="F510" s="451"/>
      <c r="G510" s="1201" t="s">
        <v>234</v>
      </c>
      <c r="H510" s="1202"/>
      <c r="I510" s="1199"/>
      <c r="J510" s="1199" t="s">
        <v>3770</v>
      </c>
      <c r="K510" s="451"/>
      <c r="L510" s="2062"/>
      <c r="M510" s="451"/>
      <c r="N510" s="452"/>
      <c r="O510" s="1193"/>
      <c r="P510" s="1193"/>
      <c r="Q510" s="1121"/>
    </row>
    <row r="511" spans="1:17" s="482" customFormat="1">
      <c r="C511" s="451"/>
      <c r="D511" s="1204"/>
      <c r="E511" s="451"/>
      <c r="F511" s="451"/>
      <c r="G511" s="1201" t="s">
        <v>1221</v>
      </c>
      <c r="H511" s="1202"/>
      <c r="I511" s="1199"/>
      <c r="J511" s="1199" t="s">
        <v>3968</v>
      </c>
      <c r="K511" s="451"/>
      <c r="L511" s="2062"/>
      <c r="M511" s="451"/>
      <c r="N511" s="452"/>
      <c r="O511" s="1193"/>
      <c r="P511" s="1193"/>
      <c r="Q511" s="1121"/>
    </row>
    <row r="512" spans="1:17" s="482" customFormat="1">
      <c r="C512" s="451"/>
      <c r="D512" s="1204"/>
      <c r="E512" s="1204"/>
      <c r="F512" s="451"/>
      <c r="G512" s="1201" t="s">
        <v>1223</v>
      </c>
      <c r="H512" s="1202"/>
      <c r="I512" s="1199"/>
      <c r="J512" s="1199" t="s">
        <v>3971</v>
      </c>
      <c r="K512" s="451"/>
      <c r="L512" s="2063"/>
      <c r="M512" s="451"/>
      <c r="N512" s="452"/>
      <c r="O512" s="1193"/>
      <c r="P512" s="1193"/>
      <c r="Q512" s="1121"/>
    </row>
    <row r="513" spans="3:17" s="482" customFormat="1">
      <c r="C513" s="451"/>
      <c r="D513" s="451"/>
      <c r="E513" s="451"/>
      <c r="F513" s="451"/>
      <c r="G513" s="1201" t="s">
        <v>1637</v>
      </c>
      <c r="H513" s="1202"/>
      <c r="I513" s="1199"/>
      <c r="J513" s="1199" t="s">
        <v>3972</v>
      </c>
      <c r="K513" s="451"/>
      <c r="L513" s="2062"/>
      <c r="M513" s="451"/>
      <c r="N513" s="452"/>
      <c r="O513" s="1193"/>
      <c r="P513" s="1193"/>
      <c r="Q513" s="1121"/>
    </row>
    <row r="514" spans="3:17" s="482" customFormat="1">
      <c r="C514" s="451"/>
      <c r="D514" s="451"/>
      <c r="E514" s="451"/>
      <c r="F514" s="451"/>
      <c r="G514" s="1201" t="s">
        <v>985</v>
      </c>
      <c r="H514" s="1202"/>
      <c r="I514" s="1199"/>
      <c r="J514" s="1199" t="s">
        <v>3771</v>
      </c>
      <c r="K514" s="451"/>
      <c r="L514" s="2062"/>
      <c r="M514" s="451"/>
      <c r="N514" s="452"/>
      <c r="O514" s="1193"/>
      <c r="P514" s="1193"/>
      <c r="Q514" s="1121"/>
    </row>
    <row r="515" spans="3:17" s="482" customFormat="1">
      <c r="C515" s="1203"/>
      <c r="D515" s="451"/>
      <c r="E515" s="451"/>
      <c r="F515" s="451"/>
      <c r="G515" s="1201" t="s">
        <v>574</v>
      </c>
      <c r="H515" s="1199"/>
      <c r="I515" s="1199"/>
      <c r="J515" s="1199" t="s">
        <v>3772</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3392</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4055</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4601</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MuheapfuaPEdaNXosFoldGqhWMgMH9dEJ4SCDfzD7UKnT32K0Jh1KgsfmSrt4Gc2WFVa2WM74mwTDoOQ9uMtw==" saltValue="s7fEDG0jBeHl2TvpAE6few=="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4197</v>
      </c>
    </row>
    <row r="2" spans="1:6" s="32" customFormat="1" ht="13.5" customHeight="1">
      <c r="A2" s="865" t="str">
        <f>'Part I-Project Information'!$F$34</f>
        <v>Brennan Place</v>
      </c>
    </row>
    <row r="3" spans="1:6" s="32" customFormat="1" ht="13.5" customHeight="1">
      <c r="A3" s="865" t="str">
        <f>CONCATENATE('Part I-Project Information'!$F$38,", ", 'Part I-Project Information'!$J$39," County")</f>
        <v>Columbus, Muscogee County</v>
      </c>
    </row>
    <row r="4" spans="1:6" ht="6.75" customHeight="1"/>
    <row r="5" spans="1:6" ht="113.25" customHeight="1">
      <c r="A5" s="4056" t="s">
        <v>4198</v>
      </c>
      <c r="B5" s="4057" t="s">
        <v>4199</v>
      </c>
      <c r="C5" s="4057"/>
      <c r="D5" s="4057"/>
      <c r="E5" s="4057"/>
      <c r="F5" s="4057"/>
    </row>
    <row r="6" spans="1:6" ht="6.6" customHeight="1">
      <c r="A6" s="4056"/>
      <c r="B6" s="4057"/>
      <c r="C6" s="4057"/>
      <c r="D6" s="4057"/>
      <c r="E6" s="4057"/>
      <c r="F6" s="4057"/>
    </row>
    <row r="7" spans="1:6" ht="134.25" customHeight="1">
      <c r="A7" s="4056"/>
      <c r="B7" s="4057"/>
      <c r="C7" s="4057"/>
      <c r="D7" s="4057"/>
      <c r="E7" s="4057"/>
      <c r="F7" s="4057"/>
    </row>
    <row r="8" spans="1:6" ht="6.6" customHeight="1">
      <c r="A8" s="4056"/>
    </row>
    <row r="9" spans="1:6" ht="111" customHeight="1">
      <c r="A9" s="4056"/>
    </row>
    <row r="10" spans="1:6" ht="6.6" customHeight="1">
      <c r="A10" s="4056"/>
    </row>
    <row r="11" spans="1:6" ht="111" customHeight="1">
      <c r="A11" s="4056"/>
    </row>
    <row r="12" spans="1:6" ht="6.6" customHeight="1">
      <c r="A12" s="4056"/>
    </row>
    <row r="13" spans="1:6" ht="111" customHeight="1">
      <c r="A13" s="4056"/>
    </row>
    <row r="14" spans="1:6" ht="6.6" customHeight="1">
      <c r="A14" s="4056"/>
    </row>
    <row r="15" spans="1:6" ht="111" customHeight="1">
      <c r="A15" s="4056"/>
    </row>
    <row r="16" spans="1:6" ht="6.6" customHeight="1">
      <c r="A16" s="4056"/>
    </row>
    <row r="17" spans="1:1" ht="111" customHeight="1">
      <c r="A17" s="4056"/>
    </row>
    <row r="18" spans="1:1" ht="6.6" customHeight="1">
      <c r="A18" s="4056"/>
    </row>
    <row r="19" spans="1:1" ht="105.75" customHeight="1">
      <c r="A19" s="4056"/>
    </row>
    <row r="20" spans="1:1" ht="6.6" customHeight="1">
      <c r="A20" s="4056"/>
    </row>
    <row r="21" spans="1:1" ht="105.75" customHeight="1">
      <c r="A21" s="4056"/>
    </row>
    <row r="22" spans="1:1" ht="6.6" customHeight="1">
      <c r="A22" s="4056"/>
    </row>
    <row r="23" spans="1:1" ht="105.75" customHeight="1">
      <c r="A23" s="4056"/>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4200</v>
      </c>
    </row>
    <row r="3" spans="1:7" ht="3" customHeight="1"/>
    <row r="4" spans="1:7">
      <c r="A4" s="1231" t="s">
        <v>4201</v>
      </c>
      <c r="B4" s="1232">
        <f>+'Part IV-A-Uses of Funds'!$G$132</f>
        <v>14176065</v>
      </c>
    </row>
    <row r="5" spans="1:7">
      <c r="A5" s="1231" t="s">
        <v>4232</v>
      </c>
      <c r="B5" s="1232">
        <f>+B18+B26+B38</f>
        <v>1370514.4765819982</v>
      </c>
    </row>
    <row r="6" spans="1:7">
      <c r="A6" s="1231" t="s">
        <v>4202</v>
      </c>
      <c r="B6" s="1233">
        <f>+B5-B4</f>
        <v>-12805550.523418002</v>
      </c>
    </row>
    <row r="7" spans="1:7">
      <c r="A7" s="1231" t="s">
        <v>4203</v>
      </c>
      <c r="B7" s="1234">
        <f>+B6/B4</f>
        <v>-0.90332193901608115</v>
      </c>
    </row>
    <row r="8" spans="1:7" ht="9" customHeight="1"/>
    <row r="9" spans="1:7">
      <c r="A9" s="1231" t="s">
        <v>4204</v>
      </c>
      <c r="B9" s="1232">
        <f>+B18+B26+B33</f>
        <v>1370404.4765819982</v>
      </c>
    </row>
    <row r="10" spans="1:7">
      <c r="A10" s="1231" t="s">
        <v>4202</v>
      </c>
      <c r="B10" s="1233">
        <f>+B9-B4</f>
        <v>-12805660.523418002</v>
      </c>
    </row>
    <row r="11" spans="1:7">
      <c r="A11" s="1231" t="s">
        <v>4203</v>
      </c>
      <c r="B11" s="1234">
        <f>+B10/B4</f>
        <v>-0.90332969857418133</v>
      </c>
    </row>
    <row r="12" spans="1:7" ht="24" customHeight="1"/>
    <row r="13" spans="1:7">
      <c r="A13" s="1230" t="s">
        <v>4205</v>
      </c>
      <c r="D13" s="1301" t="s">
        <v>4466</v>
      </c>
      <c r="E13" s="1302"/>
    </row>
    <row r="14" spans="1:7">
      <c r="A14" s="1231" t="s">
        <v>4206</v>
      </c>
      <c r="B14" s="1235">
        <f>+SUM('Part III-Sources of Funds'!L49:M50)</f>
        <v>12400000</v>
      </c>
      <c r="D14" s="1302"/>
      <c r="E14" s="1302"/>
    </row>
    <row r="15" spans="1:7">
      <c r="A15" s="1231" t="s">
        <v>4207</v>
      </c>
      <c r="B15" s="1236">
        <f>+'Part IV-A-Uses of Funds'!J167</f>
        <v>1247595.5</v>
      </c>
      <c r="D15" s="1302" t="s">
        <v>2045</v>
      </c>
      <c r="G15" s="1303">
        <f>'Part IV-A-Uses of Funds'!J155</f>
        <v>14491234.712500002</v>
      </c>
    </row>
    <row r="16" spans="1:7" ht="12.75" customHeight="1">
      <c r="D16" s="1302" t="s">
        <v>4467</v>
      </c>
      <c r="G16" s="1307">
        <v>3.2800000000000003E-2</v>
      </c>
    </row>
    <row r="17" spans="1:7" ht="12.75" customHeight="1">
      <c r="A17" s="1231" t="s">
        <v>4208</v>
      </c>
      <c r="B17" s="1306">
        <v>1.45</v>
      </c>
      <c r="D17" s="1302" t="s">
        <v>4468</v>
      </c>
      <c r="G17" s="1308">
        <v>1.45</v>
      </c>
    </row>
    <row r="18" spans="1:7" ht="12.75" customHeight="1">
      <c r="A18" s="1231" t="s">
        <v>4209</v>
      </c>
      <c r="B18" s="1237">
        <f>+'Part IV-A-Uses of Funds'!J174*B17*10</f>
        <v>0</v>
      </c>
      <c r="D18" s="1302" t="s">
        <v>4469</v>
      </c>
      <c r="G18" s="1308">
        <v>3.28</v>
      </c>
    </row>
    <row r="19" spans="1:7" ht="12.75" customHeight="1">
      <c r="D19" s="1302" t="s">
        <v>4470</v>
      </c>
      <c r="G19" s="1304">
        <f>+G15*G16*G17*10</f>
        <v>6892031.2292650016</v>
      </c>
    </row>
    <row r="20" spans="1:7">
      <c r="A20" s="1231" t="s">
        <v>4210</v>
      </c>
      <c r="B20" s="1235">
        <f>+B18-B14</f>
        <v>-12400000</v>
      </c>
      <c r="D20" s="1302" t="s">
        <v>4471</v>
      </c>
      <c r="G20" s="1305">
        <f>+B14-G19</f>
        <v>5507968.7707349984</v>
      </c>
    </row>
    <row r="21" spans="1:7">
      <c r="A21" s="1231" t="s">
        <v>4211</v>
      </c>
      <c r="B21" s="1234">
        <f>+B20/B14</f>
        <v>-1</v>
      </c>
      <c r="D21" s="1302" t="s">
        <v>4472</v>
      </c>
      <c r="G21" s="1302" t="str">
        <f>+IF(G20&gt;(B28+B35),"No","Yes")</f>
        <v>No</v>
      </c>
    </row>
    <row r="22" spans="1:7" ht="24" customHeight="1"/>
    <row r="23" spans="1:7">
      <c r="A23" s="1230" t="s">
        <v>4212</v>
      </c>
    </row>
    <row r="24" spans="1:7">
      <c r="A24" s="1231" t="s">
        <v>4213</v>
      </c>
      <c r="B24" s="1238">
        <f>+SUM('Part III-Sources of Funds'!I38:J41)</f>
        <v>1700000</v>
      </c>
    </row>
    <row r="25" spans="1:7">
      <c r="A25" s="1231" t="s">
        <v>4214</v>
      </c>
      <c r="B25" s="1239">
        <f>IF('Part III-Sources of Funds'!E5="Yes","N/A",MAX(B46:P46))</f>
        <v>-9188.7036746201775</v>
      </c>
    </row>
    <row r="26" spans="1:7">
      <c r="A26" s="1231" t="s">
        <v>4215</v>
      </c>
      <c r="B26" s="1229">
        <f>IFERROR(PV('Part III-Sources of Funds'!K38,'Part III-Sources of Funds'!L38,B25+B45),B24)</f>
        <v>1370404.4765819982</v>
      </c>
    </row>
    <row r="27" spans="1:7" ht="9" customHeight="1">
      <c r="B27" s="1229"/>
    </row>
    <row r="28" spans="1:7">
      <c r="A28" s="1231" t="s">
        <v>4216</v>
      </c>
      <c r="B28" s="1240">
        <f>+B26-B24</f>
        <v>-329595.52341800183</v>
      </c>
      <c r="C28" s="1241"/>
    </row>
    <row r="29" spans="1:7">
      <c r="A29" s="1231" t="s">
        <v>4211</v>
      </c>
      <c r="B29" s="1242">
        <f>+B28/B24</f>
        <v>-0.19387971965764814</v>
      </c>
    </row>
    <row r="30" spans="1:7" ht="24" customHeight="1"/>
    <row r="31" spans="1:7">
      <c r="A31" s="1230" t="s">
        <v>4078</v>
      </c>
    </row>
    <row r="32" spans="1:7">
      <c r="A32" s="1231" t="s">
        <v>4217</v>
      </c>
      <c r="B32" s="1243">
        <f>+'Part III-Sources of Funds'!I43</f>
        <v>77655</v>
      </c>
    </row>
    <row r="33" spans="1:11">
      <c r="A33" s="1231" t="s">
        <v>4218</v>
      </c>
      <c r="B33" s="1229"/>
    </row>
    <row r="34" spans="1:11" ht="9" customHeight="1">
      <c r="B34" s="1229"/>
    </row>
    <row r="35" spans="1:11">
      <c r="A35" s="1231" t="s">
        <v>4219</v>
      </c>
      <c r="B35" s="1243">
        <f>+B33-B32</f>
        <v>-77655</v>
      </c>
    </row>
    <row r="36" spans="1:11">
      <c r="A36" s="1231" t="s">
        <v>4220</v>
      </c>
      <c r="B36" s="1228">
        <f>+B35/B32</f>
        <v>-1</v>
      </c>
    </row>
    <row r="37" spans="1:11" ht="24" customHeight="1">
      <c r="B37" s="1229"/>
    </row>
    <row r="38" spans="1:11">
      <c r="A38" s="1230" t="s">
        <v>4221</v>
      </c>
      <c r="B38" s="1229">
        <f>+SUM('Part III-Sources of Funds'!I42,'Part III-Sources of Funds'!I47,'Part III-Sources of Funds'!I48,'Part III-Sources of Funds'!I51:I57)</f>
        <v>110</v>
      </c>
    </row>
    <row r="39" spans="1:11">
      <c r="B39" s="1229"/>
    </row>
    <row r="40" spans="1:11">
      <c r="B40" s="1229"/>
    </row>
    <row r="41" spans="1:11">
      <c r="B41" s="1229"/>
    </row>
    <row r="42" spans="1:11">
      <c r="A42" s="1230" t="s">
        <v>4222</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164037.01839999994</v>
      </c>
      <c r="C44" s="1232">
        <f>+'Part VII-Pro Forma'!C24</f>
        <v>163552.38876799989</v>
      </c>
      <c r="D44" s="1232">
        <f>+'Part VII-Pro Forma'!D24</f>
        <v>162945.21944335994</v>
      </c>
      <c r="E44" s="1232">
        <f>+'Part VII-Pro Forma'!E24</f>
        <v>162209.60201922723</v>
      </c>
      <c r="F44" s="1232">
        <f>+'Part VII-Pro Forma'!F24</f>
        <v>161339.43759222172</v>
      </c>
      <c r="G44" s="1232">
        <f>+'Part VII-Pro Forma'!G24</f>
        <v>160328.43018265456</v>
      </c>
      <c r="H44" s="1232">
        <f>+'Part VII-Pro Forma'!H24</f>
        <v>159171.07994005352</v>
      </c>
      <c r="I44" s="1232">
        <f>+'Part VII-Pro Forma'!I24</f>
        <v>157858.67612721285</v>
      </c>
      <c r="J44" s="1232">
        <f>+'Part VII-Pro Forma'!J24</f>
        <v>156384.28987576632</v>
      </c>
      <c r="K44" s="1232">
        <f>+'Part VII-Pro Forma'!K24</f>
        <v>154742.76670607092</v>
      </c>
    </row>
    <row r="45" spans="1:11">
      <c r="A45" s="1231" t="s">
        <v>4223</v>
      </c>
      <c r="B45" s="1232">
        <f>SUM('Part VII-Pro Forma'!B25:B28)</f>
        <v>-119763.60191377226</v>
      </c>
      <c r="C45" s="1232">
        <f>SUM('Part VII-Pro Forma'!C25:C28)</f>
        <v>-119763.60191377226</v>
      </c>
      <c r="D45" s="1232">
        <f>SUM('Part VII-Pro Forma'!D25:D28)</f>
        <v>-119763.60191377226</v>
      </c>
      <c r="E45" s="1232">
        <f>SUM('Part VII-Pro Forma'!E25:E28)</f>
        <v>-119763.60191377226</v>
      </c>
      <c r="F45" s="1232">
        <f>SUM('Part VII-Pro Forma'!F25:F28)</f>
        <v>-119763.60191377226</v>
      </c>
      <c r="G45" s="1232">
        <f>SUM('Part VII-Pro Forma'!G25:G28)</f>
        <v>-119763.60191377226</v>
      </c>
      <c r="H45" s="1232">
        <f>SUM('Part VII-Pro Forma'!H25:H28)</f>
        <v>-119763.60191377226</v>
      </c>
      <c r="I45" s="1232">
        <f>SUM('Part VII-Pro Forma'!I25:I28)</f>
        <v>-119763.60191377226</v>
      </c>
      <c r="J45" s="1232">
        <f>SUM('Part VII-Pro Forma'!J25:J28)</f>
        <v>-119763.60191377226</v>
      </c>
      <c r="K45" s="1232">
        <f>SUM('Part VII-Pro Forma'!K25:K28)</f>
        <v>-119763.60191377226</v>
      </c>
    </row>
    <row r="46" spans="1:11">
      <c r="A46" s="1231" t="s">
        <v>4224</v>
      </c>
      <c r="B46" s="1233">
        <f t="shared" ref="B46:K46" si="0">-B44/B48-B45</f>
        <v>-16933.913419561024</v>
      </c>
      <c r="C46" s="1233">
        <f t="shared" si="0"/>
        <v>-16530.055392894312</v>
      </c>
      <c r="D46" s="1233">
        <f t="shared" si="0"/>
        <v>-16024.080955694371</v>
      </c>
      <c r="E46" s="1233">
        <f t="shared" si="0"/>
        <v>-15411.06643558378</v>
      </c>
      <c r="F46" s="1233">
        <f t="shared" si="0"/>
        <v>-14685.929413079168</v>
      </c>
      <c r="G46" s="1233">
        <f t="shared" si="0"/>
        <v>-13843.423238439864</v>
      </c>
      <c r="H46" s="1233">
        <f t="shared" si="0"/>
        <v>-12878.964702939003</v>
      </c>
      <c r="I46" s="1233">
        <f t="shared" si="0"/>
        <v>-11785.294858905108</v>
      </c>
      <c r="J46" s="1233">
        <f t="shared" si="0"/>
        <v>-10556.639649366349</v>
      </c>
      <c r="K46" s="1233">
        <f t="shared" si="0"/>
        <v>-9188.7036746201775</v>
      </c>
    </row>
    <row r="48" spans="1:11">
      <c r="A48" s="1231" t="s">
        <v>4225</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164037.01839999994</v>
      </c>
      <c r="C51" s="1233">
        <f t="shared" ref="C51:K51" si="2">+C44</f>
        <v>163552.38876799989</v>
      </c>
      <c r="D51" s="1233">
        <f t="shared" si="2"/>
        <v>162945.21944335994</v>
      </c>
      <c r="E51" s="1233">
        <f t="shared" si="2"/>
        <v>162209.60201922723</v>
      </c>
      <c r="F51" s="1233">
        <f t="shared" si="2"/>
        <v>161339.43759222172</v>
      </c>
      <c r="G51" s="1233">
        <f t="shared" si="2"/>
        <v>160328.43018265456</v>
      </c>
      <c r="H51" s="1233">
        <f t="shared" si="2"/>
        <v>159171.07994005352</v>
      </c>
      <c r="I51" s="1233">
        <f t="shared" si="2"/>
        <v>157858.67612721285</v>
      </c>
      <c r="J51" s="1233">
        <f t="shared" si="2"/>
        <v>156384.28987576632</v>
      </c>
      <c r="K51" s="1233">
        <f t="shared" si="2"/>
        <v>154742.76670607092</v>
      </c>
    </row>
    <row r="52" spans="1:17">
      <c r="A52" s="1231" t="s">
        <v>4226</v>
      </c>
      <c r="B52" s="1233">
        <f>IF($B$25="N/A",B45,B45+$B$25)</f>
        <v>-128952.30558839244</v>
      </c>
      <c r="C52" s="1233">
        <f t="shared" ref="C52:K52" si="3">IF($B$25="N/A",C45,C45+$B$25)</f>
        <v>-128952.30558839244</v>
      </c>
      <c r="D52" s="1233">
        <f t="shared" si="3"/>
        <v>-128952.30558839244</v>
      </c>
      <c r="E52" s="1233">
        <f t="shared" si="3"/>
        <v>-128952.30558839244</v>
      </c>
      <c r="F52" s="1233">
        <f t="shared" si="3"/>
        <v>-128952.30558839244</v>
      </c>
      <c r="G52" s="1233">
        <f t="shared" si="3"/>
        <v>-128952.30558839244</v>
      </c>
      <c r="H52" s="1233">
        <f t="shared" si="3"/>
        <v>-128952.30558839244</v>
      </c>
      <c r="I52" s="1233">
        <f t="shared" si="3"/>
        <v>-128952.30558839244</v>
      </c>
      <c r="J52" s="1233">
        <f t="shared" si="3"/>
        <v>-128952.30558839244</v>
      </c>
      <c r="K52" s="1233">
        <f t="shared" si="3"/>
        <v>-128952.30558839244</v>
      </c>
    </row>
    <row r="53" spans="1:17">
      <c r="A53" s="1231" t="s">
        <v>4227</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4228</v>
      </c>
      <c r="B54" s="1233">
        <f>+SUM(B51:B53)</f>
        <v>30084.712811607504</v>
      </c>
      <c r="C54" s="1233">
        <f t="shared" ref="C54:K54" si="4">+SUM(C51:C53)</f>
        <v>29600.083179607449</v>
      </c>
      <c r="D54" s="1233">
        <f t="shared" si="4"/>
        <v>28992.913854967497</v>
      </c>
      <c r="E54" s="1233">
        <f t="shared" si="4"/>
        <v>28257.296430834787</v>
      </c>
      <c r="F54" s="1233">
        <f t="shared" si="4"/>
        <v>27387.132003829276</v>
      </c>
      <c r="G54" s="1233">
        <f t="shared" si="4"/>
        <v>26376.124594262117</v>
      </c>
      <c r="H54" s="1233">
        <f t="shared" si="4"/>
        <v>25218.774351661079</v>
      </c>
      <c r="I54" s="1233">
        <f t="shared" si="4"/>
        <v>23906.370538820411</v>
      </c>
      <c r="J54" s="1233">
        <f t="shared" si="4"/>
        <v>22431.984287373882</v>
      </c>
      <c r="K54" s="1233">
        <f t="shared" si="4"/>
        <v>20790.461117678482</v>
      </c>
    </row>
    <row r="55" spans="1:17">
      <c r="A55" s="1231" t="s">
        <v>4078</v>
      </c>
      <c r="B55" s="1233">
        <f>-B54</f>
        <v>-30084.712811607504</v>
      </c>
      <c r="C55" s="1233">
        <f t="shared" ref="C55:K55" si="5">-C54</f>
        <v>-29600.083179607449</v>
      </c>
      <c r="D55" s="1233">
        <f t="shared" si="5"/>
        <v>-28992.913854967497</v>
      </c>
      <c r="E55" s="1233">
        <f t="shared" si="5"/>
        <v>-28257.296430834787</v>
      </c>
      <c r="F55" s="1233">
        <f t="shared" si="5"/>
        <v>-27387.132003829276</v>
      </c>
      <c r="G55" s="1233">
        <f t="shared" si="5"/>
        <v>-26376.124594262117</v>
      </c>
      <c r="H55" s="1233">
        <f t="shared" si="5"/>
        <v>-25218.774351661079</v>
      </c>
      <c r="I55" s="1233">
        <f t="shared" si="5"/>
        <v>-23906.370538820411</v>
      </c>
      <c r="J55" s="1233">
        <f t="shared" si="5"/>
        <v>-22431.984287373882</v>
      </c>
      <c r="K55" s="1233">
        <f t="shared" si="5"/>
        <v>-20790.461117678482</v>
      </c>
    </row>
    <row r="56" spans="1:17">
      <c r="A56" s="1231" t="s">
        <v>4229</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4230</v>
      </c>
      <c r="B58" s="1232">
        <f>IF($B$26="","",-FV('Part III-Sources of Funds'!$K$38/12,12,B52/12,B26))</f>
        <v>1325840.2385705307</v>
      </c>
      <c r="C58" s="1232">
        <f>IF($B$26="","",-FV('Part III-Sources of Funds'!$K$38/12,12,C52/12,B58))</f>
        <v>1278409.5479036162</v>
      </c>
      <c r="D58" s="1232">
        <f>IF($B$26="","",-FV('Part III-Sources of Funds'!$K$38/12,12,D52/12,C58))</f>
        <v>1227928.0291449735</v>
      </c>
      <c r="E58" s="1232">
        <f>IF($B$26="","",-FV('Part III-Sources of Funds'!$K$38/12,12,E52/12,D58))</f>
        <v>1174199.4474956903</v>
      </c>
      <c r="F58" s="1232">
        <f>IF($B$26="","",-FV('Part III-Sources of Funds'!$K$38/12,12,F52/12,E58))</f>
        <v>1117014.9459784999</v>
      </c>
      <c r="G58" s="1232">
        <f>IF($B$26="","",-FV('Part III-Sources of Funds'!$K$38/12,12,G52/12,F58))</f>
        <v>1056152.2335563644</v>
      </c>
      <c r="H58" s="1232">
        <f>IF($B$26="","",-FV('Part III-Sources of Funds'!$K$38/12,12,H52/12,G58))</f>
        <v>991374.72102937265</v>
      </c>
      <c r="I58" s="1232">
        <f>IF($B$26="","",-FV('Part III-Sources of Funds'!$K$38/12,12,I52/12,H58))</f>
        <v>922430.60135095939</v>
      </c>
      <c r="J58" s="1232">
        <f>IF($B$26="","",-FV('Part III-Sources of Funds'!$K$38/12,12,J52/12,I58))</f>
        <v>849051.87078839319</v>
      </c>
      <c r="K58" s="1232">
        <f>IF($B$26="","",-FV('Part III-Sources of Funds'!$K$38/12,12,K52/12,J58))</f>
        <v>770953.28712253238</v>
      </c>
    </row>
    <row r="59" spans="1:17">
      <c r="A59" s="1231" t="s">
        <v>4079</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4222</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152924.71880396537</v>
      </c>
      <c r="C64" s="1232">
        <f>+'Part VII-Pro Forma'!C56</f>
        <v>150923.51704673073</v>
      </c>
      <c r="D64" s="1232">
        <f>+'Part VII-Pro Forma'!D56</f>
        <v>148730.28277035238</v>
      </c>
      <c r="E64" s="1232">
        <f>+'Part VII-Pro Forma'!E56</f>
        <v>146335.87926992687</v>
      </c>
      <c r="F64" s="1232">
        <f>+'Part VII-Pro Forma'!F56</f>
        <v>143733.90302481779</v>
      </c>
      <c r="G64" s="1232">
        <f>+'Part VII-Pro Forma'!G56</f>
        <v>140913.67463989119</v>
      </c>
      <c r="H64" s="1232">
        <f>+'Part VII-Pro Forma'!H56</f>
        <v>137865.22949390364</v>
      </c>
      <c r="I64" s="1232">
        <f>+'Part VII-Pro Forma'!I56</f>
        <v>134581.30808583295</v>
      </c>
      <c r="J64" s="1232">
        <f>+'Part VII-Pro Forma'!J56</f>
        <v>131049.34606966193</v>
      </c>
      <c r="K64" s="1232">
        <f>+'Part VII-Pro Forma'!K56</f>
        <v>127260.46396783102</v>
      </c>
    </row>
    <row r="65" spans="1:11">
      <c r="A65" s="1231" t="s">
        <v>4223</v>
      </c>
      <c r="B65" s="1232">
        <f>SUM('Part VII-Pro Forma'!B57:B60)</f>
        <v>-119763.60191377226</v>
      </c>
      <c r="C65" s="1232">
        <f>SUM('Part VII-Pro Forma'!C57:C60)</f>
        <v>-119763.60191377226</v>
      </c>
      <c r="D65" s="1232">
        <f>SUM('Part VII-Pro Forma'!D57:D60)</f>
        <v>-119763.60191377226</v>
      </c>
      <c r="E65" s="1232">
        <f>SUM('Part VII-Pro Forma'!E57:E60)</f>
        <v>-119763.60191377226</v>
      </c>
      <c r="F65" s="1232">
        <f>SUM('Part VII-Pro Forma'!F57:F60)</f>
        <v>-119763.60191377226</v>
      </c>
      <c r="G65" s="1232">
        <f>SUM('Part VII-Pro Forma'!G57:G60)</f>
        <v>-119763.60191377226</v>
      </c>
      <c r="H65" s="1232">
        <f>SUM('Part VII-Pro Forma'!H57:H60)</f>
        <v>-119763.60191377226</v>
      </c>
      <c r="I65" s="1232">
        <f>SUM('Part VII-Pro Forma'!I57:I60)</f>
        <v>-119763.60191377226</v>
      </c>
      <c r="J65" s="1232">
        <f>SUM('Part VII-Pro Forma'!J57:J60)</f>
        <v>-119763.60191377226</v>
      </c>
      <c r="K65" s="1232">
        <f>SUM('Part VII-Pro Forma'!K57:K60)</f>
        <v>-119763.60191377226</v>
      </c>
    </row>
    <row r="66" spans="1:11">
      <c r="A66" s="1231" t="s">
        <v>4224</v>
      </c>
      <c r="B66" s="1233">
        <f t="shared" ref="B66:K66" si="7">-B64/B68-B65</f>
        <v>-7673.66375619889</v>
      </c>
      <c r="C66" s="1233">
        <f t="shared" si="7"/>
        <v>-6005.9956251700205</v>
      </c>
      <c r="D66" s="1233">
        <f t="shared" si="7"/>
        <v>-4178.3003948547266</v>
      </c>
      <c r="E66" s="1233">
        <f t="shared" si="7"/>
        <v>-2182.9641445001325</v>
      </c>
      <c r="F66" s="1233">
        <f t="shared" si="7"/>
        <v>-14.650606909228372</v>
      </c>
      <c r="G66" s="1233">
        <f t="shared" si="7"/>
        <v>2335.5397138629341</v>
      </c>
      <c r="H66" s="1233">
        <f t="shared" si="7"/>
        <v>4875.9106688525644</v>
      </c>
      <c r="I66" s="1233">
        <f t="shared" si="7"/>
        <v>7612.5118422447995</v>
      </c>
      <c r="J66" s="1233">
        <f t="shared" si="7"/>
        <v>10555.813522387311</v>
      </c>
      <c r="K66" s="1233">
        <f t="shared" si="7"/>
        <v>13713.215273913069</v>
      </c>
    </row>
    <row r="68" spans="1:11">
      <c r="A68" s="1231" t="s">
        <v>4225</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152924.71880396537</v>
      </c>
      <c r="C71" s="1233">
        <f t="shared" si="9"/>
        <v>150923.51704673073</v>
      </c>
      <c r="D71" s="1233">
        <f t="shared" si="9"/>
        <v>148730.28277035238</v>
      </c>
      <c r="E71" s="1233">
        <f t="shared" si="9"/>
        <v>146335.87926992687</v>
      </c>
      <c r="F71" s="1233">
        <f t="shared" si="9"/>
        <v>143733.90302481779</v>
      </c>
      <c r="G71" s="1233">
        <f t="shared" si="9"/>
        <v>140913.67463989119</v>
      </c>
      <c r="H71" s="1233">
        <f>+H64</f>
        <v>137865.22949390364</v>
      </c>
      <c r="I71" s="1233">
        <f>+I64</f>
        <v>134581.30808583295</v>
      </c>
      <c r="J71" s="1233">
        <f>+J64</f>
        <v>131049.34606966193</v>
      </c>
      <c r="K71" s="1233">
        <f>+K64</f>
        <v>127260.46396783102</v>
      </c>
    </row>
    <row r="72" spans="1:11">
      <c r="A72" s="1231" t="s">
        <v>4226</v>
      </c>
      <c r="B72" s="1233">
        <f t="shared" ref="B72:G72" si="10">IF($B$25="N/A",B65,B65+$B$25)</f>
        <v>-128952.30558839244</v>
      </c>
      <c r="C72" s="1233">
        <f t="shared" si="10"/>
        <v>-128952.30558839244</v>
      </c>
      <c r="D72" s="1233">
        <f t="shared" si="10"/>
        <v>-128952.30558839244</v>
      </c>
      <c r="E72" s="1233">
        <f t="shared" si="10"/>
        <v>-128952.30558839244</v>
      </c>
      <c r="F72" s="1233">
        <f t="shared" si="10"/>
        <v>-128952.30558839244</v>
      </c>
      <c r="G72" s="1233">
        <f t="shared" si="10"/>
        <v>-128952.30558839244</v>
      </c>
      <c r="H72" s="1233">
        <f>IF($B$25="N/A",H65,H65+$B$25)</f>
        <v>-128952.30558839244</v>
      </c>
      <c r="I72" s="1233">
        <f>IF($B$25="N/A",I65,I65+$B$25)</f>
        <v>-128952.30558839244</v>
      </c>
      <c r="J72" s="1233">
        <f>IF($B$25="N/A",J65,J65+$B$25)</f>
        <v>-128952.30558839244</v>
      </c>
      <c r="K72" s="1233">
        <f>IF($B$25="N/A",K65,K65+$B$25)</f>
        <v>-128952.30558839244</v>
      </c>
    </row>
    <row r="73" spans="1:11">
      <c r="A73" s="1231" t="s">
        <v>4227</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4228</v>
      </c>
      <c r="B74" s="1233">
        <f t="shared" ref="B74:G74" si="11">+SUM(B71:B73)</f>
        <v>18972.413215572931</v>
      </c>
      <c r="C74" s="1233">
        <f t="shared" si="11"/>
        <v>16971.211458338294</v>
      </c>
      <c r="D74" s="1233">
        <f t="shared" si="11"/>
        <v>14777.977181959941</v>
      </c>
      <c r="E74" s="1233">
        <f t="shared" si="11"/>
        <v>12383.573681534428</v>
      </c>
      <c r="F74" s="1233">
        <f t="shared" si="11"/>
        <v>9781.5974364253489</v>
      </c>
      <c r="G74" s="1233">
        <f t="shared" si="11"/>
        <v>6961.3690514987538</v>
      </c>
      <c r="H74" s="1233">
        <f>+SUM(H71:H73)</f>
        <v>3912.9239055111975</v>
      </c>
      <c r="I74" s="1233">
        <f>+SUM(I71:I73)</f>
        <v>629.00249744050961</v>
      </c>
      <c r="J74" s="1233">
        <f>+SUM(J71:J73)</f>
        <v>-2902.9595187305094</v>
      </c>
      <c r="K74" s="1233">
        <f>+SUM(K71:K73)</f>
        <v>-6691.8416205614194</v>
      </c>
    </row>
    <row r="75" spans="1:11">
      <c r="A75" s="1231" t="s">
        <v>4078</v>
      </c>
      <c r="B75" s="1233">
        <f t="shared" ref="B75:G75" si="12">-B74</f>
        <v>-18972.413215572931</v>
      </c>
      <c r="C75" s="1233">
        <f t="shared" si="12"/>
        <v>-16971.211458338294</v>
      </c>
      <c r="D75" s="1233">
        <f t="shared" si="12"/>
        <v>-14777.977181959941</v>
      </c>
      <c r="E75" s="1233">
        <f t="shared" si="12"/>
        <v>-12383.573681534428</v>
      </c>
      <c r="F75" s="1233">
        <f t="shared" si="12"/>
        <v>-9781.5974364253489</v>
      </c>
      <c r="G75" s="1233">
        <f t="shared" si="12"/>
        <v>-6961.3690514987538</v>
      </c>
      <c r="H75" s="1233">
        <f>-H74</f>
        <v>-3912.9239055111975</v>
      </c>
      <c r="I75" s="1233">
        <f>-I74</f>
        <v>-629.00249744050961</v>
      </c>
      <c r="J75" s="1233">
        <f>-J74</f>
        <v>2902.9595187305094</v>
      </c>
      <c r="K75" s="1233">
        <f>-K74</f>
        <v>6691.8416205614194</v>
      </c>
    </row>
    <row r="76" spans="1:11">
      <c r="A76" s="1231" t="s">
        <v>4229</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4230</v>
      </c>
      <c r="B78" s="1232">
        <f>IF($B$26="","",-FV('Part III-Sources of Funds'!$K$38/12,12,B72/12,K58))</f>
        <v>687831.26083709765</v>
      </c>
      <c r="C78" s="1232">
        <f>IF($B$26="","",-FV('Part III-Sources of Funds'!$K$38/12,12,C72/12,B78))</f>
        <v>599362.67498722707</v>
      </c>
      <c r="D78" s="1232">
        <f>IF($B$26="","",-FV('Part III-Sources of Funds'!$K$38/12,12,D72/12,C78))</f>
        <v>505203.62915983528</v>
      </c>
      <c r="E78" s="1232">
        <f>IF($B$26="","",-FV('Part III-Sources of Funds'!$K$38/12,12,E72/12,D78))</f>
        <v>404988.10264322325</v>
      </c>
      <c r="F78" s="1232">
        <f>IF($B$26="","",-FV('Part III-Sources of Funds'!$K$38/12,12,F72/12,E78))</f>
        <v>298326.53160933207</v>
      </c>
      <c r="G78" s="1232">
        <f>IF($B$26="","",-FV('Part III-Sources of Funds'!$K$38/12,12,G72/12,F78))</f>
        <v>184804.29477777702</v>
      </c>
      <c r="H78" s="1232">
        <f>IF($B$26="","",-FV('Part III-Sources of Funds'!$K$38/12,12,H72/12,G78))</f>
        <v>63980.1016750446</v>
      </c>
      <c r="I78" s="1232">
        <f>IF($B$26="","",-FV('Part III-Sources of Funds'!$K$38/12,12,I72/12,H78))</f>
        <v>-64615.722776403491</v>
      </c>
      <c r="J78" s="1232">
        <f>IF($B$26="","",-FV('Part III-Sources of Funds'!$K$38/12,12,J72/12,I78))</f>
        <v>-201483.06400736823</v>
      </c>
      <c r="K78" s="1232">
        <f>IF($B$26="","",-FV('Part III-Sources of Funds'!$K$38/12,12,K72/12,J78))</f>
        <v>-347153.96098665503</v>
      </c>
    </row>
    <row r="79" spans="1:11">
      <c r="A79" s="1231" t="s">
        <v>4079</v>
      </c>
    </row>
    <row r="82" spans="1:2">
      <c r="A82" s="1231" t="s">
        <v>4231</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64" t="s">
        <v>2913</v>
      </c>
      <c r="B1" s="4064"/>
      <c r="C1" s="4064"/>
      <c r="D1" s="4064"/>
      <c r="E1" s="4064"/>
      <c r="F1" s="4064"/>
      <c r="G1" s="4064"/>
      <c r="H1" s="4064"/>
      <c r="I1" s="4064"/>
      <c r="J1" s="4064"/>
    </row>
    <row r="2" spans="1:16" ht="15.6">
      <c r="A2" s="4064" t="str">
        <f>Overview!C8</f>
        <v>Brennan Place</v>
      </c>
      <c r="B2" s="4064"/>
      <c r="C2" s="4064"/>
      <c r="D2" s="4064"/>
      <c r="E2" s="4064"/>
      <c r="F2" s="4064"/>
      <c r="G2" s="4064"/>
      <c r="H2" s="4064"/>
      <c r="I2" s="4064"/>
      <c r="J2" s="4064"/>
    </row>
    <row r="3" spans="1:16" ht="15.6">
      <c r="A3" s="4064" t="str">
        <f>'Subsidy Layering Memo'!F14</f>
        <v>Columbus, Muscogee</v>
      </c>
      <c r="B3" s="4064"/>
      <c r="C3" s="4064"/>
      <c r="D3" s="4064"/>
      <c r="E3" s="4064"/>
      <c r="F3" s="4064"/>
      <c r="G3" s="4064"/>
      <c r="H3" s="4064"/>
      <c r="I3" s="4064"/>
      <c r="J3" s="4064"/>
    </row>
    <row r="4" spans="1:16" ht="15.6">
      <c r="A4" s="4065" t="s">
        <v>2914</v>
      </c>
      <c r="B4" s="4064"/>
      <c r="C4" s="4064"/>
      <c r="D4" s="4064"/>
      <c r="E4" s="4064"/>
      <c r="F4" s="4064"/>
      <c r="G4" s="4064"/>
      <c r="H4" s="4064"/>
      <c r="I4" s="4064"/>
      <c r="J4" s="4064"/>
    </row>
    <row r="5" spans="1:16" ht="5.25" customHeight="1"/>
    <row r="6" spans="1:16" ht="5.25" customHeight="1"/>
    <row r="7" spans="1:16" ht="15.6">
      <c r="A7" s="4066" t="s">
        <v>2915</v>
      </c>
      <c r="B7" s="4066"/>
      <c r="C7" s="4067"/>
      <c r="M7" s="4058"/>
      <c r="N7" s="4058"/>
      <c r="O7" s="4058"/>
      <c r="P7" s="4058"/>
    </row>
    <row r="8" spans="1:16" ht="57" customHeight="1">
      <c r="A8" s="4059" t="s">
        <v>5060</v>
      </c>
      <c r="B8" s="4059"/>
      <c r="C8" s="4059"/>
      <c r="D8" s="4059"/>
      <c r="E8" s="4059"/>
      <c r="F8" s="4059"/>
      <c r="G8" s="4059"/>
      <c r="H8" s="4059"/>
      <c r="I8" s="4059"/>
      <c r="J8" s="4059"/>
      <c r="K8" s="641"/>
    </row>
    <row r="9" spans="1:16" ht="45.75" customHeight="1">
      <c r="A9" s="405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Columbus, Muscogee County, Georgia, with the development of 72 units (UNIT DESCRIPTION) set aside for Family.</v>
      </c>
      <c r="B9" s="4059"/>
      <c r="C9" s="4059"/>
      <c r="D9" s="4059"/>
      <c r="E9" s="4059"/>
      <c r="F9" s="4059"/>
      <c r="G9" s="4059"/>
      <c r="H9" s="4059"/>
      <c r="I9" s="4059"/>
      <c r="J9" s="4059"/>
      <c r="K9" s="641"/>
    </row>
    <row r="10" spans="1:16" ht="15.6">
      <c r="A10" s="642" t="s">
        <v>2916</v>
      </c>
    </row>
    <row r="11" spans="1:16" ht="16.5" customHeight="1">
      <c r="A11" s="4059" t="str">
        <f>'Subsidy Layering Memo'!A44</f>
        <v xml:space="preserve">Ownership entity:  (NAME) LP, a Georgia Limited Partnership, will be the ownership entity for the proposed project. </v>
      </c>
      <c r="B11" s="4061"/>
      <c r="C11" s="4061"/>
      <c r="D11" s="4061"/>
      <c r="E11" s="4061"/>
      <c r="F11" s="4061"/>
      <c r="G11" s="4061"/>
      <c r="H11" s="4061"/>
      <c r="I11" s="4061"/>
      <c r="J11" s="4059"/>
    </row>
    <row r="12" spans="1:16" ht="63.75" customHeight="1">
      <c r="A12" s="4059" t="s">
        <v>2946</v>
      </c>
      <c r="B12" s="4059"/>
      <c r="C12" s="4059"/>
      <c r="D12" s="4059"/>
      <c r="E12" s="4059"/>
      <c r="F12" s="4059"/>
      <c r="G12" s="4059"/>
      <c r="H12" s="4059"/>
      <c r="I12" s="4059"/>
      <c r="J12" s="4059"/>
    </row>
    <row r="13" spans="1:16" ht="48.75" customHeight="1">
      <c r="A13" s="4059" t="s">
        <v>2947</v>
      </c>
      <c r="B13" s="4059"/>
      <c r="C13" s="4059"/>
      <c r="D13" s="4059"/>
      <c r="E13" s="4059"/>
      <c r="F13" s="4059"/>
      <c r="G13" s="4059"/>
      <c r="H13" s="4059"/>
      <c r="I13" s="4059"/>
      <c r="J13" s="4059"/>
    </row>
    <row r="14" spans="1:16" ht="15.6">
      <c r="A14" s="642" t="s">
        <v>2917</v>
      </c>
      <c r="B14" s="643"/>
    </row>
    <row r="15" spans="1:16">
      <c r="A15" s="640" t="s">
        <v>2918</v>
      </c>
      <c r="D15" s="2226" t="s">
        <v>2919</v>
      </c>
    </row>
    <row r="16" spans="1:16">
      <c r="A16" s="640" t="s">
        <v>2920</v>
      </c>
      <c r="D16" s="2224">
        <f>Overview!C25</f>
        <v>1700000</v>
      </c>
    </row>
    <row r="17" spans="1:11">
      <c r="A17" s="644" t="s">
        <v>2921</v>
      </c>
      <c r="D17" s="2225">
        <f>Overview!C13</f>
        <v>72</v>
      </c>
    </row>
    <row r="18" spans="1:11" ht="14.25" customHeight="1"/>
    <row r="19" spans="1:11" ht="15.6">
      <c r="A19" s="642" t="s">
        <v>2922</v>
      </c>
      <c r="B19" s="643"/>
      <c r="C19" s="643"/>
    </row>
    <row r="20" spans="1:11" ht="48.75" customHeight="1">
      <c r="A20" s="4062" t="s">
        <v>2949</v>
      </c>
      <c r="B20" s="4062"/>
      <c r="C20" s="4062"/>
      <c r="D20" s="4062"/>
      <c r="E20" s="4062"/>
      <c r="F20" s="4062"/>
      <c r="G20" s="4062"/>
      <c r="H20" s="4062"/>
      <c r="I20" s="4062"/>
      <c r="J20" s="4062"/>
    </row>
    <row r="21" spans="1:11" ht="72.75" customHeight="1">
      <c r="A21" s="4059" t="s">
        <v>5059</v>
      </c>
      <c r="B21" s="4059"/>
      <c r="C21" s="4059"/>
      <c r="D21" s="4059"/>
      <c r="E21" s="4059"/>
      <c r="F21" s="4059"/>
      <c r="G21" s="4059"/>
      <c r="H21" s="4059"/>
      <c r="I21" s="4059"/>
      <c r="J21" s="4059"/>
    </row>
    <row r="22" spans="1:11" ht="15.6">
      <c r="A22" s="642" t="s">
        <v>2923</v>
      </c>
      <c r="B22" s="643"/>
      <c r="C22" s="643"/>
      <c r="D22" s="643"/>
      <c r="E22" s="643"/>
      <c r="F22" s="643"/>
    </row>
    <row r="23" spans="1:11" ht="102.75" customHeight="1">
      <c r="A23" s="4063" t="s">
        <v>2942</v>
      </c>
      <c r="B23" s="4063"/>
      <c r="C23" s="4063"/>
      <c r="D23" s="4063"/>
      <c r="E23" s="4063"/>
      <c r="F23" s="4063"/>
      <c r="G23" s="4063"/>
      <c r="H23" s="4063"/>
      <c r="I23" s="4063"/>
      <c r="J23" s="4063"/>
      <c r="K23" s="1862"/>
    </row>
    <row r="24" spans="1:11" ht="15" customHeight="1">
      <c r="A24" s="4060"/>
      <c r="B24" s="4060"/>
      <c r="C24" s="4060"/>
      <c r="D24" s="4060"/>
      <c r="E24" s="4060"/>
      <c r="F24" s="4060"/>
      <c r="G24" s="4060"/>
      <c r="H24" s="4060"/>
      <c r="I24" s="4060"/>
      <c r="J24" s="4060"/>
      <c r="K24" s="640" t="s">
        <v>243</v>
      </c>
    </row>
    <row r="25" spans="1:11" ht="15" customHeight="1">
      <c r="B25" s="1861"/>
      <c r="C25" s="1861"/>
      <c r="D25" s="1861"/>
      <c r="E25" s="1861"/>
      <c r="F25" s="1861"/>
      <c r="G25" s="1861"/>
      <c r="H25" s="1861"/>
      <c r="I25" s="1861" t="s">
        <v>243</v>
      </c>
      <c r="J25" s="1861"/>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2985</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2019-042  Brennan Place</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406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9"/>
      <c r="J7" s="4069"/>
      <c r="K7" s="4069"/>
      <c r="L7" s="640"/>
      <c r="M7" s="640"/>
    </row>
    <row r="8" spans="1:14" ht="15.6">
      <c r="A8" s="643" t="s">
        <v>2987</v>
      </c>
      <c r="B8" s="643"/>
      <c r="C8" s="4069" t="str">
        <f>'Part I-Project Information'!F34</f>
        <v>Brennan Place</v>
      </c>
      <c r="D8" s="4069"/>
      <c r="E8" s="1863" t="str">
        <f>'Part I-Project Information'!O6</f>
        <v>2019-042</v>
      </c>
      <c r="F8" s="679" t="s">
        <v>2988</v>
      </c>
      <c r="G8" s="678"/>
      <c r="H8" s="4069" t="str">
        <f>CONCATENATE('Part I-Project Information'!F38,", ",'Part I-Project Information'!J39)</f>
        <v>Columbus, Muscogee</v>
      </c>
      <c r="I8" s="4069"/>
      <c r="J8" s="4069"/>
      <c r="K8" s="4069"/>
      <c r="L8" s="640"/>
      <c r="M8" s="680"/>
    </row>
    <row r="9" spans="1:14" ht="15.6">
      <c r="A9" s="643" t="s">
        <v>2990</v>
      </c>
      <c r="B9" s="643"/>
      <c r="C9" s="4069" t="s">
        <v>1771</v>
      </c>
      <c r="D9" s="4069"/>
      <c r="E9" s="678"/>
      <c r="F9" s="679" t="s">
        <v>2991</v>
      </c>
      <c r="G9" s="678"/>
      <c r="H9" s="4069" t="str">
        <f>'Part II-Development Team'!H5</f>
        <v>Brennan Place, LP</v>
      </c>
      <c r="I9" s="4069"/>
      <c r="J9" s="4069"/>
      <c r="K9" s="4069"/>
      <c r="L9" s="4069"/>
      <c r="M9" s="680"/>
    </row>
    <row r="10" spans="1:14" ht="15.6">
      <c r="A10" s="643" t="s">
        <v>2993</v>
      </c>
      <c r="B10" s="640"/>
      <c r="C10" s="1863" t="str">
        <f>'Part II-Development Team'!H14</f>
        <v>Columbus GP, LLC</v>
      </c>
      <c r="D10" s="678"/>
      <c r="E10" s="678"/>
      <c r="F10" s="679" t="s">
        <v>3560</v>
      </c>
      <c r="G10" s="678"/>
      <c r="H10" s="4069" t="str">
        <f>'Part II-Development Team'!H33</f>
        <v>Affordable Equity Partners, Inc</v>
      </c>
      <c r="I10" s="4069"/>
      <c r="J10" s="4069"/>
      <c r="K10" s="4069" t="str">
        <f>'Part II-Development Team'!H39</f>
        <v>Affordable Equity Partners, Inc</v>
      </c>
      <c r="L10" s="4069"/>
    </row>
    <row r="11" spans="1:14" ht="15.6">
      <c r="A11" s="643" t="s">
        <v>2994</v>
      </c>
      <c r="B11" s="640"/>
      <c r="C11" s="1863" t="str">
        <f>IF('Part II-Development Team'!H20="","",'Part II-Development Team'!H20)</f>
        <v/>
      </c>
      <c r="D11" s="678"/>
      <c r="E11" s="1246" t="str">
        <f>IF('Part II-Development Team'!H26="","",'Part II-Development Team'!H26)</f>
        <v/>
      </c>
      <c r="F11" s="679" t="s">
        <v>652</v>
      </c>
      <c r="G11" s="678"/>
      <c r="H11" s="4069" t="str">
        <f>'Part II-Development Team'!H54</f>
        <v>Main Street Homes, LLC</v>
      </c>
      <c r="I11" s="4069"/>
      <c r="J11" s="4069"/>
      <c r="K11" s="4069">
        <f>'Part II-Development Team'!H60</f>
        <v>0</v>
      </c>
      <c r="L11" s="4069"/>
      <c r="M11" s="4069">
        <f>'Part II-Development Team'!H66</f>
        <v>0</v>
      </c>
      <c r="N11" s="4069"/>
    </row>
    <row r="12" spans="1:14" ht="15.6">
      <c r="A12" s="643" t="s">
        <v>2995</v>
      </c>
      <c r="B12" s="640"/>
      <c r="C12" s="1863" t="str">
        <f>'Part II-Development Team'!H86</f>
        <v>Fairway Construction Company, Inc</v>
      </c>
      <c r="D12" s="678"/>
      <c r="E12" s="678"/>
      <c r="F12" s="679" t="s">
        <v>2996</v>
      </c>
      <c r="G12" s="678"/>
      <c r="H12" s="4069" t="str">
        <f>'Part II-Development Team'!H92</f>
        <v>Fairway Management Co., Inc</v>
      </c>
      <c r="I12" s="4069"/>
      <c r="J12" s="4069"/>
      <c r="K12" s="4069"/>
      <c r="L12" s="640"/>
      <c r="M12" s="640"/>
    </row>
    <row r="13" spans="1:14" ht="15.6">
      <c r="A13" s="643" t="s">
        <v>2997</v>
      </c>
      <c r="B13" s="679"/>
      <c r="C13" s="639">
        <f>'Part VI-Revenues &amp; Expenses'!$O$67</f>
        <v>72</v>
      </c>
      <c r="E13" s="1247">
        <f>'Part VI-Revenues &amp; Expenses'!$O$63</f>
        <v>63</v>
      </c>
      <c r="F13" s="679" t="s">
        <v>4238</v>
      </c>
      <c r="G13" s="678"/>
      <c r="H13" s="1864">
        <f>'Part I-Project Information'!H76</f>
        <v>4</v>
      </c>
      <c r="I13" s="1248"/>
      <c r="J13" s="1248"/>
      <c r="K13" s="1864">
        <f>'Part I-Project Information'!P75</f>
        <v>73468</v>
      </c>
      <c r="L13" s="640"/>
      <c r="M13" s="640"/>
    </row>
    <row r="14" spans="1:14" ht="15.6">
      <c r="A14" s="643" t="s">
        <v>3305</v>
      </c>
      <c r="B14" s="640"/>
      <c r="C14" s="1864" t="str">
        <f>'Part I-Project Information'!H82</f>
        <v>Family</v>
      </c>
      <c r="D14" s="4069" t="str">
        <f>IF('Part I-Project Information'!N74=0,"",'Part I-Project Information'!N74)</f>
        <v/>
      </c>
      <c r="E14" s="4069"/>
      <c r="F14" s="679" t="s">
        <v>2998</v>
      </c>
      <c r="G14" s="678"/>
      <c r="H14" s="4074" t="s">
        <v>3499</v>
      </c>
      <c r="I14" s="4074"/>
      <c r="J14" s="4074"/>
      <c r="K14" s="4074" t="s">
        <v>3499</v>
      </c>
      <c r="L14" s="4074"/>
      <c r="M14" s="640"/>
    </row>
    <row r="15" spans="1:14" ht="15.6">
      <c r="A15" s="643" t="s">
        <v>2999</v>
      </c>
      <c r="B15" s="640"/>
      <c r="C15" s="681" t="s">
        <v>1771</v>
      </c>
      <c r="D15" s="678"/>
      <c r="E15" s="678"/>
      <c r="F15" s="679" t="s">
        <v>3306</v>
      </c>
      <c r="G15" s="678"/>
      <c r="H15" s="1863" t="str">
        <f>'Part I-Project Information'!K40</f>
        <v>Urban</v>
      </c>
      <c r="I15" s="678"/>
      <c r="J15" s="678"/>
      <c r="K15" s="678"/>
      <c r="L15" s="640"/>
      <c r="M15" s="640"/>
    </row>
    <row r="16" spans="1:14" ht="15.6">
      <c r="A16" s="643" t="s">
        <v>3533</v>
      </c>
      <c r="B16" s="640"/>
      <c r="C16" s="1863" t="str">
        <f>'Part I-Project Information'!H100</f>
        <v>No</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6">
        <f>'Part IV-A-Uses of Funds'!G132</f>
        <v>14176065</v>
      </c>
      <c r="D18" s="1293">
        <f>IF(C18=0,"",$C$29/C18)</f>
        <v>0.11992044336704157</v>
      </c>
      <c r="E18" s="678" t="s">
        <v>3309</v>
      </c>
      <c r="F18" s="679" t="s">
        <v>3310</v>
      </c>
      <c r="G18" s="678"/>
      <c r="H18" s="4068">
        <f>'Part IV-A-Uses of Funds'!B44</f>
        <v>9493509</v>
      </c>
      <c r="I18" s="4068"/>
      <c r="J18" s="1292">
        <f>IF(H18=0,"",$C$29/H18)</f>
        <v>0.1790697201635349</v>
      </c>
      <c r="K18" s="4069" t="s">
        <v>3311</v>
      </c>
      <c r="L18" s="4069"/>
      <c r="M18" s="640"/>
    </row>
    <row r="19" spans="1:13" ht="15.6">
      <c r="A19" s="643" t="s">
        <v>3000</v>
      </c>
      <c r="B19" s="640"/>
      <c r="C19" s="1865">
        <f>C18/C13</f>
        <v>196889.79166666666</v>
      </c>
      <c r="D19" s="678"/>
      <c r="E19" s="640"/>
      <c r="F19" s="643" t="s">
        <v>3000</v>
      </c>
      <c r="G19" s="640"/>
      <c r="H19" s="4070">
        <f>H18/C13</f>
        <v>131854.29166666666</v>
      </c>
      <c r="I19" s="4070"/>
      <c r="J19" s="640"/>
      <c r="K19" s="640"/>
      <c r="L19" s="640"/>
      <c r="M19" s="640"/>
    </row>
    <row r="20" spans="1:13" ht="15.6">
      <c r="A20" s="643" t="s">
        <v>3001</v>
      </c>
      <c r="B20" s="640"/>
      <c r="C20" s="1867">
        <f>C18/K13</f>
        <v>192.95564055098819</v>
      </c>
      <c r="D20" s="683"/>
      <c r="E20" s="684"/>
      <c r="F20" s="643" t="s">
        <v>3001</v>
      </c>
      <c r="G20" s="640"/>
      <c r="H20" s="4071">
        <f>H18/K13</f>
        <v>129.21964664888114</v>
      </c>
      <c r="I20" s="4070"/>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t="str">
        <f>'Part III-Sources of Funds'!E38</f>
        <v>Sterling Bank</v>
      </c>
      <c r="C25" s="690">
        <f>'Part III-Sources of Funds'!I38</f>
        <v>1700000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1700000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12398300</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1" t="s">
        <v>3014</v>
      </c>
      <c r="H33" s="1251"/>
      <c r="I33" s="1251"/>
      <c r="K33" s="692" t="e">
        <f>$C$29/K32</f>
        <v>#DIV/0!</v>
      </c>
      <c r="L33" s="678"/>
      <c r="M33" s="699"/>
    </row>
    <row r="34" spans="1:13" ht="15.6">
      <c r="A34" s="640"/>
      <c r="B34" s="693" t="s">
        <v>3015</v>
      </c>
      <c r="C34" s="698">
        <f>SUM(C31:C32)</f>
        <v>0</v>
      </c>
      <c r="D34" s="640"/>
      <c r="E34" s="640"/>
      <c r="F34" s="640"/>
      <c r="G34" s="640"/>
      <c r="H34" s="640"/>
      <c r="I34" s="640"/>
      <c r="K34" s="678"/>
      <c r="L34" s="640"/>
      <c r="M34" s="699"/>
    </row>
    <row r="35" spans="1:13" ht="15.6">
      <c r="A35" s="640"/>
      <c r="B35" s="693"/>
      <c r="C35" s="640"/>
      <c r="D35" s="640"/>
      <c r="E35" s="640"/>
      <c r="F35" s="640"/>
      <c r="G35" s="1251" t="s">
        <v>3016</v>
      </c>
      <c r="H35" s="1251"/>
      <c r="I35" s="1251"/>
      <c r="K35" s="700" t="e">
        <f>(C36)/K25</f>
        <v>#DIV/0!</v>
      </c>
      <c r="L35" s="640"/>
      <c r="M35" s="678"/>
    </row>
    <row r="36" spans="1:13" ht="15.6">
      <c r="A36" s="640"/>
      <c r="B36" s="693" t="s">
        <v>3017</v>
      </c>
      <c r="C36" s="698">
        <f>C29+C34</f>
        <v>1700000</v>
      </c>
      <c r="D36" s="640"/>
      <c r="E36" s="640"/>
      <c r="F36" s="640"/>
      <c r="G36" s="640"/>
      <c r="H36" s="640"/>
      <c r="I36" s="640"/>
      <c r="K36" s="678"/>
      <c r="L36" s="640"/>
      <c r="M36" s="678"/>
    </row>
    <row r="37" spans="1:13" ht="15.6">
      <c r="A37" s="640"/>
      <c r="B37" s="693"/>
      <c r="C37" s="701"/>
      <c r="D37" s="640"/>
      <c r="E37" s="640"/>
      <c r="F37" s="640"/>
      <c r="G37" s="1251" t="s">
        <v>3018</v>
      </c>
      <c r="H37" s="1251"/>
      <c r="I37" s="1251"/>
      <c r="K37" s="1252" t="e">
        <f>+(C36)/K32</f>
        <v>#DIV/0!</v>
      </c>
      <c r="L37" s="640"/>
      <c r="M37" s="699"/>
    </row>
    <row r="38" spans="1:13" ht="15.6">
      <c r="A38" s="640"/>
      <c r="B38" s="693" t="s">
        <v>3019</v>
      </c>
      <c r="C38" s="702">
        <f>C36/C18</f>
        <v>0.11992044336704157</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0.1790697201635349</v>
      </c>
      <c r="D40" s="640"/>
      <c r="E40" s="640"/>
      <c r="F40" s="643"/>
      <c r="G40" s="643" t="s">
        <v>3021</v>
      </c>
      <c r="H40" s="640"/>
      <c r="I40" s="640"/>
      <c r="K40" s="692">
        <f>C30/C18</f>
        <v>0.87459390176328899</v>
      </c>
      <c r="L40" s="640"/>
      <c r="M40" s="640"/>
    </row>
    <row r="46" spans="1:13" ht="15.6">
      <c r="A46" s="703" t="s">
        <v>3022</v>
      </c>
      <c r="B46" s="673"/>
      <c r="C46" s="673"/>
      <c r="D46" s="673"/>
      <c r="E46" s="673"/>
      <c r="F46" s="673"/>
      <c r="G46" s="673"/>
      <c r="H46" s="673"/>
      <c r="I46" s="673"/>
      <c r="J46" s="673"/>
      <c r="K46" s="673"/>
      <c r="L46" s="673"/>
      <c r="M46" s="640"/>
    </row>
    <row r="47" spans="1:13" ht="15.6">
      <c r="A47" s="703" t="str">
        <f>C8</f>
        <v>Brennan Place</v>
      </c>
      <c r="B47" s="673"/>
      <c r="C47" s="673"/>
      <c r="D47" s="673"/>
      <c r="E47" s="673"/>
      <c r="F47" s="673"/>
      <c r="G47" s="673"/>
      <c r="H47" s="673"/>
      <c r="I47" s="673"/>
      <c r="J47" s="673"/>
      <c r="K47" s="673"/>
      <c r="L47" s="673"/>
      <c r="M47" s="640"/>
    </row>
    <row r="50" spans="1:14" s="640" customFormat="1" ht="15.6">
      <c r="A50" s="643" t="s">
        <v>3023</v>
      </c>
      <c r="C50" s="704" t="s">
        <v>3024</v>
      </c>
      <c r="E50" s="705" t="s">
        <v>3500</v>
      </c>
      <c r="F50" s="706">
        <v>0.1</v>
      </c>
      <c r="G50" s="705" t="s">
        <v>3501</v>
      </c>
      <c r="H50" s="706">
        <v>0.05</v>
      </c>
      <c r="I50" s="705" t="s">
        <v>3502</v>
      </c>
      <c r="J50" s="706">
        <v>0.03</v>
      </c>
      <c r="K50" s="4072" t="s">
        <v>3025</v>
      </c>
      <c r="L50" s="4073"/>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569844</v>
      </c>
      <c r="D52" s="709"/>
      <c r="E52" s="709">
        <f>$C$52</f>
        <v>569844</v>
      </c>
      <c r="F52" s="709"/>
      <c r="G52" s="709">
        <f>$C$52</f>
        <v>569844</v>
      </c>
      <c r="H52" s="709"/>
      <c r="I52" s="709">
        <f>$C$52</f>
        <v>569844</v>
      </c>
      <c r="J52" s="709"/>
      <c r="K52" s="709">
        <f>$C$52</f>
        <v>569844</v>
      </c>
      <c r="L52" s="710"/>
      <c r="M52" s="26"/>
      <c r="N52" s="26"/>
    </row>
    <row r="53" spans="1:14" s="640" customFormat="1" ht="18.75" customHeight="1">
      <c r="B53" s="708" t="s">
        <v>3029</v>
      </c>
      <c r="C53" s="709">
        <f>'Part VII-Pro Forma'!B15</f>
        <v>11396.880000000001</v>
      </c>
      <c r="D53" s="709"/>
      <c r="E53" s="709">
        <f>$C$53</f>
        <v>11396.880000000001</v>
      </c>
      <c r="F53" s="709"/>
      <c r="G53" s="709">
        <f>$C$53</f>
        <v>11396.880000000001</v>
      </c>
      <c r="H53" s="709"/>
      <c r="I53" s="709">
        <f>$C$53</f>
        <v>11396.880000000001</v>
      </c>
      <c r="J53" s="709"/>
      <c r="K53" s="709">
        <f>$C$53</f>
        <v>11396.880000000001</v>
      </c>
      <c r="L53" s="710"/>
      <c r="M53" s="26"/>
      <c r="N53" s="26"/>
    </row>
    <row r="54" spans="1:14" s="640" customFormat="1" ht="18.75" customHeight="1">
      <c r="B54" s="708" t="s">
        <v>3027</v>
      </c>
      <c r="C54" s="709">
        <f>'Part VII-Pro Forma'!B16</f>
        <v>-40686.861600000004</v>
      </c>
      <c r="D54" s="709"/>
      <c r="E54" s="709">
        <f>-($C$52+E53)*F50</f>
        <v>-58124.088000000003</v>
      </c>
      <c r="F54" s="711"/>
      <c r="G54" s="709">
        <f>-($C$52+G53)*0.07</f>
        <v>-40686.861600000004</v>
      </c>
      <c r="H54" s="709"/>
      <c r="I54" s="709">
        <f>-($C$52+I53)*0.07</f>
        <v>-40686.861600000004</v>
      </c>
      <c r="J54" s="709"/>
      <c r="K54" s="709">
        <f>-($C$52+K53)*L54</f>
        <v>-58124.088000000003</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540554.01839999994</v>
      </c>
      <c r="D56" s="709"/>
      <c r="E56" s="715">
        <f>SUM(E52:E55)</f>
        <v>523116.79200000002</v>
      </c>
      <c r="F56" s="709"/>
      <c r="G56" s="715">
        <f>SUM(G52:G55)</f>
        <v>540554.01839999994</v>
      </c>
      <c r="H56" s="709"/>
      <c r="I56" s="715">
        <f>SUM(I52:I55)</f>
        <v>540554.01839999994</v>
      </c>
      <c r="J56" s="709"/>
      <c r="K56" s="715">
        <f>SUM(K52:K55)</f>
        <v>523116.79200000002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134657</v>
      </c>
      <c r="D58" s="709"/>
      <c r="E58" s="709">
        <f>$C$58</f>
        <v>134657</v>
      </c>
      <c r="F58" s="709"/>
      <c r="G58" s="709">
        <f>$C$58</f>
        <v>134657</v>
      </c>
      <c r="H58" s="709"/>
      <c r="I58" s="709">
        <f>$C$58</f>
        <v>134657</v>
      </c>
      <c r="J58" s="709"/>
      <c r="K58" s="709">
        <f>$C$58</f>
        <v>134657</v>
      </c>
      <c r="L58" s="710"/>
      <c r="M58" s="26"/>
      <c r="N58" s="26"/>
    </row>
    <row r="59" spans="1:14" s="640" customFormat="1" ht="18.75" customHeight="1">
      <c r="B59" s="708" t="s">
        <v>3032</v>
      </c>
      <c r="C59" s="709">
        <f>+'Part VI-Revenues &amp; Expenses'!F239</f>
        <v>51900</v>
      </c>
      <c r="D59" s="709"/>
      <c r="E59" s="709">
        <f>$C$59</f>
        <v>51900</v>
      </c>
      <c r="F59" s="709"/>
      <c r="G59" s="709">
        <f>$C$59</f>
        <v>51900</v>
      </c>
      <c r="H59" s="709"/>
      <c r="I59" s="709">
        <f>$C$59</f>
        <v>51900</v>
      </c>
      <c r="J59" s="709"/>
      <c r="K59" s="709">
        <f>$C$59*(1+$L$59)</f>
        <v>53976</v>
      </c>
      <c r="L59" s="717">
        <v>0.04</v>
      </c>
      <c r="M59" s="26"/>
      <c r="N59" s="26"/>
    </row>
    <row r="60" spans="1:14" s="640" customFormat="1" ht="18.75" customHeight="1">
      <c r="B60" s="708" t="s">
        <v>1375</v>
      </c>
      <c r="C60" s="709">
        <f>+'Part VI-Revenues &amp; Expenses'!K236</f>
        <v>50600</v>
      </c>
      <c r="D60" s="709"/>
      <c r="E60" s="709">
        <f>$C$60</f>
        <v>50600</v>
      </c>
      <c r="F60" s="709"/>
      <c r="G60" s="709">
        <f>$C$60</f>
        <v>50600</v>
      </c>
      <c r="H60" s="709"/>
      <c r="I60" s="709">
        <f>$C$60*(1+$J$50)</f>
        <v>52118</v>
      </c>
      <c r="J60" s="711"/>
      <c r="K60" s="709">
        <f>$C$60*(1+$J$50)</f>
        <v>52118</v>
      </c>
      <c r="L60" s="712">
        <v>0.03</v>
      </c>
      <c r="M60" s="26"/>
      <c r="N60" s="26"/>
    </row>
    <row r="61" spans="1:14" s="640" customFormat="1" ht="18.75" customHeight="1">
      <c r="B61" s="708" t="s">
        <v>1376</v>
      </c>
      <c r="C61" s="709">
        <f>+'Part VI-Revenues &amp; Expenses'!P218</f>
        <v>86800</v>
      </c>
      <c r="D61" s="709"/>
      <c r="E61" s="709">
        <f>$C$61</f>
        <v>86800</v>
      </c>
      <c r="F61" s="709"/>
      <c r="G61" s="709">
        <f>$C$61*(1+H50)</f>
        <v>91140</v>
      </c>
      <c r="H61" s="711"/>
      <c r="I61" s="709">
        <f>$C$61</f>
        <v>86800</v>
      </c>
      <c r="J61" s="709"/>
      <c r="K61" s="709">
        <f>$C$61*(1+$L$61)</f>
        <v>91140</v>
      </c>
      <c r="L61" s="712">
        <v>0.05</v>
      </c>
      <c r="M61" s="26"/>
      <c r="N61" s="26"/>
    </row>
    <row r="62" spans="1:14" s="640" customFormat="1" ht="18.75" customHeight="1">
      <c r="B62" s="714" t="s">
        <v>3033</v>
      </c>
      <c r="C62" s="715">
        <f>SUM(C58:C61)</f>
        <v>323957</v>
      </c>
      <c r="D62" s="709"/>
      <c r="E62" s="715">
        <f>SUM(E58:E61)</f>
        <v>323957</v>
      </c>
      <c r="F62" s="709"/>
      <c r="G62" s="715">
        <f>SUM(G58:G61)</f>
        <v>328297</v>
      </c>
      <c r="H62" s="709"/>
      <c r="I62" s="715">
        <f>SUM(I58:I61)</f>
        <v>325475</v>
      </c>
      <c r="J62" s="709"/>
      <c r="K62" s="715">
        <f>SUM(K58:K61)</f>
        <v>331891</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216597.01839999994</v>
      </c>
      <c r="D64" s="721"/>
      <c r="E64" s="721">
        <f>E56-E62</f>
        <v>199159.79200000002</v>
      </c>
      <c r="F64" s="721"/>
      <c r="G64" s="721">
        <f>G56-G62</f>
        <v>212257.01839999994</v>
      </c>
      <c r="H64" s="721"/>
      <c r="I64" s="721">
        <f>I56-I62</f>
        <v>215079.01839999994</v>
      </c>
      <c r="J64" s="721"/>
      <c r="K64" s="721">
        <f>K56-K62</f>
        <v>191225.79200000002</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18000</v>
      </c>
      <c r="D66" s="716"/>
      <c r="E66" s="716">
        <f>$C$66</f>
        <v>18000</v>
      </c>
      <c r="F66" s="716"/>
      <c r="G66" s="716">
        <f>$C$66</f>
        <v>18000</v>
      </c>
      <c r="H66" s="716"/>
      <c r="I66" s="716">
        <f>$C$66</f>
        <v>18000</v>
      </c>
      <c r="J66" s="716"/>
      <c r="K66" s="716">
        <f>$C$66</f>
        <v>18000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34560</v>
      </c>
      <c r="D68" s="716"/>
      <c r="E68" s="716">
        <f>$C$68</f>
        <v>34560</v>
      </c>
      <c r="F68" s="716"/>
      <c r="G68" s="716">
        <f>$C$68</f>
        <v>34560</v>
      </c>
      <c r="H68" s="716"/>
      <c r="I68" s="716">
        <f>$C$68</f>
        <v>34560</v>
      </c>
      <c r="J68" s="716"/>
      <c r="K68" s="716">
        <f>$C$68</f>
        <v>34560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164037.01839999994</v>
      </c>
      <c r="D70" s="725"/>
      <c r="E70" s="724">
        <f>E64-E66-E68</f>
        <v>146599.79200000002</v>
      </c>
      <c r="F70" s="725"/>
      <c r="G70" s="724">
        <f>G64-G66-G68</f>
        <v>159697.01839999994</v>
      </c>
      <c r="H70" s="725"/>
      <c r="I70" s="724">
        <f>I64-I66-I68</f>
        <v>162519.01839999994</v>
      </c>
      <c r="J70" s="725"/>
      <c r="K70" s="724">
        <f>K64-K66-K68</f>
        <v>138665.79200000002</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4">
        <f>-C70/C75</f>
        <v>1.3696733880641281</v>
      </c>
      <c r="D72" s="727"/>
      <c r="E72" s="1294">
        <f>-E70/E75</f>
        <v>1.224076344209732</v>
      </c>
      <c r="F72" s="727"/>
      <c r="G72" s="1294">
        <f>-G70/G75</f>
        <v>1.3334353330069268</v>
      </c>
      <c r="H72" s="727"/>
      <c r="I72" s="1294">
        <f>-I70/I75</f>
        <v>1.3569984185763788</v>
      </c>
      <c r="J72" s="727"/>
      <c r="K72" s="1294">
        <f>-K70/K75</f>
        <v>1.157829171669678</v>
      </c>
      <c r="L72" s="728"/>
      <c r="M72" s="246"/>
      <c r="N72" s="246"/>
    </row>
    <row r="73" spans="1:14" s="640" customFormat="1" ht="18.75" customHeight="1">
      <c r="A73" s="26"/>
      <c r="B73" s="708" t="s">
        <v>3039</v>
      </c>
      <c r="C73" s="1295">
        <f>C76/C62</f>
        <v>0.13666448475022203</v>
      </c>
      <c r="D73" s="729"/>
      <c r="E73" s="1295">
        <f>E76/E62</f>
        <v>8.2838741210184544E-2</v>
      </c>
      <c r="F73" s="729"/>
      <c r="G73" s="1295">
        <f>G76/G62</f>
        <v>0.12163807919727466</v>
      </c>
      <c r="H73" s="729"/>
      <c r="I73" s="1295">
        <f>I76/I62</f>
        <v>0.13136313537515226</v>
      </c>
      <c r="J73" s="729"/>
      <c r="K73" s="1295">
        <f>K76/K62</f>
        <v>5.6953005915278673E-2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-119763.60191377226</v>
      </c>
      <c r="D75" s="709"/>
      <c r="E75" s="709">
        <f>$C$75</f>
        <v>-119763.60191377226</v>
      </c>
      <c r="F75" s="709"/>
      <c r="G75" s="709">
        <f>$C$75</f>
        <v>-119763.60191377226</v>
      </c>
      <c r="H75" s="709"/>
      <c r="I75" s="709">
        <f>$C$75</f>
        <v>-119763.60191377226</v>
      </c>
      <c r="J75" s="709"/>
      <c r="K75" s="709">
        <f>$C$75</f>
        <v>-119763.60191377226</v>
      </c>
      <c r="L75" s="32"/>
      <c r="M75" s="26"/>
      <c r="N75" s="26"/>
    </row>
    <row r="76" spans="1:14" s="640" customFormat="1" ht="18.75" customHeight="1">
      <c r="A76" s="26"/>
      <c r="B76" s="708" t="s">
        <v>1164</v>
      </c>
      <c r="C76" s="709">
        <f>C70+C75</f>
        <v>44273.416486227681</v>
      </c>
      <c r="D76" s="709"/>
      <c r="E76" s="709">
        <f>E70+E75</f>
        <v>26836.190086227754</v>
      </c>
      <c r="F76" s="709"/>
      <c r="G76" s="709">
        <f>G70+G75</f>
        <v>39933.416486227681</v>
      </c>
      <c r="H76" s="709"/>
      <c r="I76" s="709">
        <f>I70+I75</f>
        <v>42755.416486227681</v>
      </c>
      <c r="J76" s="709"/>
      <c r="K76" s="709">
        <f>K70+K75</f>
        <v>18902.190086227754</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3"/>
    </row>
    <row r="12" spans="1:10">
      <c r="A12" s="650" t="s">
        <v>2936</v>
      </c>
      <c r="D12" s="649" t="s">
        <v>617</v>
      </c>
      <c r="F12" s="2223" t="str">
        <f>Overview!$C$8</f>
        <v>Brennan Place</v>
      </c>
    </row>
    <row r="13" spans="1:10">
      <c r="A13" s="650"/>
      <c r="D13" s="649" t="s">
        <v>2937</v>
      </c>
      <c r="F13" s="2223" t="str">
        <f>Overview!E8</f>
        <v>2019-042</v>
      </c>
    </row>
    <row r="14" spans="1:10">
      <c r="A14" s="650"/>
      <c r="D14" s="649" t="s">
        <v>2938</v>
      </c>
      <c r="F14" s="2223" t="str">
        <f>Overview!H8</f>
        <v>Columbus, Muscogee</v>
      </c>
    </row>
    <row r="15" spans="1:10">
      <c r="A15" s="650"/>
      <c r="D15" s="649" t="s">
        <v>3302</v>
      </c>
      <c r="F15" s="4075">
        <f>Overview!$C$25</f>
        <v>1700000</v>
      </c>
      <c r="G15" s="4075"/>
      <c r="H15" s="4075"/>
    </row>
    <row r="16" spans="1:10">
      <c r="A16" s="650"/>
      <c r="D16" s="652" t="s">
        <v>2939</v>
      </c>
      <c r="F16" s="653">
        <f>Overview!C13</f>
        <v>72</v>
      </c>
      <c r="G16" s="654" t="s">
        <v>3303</v>
      </c>
      <c r="H16" s="1249">
        <f>Overview!E13</f>
        <v>63</v>
      </c>
    </row>
    <row r="17" spans="1:18">
      <c r="A17" s="650"/>
      <c r="D17" s="652" t="s">
        <v>2903</v>
      </c>
      <c r="F17" s="653" t="str">
        <f>Overview!C14</f>
        <v>Family</v>
      </c>
    </row>
    <row r="18" spans="1:18">
      <c r="A18" s="650"/>
      <c r="D18" s="652" t="s">
        <v>3307</v>
      </c>
      <c r="F18" s="2223" t="str">
        <f>Overview!H15</f>
        <v>Urban</v>
      </c>
    </row>
    <row r="19" spans="1:18">
      <c r="A19" s="650"/>
      <c r="D19" s="652" t="s">
        <v>3304</v>
      </c>
      <c r="F19" s="2223" t="str">
        <f>Overview!E16</f>
        <v>No</v>
      </c>
    </row>
    <row r="20" spans="1:18">
      <c r="A20" s="650"/>
      <c r="D20" s="652"/>
    </row>
    <row r="21" spans="1:18">
      <c r="A21" s="655" t="s">
        <v>2940</v>
      </c>
    </row>
    <row r="22" spans="1:18" ht="111.75" customHeight="1">
      <c r="A22" s="4082" t="s">
        <v>3498</v>
      </c>
      <c r="B22" s="4082"/>
      <c r="C22" s="4082"/>
      <c r="D22" s="4082"/>
      <c r="E22" s="4082"/>
      <c r="F22" s="4082"/>
      <c r="G22" s="4082"/>
      <c r="H22" s="4082"/>
      <c r="I22" s="4082"/>
      <c r="J22" s="4082"/>
      <c r="K22" s="4089" t="s">
        <v>5061</v>
      </c>
      <c r="L22" s="4089"/>
      <c r="M22" s="4089"/>
      <c r="N22" s="4089"/>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90"/>
      <c r="B24" s="4090"/>
      <c r="C24" s="4090"/>
      <c r="D24" s="4090"/>
      <c r="E24" s="4090"/>
      <c r="F24" s="4090"/>
      <c r="G24" s="4090"/>
      <c r="H24" s="4090"/>
      <c r="I24" s="4090"/>
      <c r="J24" s="4090"/>
    </row>
    <row r="25" spans="1:18" ht="10.5" hidden="1" customHeight="1">
      <c r="A25" s="4091"/>
      <c r="B25" s="4091"/>
      <c r="C25" s="4091"/>
      <c r="D25" s="4091"/>
      <c r="E25" s="4091"/>
      <c r="F25" s="4091"/>
      <c r="G25" s="4091"/>
      <c r="H25" s="4091"/>
      <c r="I25" s="4091"/>
      <c r="J25" s="4091"/>
    </row>
    <row r="26" spans="1:18">
      <c r="A26" s="655" t="s">
        <v>2941</v>
      </c>
    </row>
    <row r="27" spans="1:18" ht="14.25" customHeight="1">
      <c r="A27" s="4092" t="s">
        <v>2942</v>
      </c>
      <c r="B27" s="4092"/>
      <c r="C27" s="4092"/>
      <c r="D27" s="4092"/>
      <c r="E27" s="4092"/>
      <c r="F27" s="4092"/>
      <c r="G27" s="4092"/>
      <c r="H27" s="4092"/>
      <c r="I27" s="4092"/>
      <c r="J27" s="4092"/>
    </row>
    <row r="28" spans="1:18" ht="14.25" customHeight="1">
      <c r="A28" s="4092"/>
      <c r="B28" s="4092"/>
      <c r="C28" s="4092"/>
      <c r="D28" s="4092"/>
      <c r="E28" s="4092"/>
      <c r="F28" s="4092"/>
      <c r="G28" s="4092"/>
      <c r="H28" s="4092"/>
      <c r="I28" s="4092"/>
      <c r="J28" s="4092"/>
    </row>
    <row r="29" spans="1:18" ht="6.75" customHeight="1">
      <c r="A29" s="4092"/>
      <c r="B29" s="4092"/>
      <c r="C29" s="4092"/>
      <c r="D29" s="4092"/>
      <c r="E29" s="4092"/>
      <c r="F29" s="4092"/>
      <c r="G29" s="4092"/>
      <c r="H29" s="4092"/>
      <c r="I29" s="4092"/>
      <c r="J29" s="4092"/>
    </row>
    <row r="30" spans="1:18" ht="14.25" customHeight="1">
      <c r="A30" s="4092"/>
      <c r="B30" s="4092"/>
      <c r="C30" s="4092"/>
      <c r="D30" s="4092"/>
      <c r="E30" s="4092"/>
      <c r="F30" s="4092"/>
      <c r="G30" s="4092"/>
      <c r="H30" s="4092"/>
      <c r="I30" s="4092"/>
      <c r="J30" s="4092"/>
    </row>
    <row r="31" spans="1:18" ht="14.25" customHeight="1">
      <c r="A31" s="4092"/>
      <c r="B31" s="4092"/>
      <c r="C31" s="4092"/>
      <c r="D31" s="4092"/>
      <c r="E31" s="4092"/>
      <c r="F31" s="4092"/>
      <c r="G31" s="4092"/>
      <c r="H31" s="4092"/>
      <c r="I31" s="4092"/>
      <c r="J31" s="4092"/>
    </row>
    <row r="32" spans="1:18" ht="54.75" customHeight="1">
      <c r="A32" s="4092"/>
      <c r="B32" s="4092"/>
      <c r="C32" s="4092"/>
      <c r="D32" s="4092"/>
      <c r="E32" s="4092"/>
      <c r="F32" s="4092"/>
      <c r="G32" s="4092"/>
      <c r="H32" s="4092"/>
      <c r="I32" s="4092"/>
      <c r="J32" s="4092"/>
    </row>
    <row r="33" spans="1:10" ht="0.75" hidden="1" customHeight="1">
      <c r="A33" s="4092"/>
      <c r="B33" s="4092"/>
      <c r="C33" s="4092"/>
      <c r="D33" s="4092"/>
      <c r="E33" s="4092"/>
      <c r="F33" s="4092"/>
      <c r="G33" s="4092"/>
      <c r="H33" s="4092"/>
      <c r="I33" s="4092"/>
      <c r="J33" s="4092"/>
    </row>
    <row r="34" spans="1:10" ht="3.75" hidden="1" customHeight="1">
      <c r="A34" s="4092"/>
      <c r="B34" s="4092"/>
      <c r="C34" s="4092"/>
      <c r="D34" s="4092"/>
      <c r="E34" s="4092"/>
      <c r="F34" s="4092"/>
      <c r="G34" s="4092"/>
      <c r="H34" s="4092"/>
      <c r="I34" s="4092"/>
      <c r="J34" s="4092"/>
    </row>
    <row r="35" spans="1:10" ht="5.25" customHeight="1">
      <c r="A35" s="2219"/>
      <c r="B35" s="2219"/>
      <c r="C35" s="2219"/>
      <c r="D35" s="2219"/>
      <c r="E35" s="2219"/>
      <c r="F35" s="2219"/>
      <c r="G35" s="2219"/>
      <c r="H35" s="2219"/>
      <c r="I35" s="2219"/>
      <c r="J35" s="2219"/>
    </row>
    <row r="36" spans="1:10" ht="19.5" customHeight="1">
      <c r="A36" s="4090" t="s">
        <v>2943</v>
      </c>
      <c r="B36" s="4090"/>
      <c r="C36" s="4090"/>
      <c r="D36" s="2217"/>
      <c r="E36" s="2217"/>
      <c r="F36" s="2217"/>
      <c r="G36" s="2217"/>
      <c r="H36" s="2217"/>
      <c r="I36" s="2217"/>
      <c r="J36" s="2217"/>
    </row>
    <row r="37" spans="1:10" ht="15" customHeight="1">
      <c r="A37" s="4059"/>
      <c r="B37" s="4059"/>
      <c r="C37" s="4059"/>
      <c r="D37" s="4059"/>
      <c r="E37" s="4059"/>
      <c r="F37" s="4059"/>
      <c r="G37" s="4059"/>
      <c r="H37" s="4059"/>
      <c r="I37" s="4059"/>
      <c r="J37" s="4059"/>
    </row>
    <row r="38" spans="1:10" ht="33.75" customHeight="1">
      <c r="A38" s="4059"/>
      <c r="B38" s="4059"/>
      <c r="C38" s="4059"/>
      <c r="D38" s="4059"/>
      <c r="E38" s="4059"/>
      <c r="F38" s="4059"/>
      <c r="G38" s="4059"/>
      <c r="H38" s="4059"/>
      <c r="I38" s="4059"/>
      <c r="J38" s="4059"/>
    </row>
    <row r="39" spans="1:10" ht="2.25" customHeight="1">
      <c r="A39" s="2217"/>
      <c r="B39" s="2217"/>
      <c r="C39" s="2217"/>
      <c r="D39" s="2217"/>
      <c r="E39" s="2217"/>
      <c r="F39" s="2217"/>
      <c r="G39" s="2217"/>
      <c r="H39" s="2217"/>
      <c r="I39" s="2217"/>
      <c r="J39" s="2217"/>
    </row>
    <row r="40" spans="1:10">
      <c r="A40" s="655" t="s">
        <v>2944</v>
      </c>
    </row>
    <row r="41" spans="1:10" ht="135" customHeight="1">
      <c r="A41" s="4091" t="s">
        <v>5058</v>
      </c>
      <c r="B41" s="4091"/>
      <c r="C41" s="4091"/>
      <c r="D41" s="4091"/>
      <c r="E41" s="4091"/>
      <c r="F41" s="4091"/>
      <c r="G41" s="4091"/>
      <c r="H41" s="4091"/>
      <c r="I41" s="4091"/>
      <c r="J41" s="4091"/>
    </row>
    <row r="42" spans="1:10" ht="6" customHeight="1">
      <c r="A42" s="2218"/>
      <c r="B42" s="2218"/>
      <c r="C42" s="2218"/>
      <c r="D42" s="2218"/>
      <c r="E42" s="2218"/>
      <c r="F42" s="2218"/>
      <c r="G42" s="2218"/>
      <c r="H42" s="2218"/>
      <c r="I42" s="2218"/>
      <c r="J42" s="2218"/>
    </row>
    <row r="43" spans="1:10">
      <c r="A43" s="655" t="s">
        <v>2945</v>
      </c>
    </row>
    <row r="44" spans="1:10" ht="33" customHeight="1">
      <c r="A44" s="4059" t="s">
        <v>4239</v>
      </c>
      <c r="B44" s="4061"/>
      <c r="C44" s="4061"/>
      <c r="D44" s="4061"/>
      <c r="E44" s="4061"/>
      <c r="F44" s="4061"/>
      <c r="G44" s="4061"/>
      <c r="H44" s="4061"/>
      <c r="I44" s="4061"/>
      <c r="J44" s="4059"/>
    </row>
    <row r="45" spans="1:10" ht="3" customHeight="1"/>
    <row r="46" spans="1:10" ht="72.75" customHeight="1">
      <c r="A46" s="4059" t="s">
        <v>4240</v>
      </c>
      <c r="B46" s="4059"/>
      <c r="C46" s="4059"/>
      <c r="D46" s="4059"/>
      <c r="E46" s="4059"/>
      <c r="F46" s="4059"/>
      <c r="G46" s="4059"/>
      <c r="H46" s="4059"/>
      <c r="I46" s="4059"/>
      <c r="J46" s="4059"/>
    </row>
    <row r="47" spans="1:10" ht="3" customHeight="1">
      <c r="A47" s="2217"/>
      <c r="B47" s="2217"/>
      <c r="C47" s="2217"/>
      <c r="D47" s="2217"/>
      <c r="E47" s="2217"/>
      <c r="F47" s="2217"/>
      <c r="G47" s="2217"/>
      <c r="H47" s="2217"/>
      <c r="I47" s="2217"/>
      <c r="J47" s="2217"/>
    </row>
    <row r="48" spans="1:10" ht="56.25" customHeight="1">
      <c r="A48" s="4059" t="s">
        <v>4241</v>
      </c>
      <c r="B48" s="4059"/>
      <c r="C48" s="4059"/>
      <c r="D48" s="4059"/>
      <c r="E48" s="4059"/>
      <c r="F48" s="4059"/>
      <c r="G48" s="4059"/>
      <c r="H48" s="4059"/>
      <c r="I48" s="4059"/>
      <c r="J48" s="4059"/>
    </row>
    <row r="49" spans="1:17" ht="3" customHeight="1">
      <c r="A49" s="2217"/>
      <c r="B49" s="2217"/>
      <c r="C49" s="2217"/>
      <c r="D49" s="2217"/>
      <c r="E49" s="2217"/>
      <c r="F49" s="2217"/>
      <c r="G49" s="2217"/>
      <c r="H49" s="2217"/>
      <c r="I49" s="2217"/>
      <c r="J49" s="2217"/>
    </row>
    <row r="50" spans="1:17" ht="49.5" customHeight="1">
      <c r="A50" s="4059" t="s">
        <v>4242</v>
      </c>
      <c r="B50" s="4059"/>
      <c r="C50" s="4059"/>
      <c r="D50" s="4059"/>
      <c r="E50" s="4059"/>
      <c r="F50" s="4059"/>
      <c r="G50" s="4059"/>
      <c r="H50" s="4059"/>
      <c r="I50" s="4059"/>
      <c r="J50" s="2217"/>
    </row>
    <row r="51" spans="1:17" ht="3" customHeight="1">
      <c r="A51" s="2217"/>
      <c r="B51" s="2217"/>
      <c r="C51" s="2217"/>
      <c r="D51" s="2217"/>
      <c r="E51" s="2217"/>
      <c r="F51" s="2217"/>
      <c r="G51" s="2217"/>
      <c r="H51" s="2217"/>
      <c r="I51" s="2217"/>
      <c r="J51" s="2217"/>
    </row>
    <row r="52" spans="1:17" ht="54.75" customHeight="1">
      <c r="A52" s="4081" t="s">
        <v>3312</v>
      </c>
      <c r="B52" s="4079"/>
      <c r="C52" s="4079"/>
      <c r="D52" s="4079"/>
      <c r="E52" s="4079"/>
      <c r="F52" s="4079"/>
      <c r="G52" s="4079"/>
      <c r="H52" s="4079"/>
      <c r="I52" s="4079"/>
      <c r="J52" s="2217"/>
    </row>
    <row r="53" spans="1:17" ht="3" customHeight="1">
      <c r="A53" s="2217"/>
      <c r="B53" s="2217"/>
      <c r="C53" s="2217"/>
      <c r="D53" s="2217"/>
      <c r="E53" s="2217"/>
      <c r="F53" s="2217"/>
      <c r="G53" s="2217"/>
      <c r="H53" s="2217"/>
      <c r="I53" s="2217"/>
      <c r="J53" s="2217"/>
    </row>
    <row r="54" spans="1:17" ht="62.25" customHeight="1">
      <c r="A54" s="4079" t="s">
        <v>4243</v>
      </c>
      <c r="B54" s="4079"/>
      <c r="C54" s="4079"/>
      <c r="D54" s="4079"/>
      <c r="E54" s="4079"/>
      <c r="F54" s="4079"/>
      <c r="G54" s="4079"/>
      <c r="H54" s="4079"/>
      <c r="I54" s="4079"/>
      <c r="J54" s="4079"/>
    </row>
    <row r="55" spans="1:17" ht="3" customHeight="1"/>
    <row r="56" spans="1:17" ht="73.5" customHeight="1">
      <c r="A56" s="4059" t="s">
        <v>4244</v>
      </c>
      <c r="B56" s="4059"/>
      <c r="C56" s="4059"/>
      <c r="D56" s="4059"/>
      <c r="E56" s="4059"/>
      <c r="F56" s="4059"/>
      <c r="G56" s="4059"/>
      <c r="H56" s="4059"/>
      <c r="I56" s="4059"/>
      <c r="J56" s="4059"/>
    </row>
    <row r="57" spans="1:17" ht="6" customHeight="1">
      <c r="A57" s="2217" t="s">
        <v>243</v>
      </c>
      <c r="B57" s="2217"/>
      <c r="C57" s="2217"/>
      <c r="D57" s="2217"/>
      <c r="E57" s="2217"/>
      <c r="F57" s="2217"/>
      <c r="G57" s="2217"/>
      <c r="H57" s="2217"/>
      <c r="I57" s="2217"/>
      <c r="J57" s="2217"/>
    </row>
    <row r="58" spans="1:17">
      <c r="A58" s="655" t="s">
        <v>2948</v>
      </c>
      <c r="L58" s="656" t="s">
        <v>3490</v>
      </c>
    </row>
    <row r="59" spans="1:17" ht="73.5" customHeight="1">
      <c r="A59" s="4082" t="s">
        <v>2949</v>
      </c>
      <c r="B59" s="4082"/>
      <c r="C59" s="4082"/>
      <c r="D59" s="4082"/>
      <c r="E59" s="4082"/>
      <c r="F59" s="4082"/>
      <c r="G59" s="4082"/>
      <c r="H59" s="4082"/>
      <c r="I59" s="4082"/>
      <c r="J59" s="4082"/>
      <c r="L59" s="657">
        <f>'Closing term sheet'!C133</f>
        <v>786018</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4079" t="s">
        <v>3389</v>
      </c>
      <c r="B61" s="4079"/>
      <c r="C61" s="4079"/>
      <c r="D61" s="4079"/>
      <c r="E61" s="4079"/>
      <c r="F61" s="4079"/>
      <c r="G61" s="4079"/>
      <c r="H61" s="4079"/>
      <c r="I61" s="4079"/>
      <c r="J61" s="662"/>
      <c r="L61" s="663">
        <f>'Part III-Sources of Funds'!I49</f>
        <v>8413300</v>
      </c>
      <c r="M61" s="664">
        <f>'Part IV-A-Uses of Funds'!$J$175</f>
        <v>1000000</v>
      </c>
      <c r="N61" s="665">
        <f>'Part IV-A-Uses of Funds'!N168</f>
        <v>0.85</v>
      </c>
      <c r="O61" s="663">
        <f>'Part III-Sources of Funds'!I50</f>
        <v>3985000</v>
      </c>
      <c r="P61" s="664">
        <f>M61</f>
        <v>1000000</v>
      </c>
      <c r="Q61" s="665">
        <f>'Part IV-A-Uses of Funds'!Q168</f>
        <v>0.39</v>
      </c>
    </row>
    <row r="62" spans="1:17" ht="18.75" customHeight="1">
      <c r="A62" s="666" t="s">
        <v>2950</v>
      </c>
    </row>
    <row r="63" spans="1:17" ht="159.75" customHeight="1">
      <c r="A63" s="4079" t="s">
        <v>4245</v>
      </c>
      <c r="B63" s="4079"/>
      <c r="C63" s="4079"/>
      <c r="D63" s="4079"/>
      <c r="E63" s="4079"/>
      <c r="F63" s="4079"/>
      <c r="G63" s="4079"/>
      <c r="H63" s="4079"/>
      <c r="I63" s="4079"/>
      <c r="J63" s="4079"/>
      <c r="L63" s="667">
        <f>'Part VII-Pro Forma'!K71</f>
        <v>1163988.1031186746</v>
      </c>
      <c r="M63" s="4083" t="s">
        <v>3497</v>
      </c>
      <c r="N63" s="4084"/>
    </row>
    <row r="64" spans="1:17" ht="6" customHeight="1">
      <c r="A64" s="655"/>
    </row>
    <row r="65" spans="1:10">
      <c r="A65" s="655" t="s">
        <v>2951</v>
      </c>
    </row>
    <row r="66" spans="1:10" ht="66.75" customHeight="1">
      <c r="A66" s="4079" t="s">
        <v>2952</v>
      </c>
      <c r="B66" s="4079"/>
      <c r="C66" s="4079"/>
      <c r="D66" s="4079"/>
      <c r="E66" s="4079"/>
      <c r="F66" s="4079"/>
      <c r="G66" s="4079"/>
      <c r="H66" s="4079"/>
      <c r="I66" s="4079"/>
      <c r="J66" s="4079"/>
    </row>
    <row r="67" spans="1:10" ht="36" customHeight="1">
      <c r="A67" s="4079" t="s">
        <v>2953</v>
      </c>
      <c r="B67" s="4079"/>
      <c r="C67" s="4079"/>
      <c r="D67" s="4079"/>
      <c r="E67" s="4079"/>
      <c r="F67" s="4079"/>
      <c r="G67" s="4079"/>
      <c r="H67" s="4079"/>
      <c r="I67" s="4079"/>
      <c r="J67" s="4079"/>
    </row>
    <row r="68" spans="1:10" ht="6" customHeight="1">
      <c r="A68" s="655"/>
    </row>
    <row r="69" spans="1:10">
      <c r="A69" s="655" t="s">
        <v>2954</v>
      </c>
    </row>
    <row r="70" spans="1:10" ht="105.75" customHeight="1">
      <c r="A70" s="4059" t="s">
        <v>2955</v>
      </c>
      <c r="B70" s="4059"/>
      <c r="C70" s="4059"/>
      <c r="D70" s="4059"/>
      <c r="E70" s="4059"/>
      <c r="F70" s="4059"/>
      <c r="G70" s="4059"/>
      <c r="H70" s="4059"/>
      <c r="I70" s="4059"/>
      <c r="J70" s="4059"/>
    </row>
    <row r="71" spans="1:10" ht="6" customHeight="1">
      <c r="A71" s="655"/>
    </row>
    <row r="72" spans="1:10">
      <c r="A72" s="655" t="s">
        <v>2956</v>
      </c>
    </row>
    <row r="73" spans="1:10" ht="66" customHeight="1">
      <c r="A73" s="4059" t="s">
        <v>2957</v>
      </c>
      <c r="B73" s="4059"/>
      <c r="C73" s="4059"/>
      <c r="D73" s="4059"/>
      <c r="E73" s="4059"/>
      <c r="F73" s="4059"/>
      <c r="G73" s="4059"/>
      <c r="H73" s="4059"/>
      <c r="I73" s="4059"/>
      <c r="J73" s="4059"/>
    </row>
    <row r="74" spans="1:10" s="2219" customFormat="1" ht="6" customHeight="1">
      <c r="A74" s="4059"/>
      <c r="B74" s="4059"/>
      <c r="C74" s="4059"/>
      <c r="D74" s="4059"/>
      <c r="E74" s="4059"/>
      <c r="F74" s="4059"/>
      <c r="G74" s="4059"/>
      <c r="H74" s="4059"/>
      <c r="I74" s="4059"/>
      <c r="J74" s="4059"/>
    </row>
    <row r="75" spans="1:10" ht="16.5" customHeight="1">
      <c r="A75" s="2221" t="s">
        <v>2958</v>
      </c>
      <c r="B75" s="654"/>
      <c r="C75" s="654"/>
      <c r="D75" s="2223"/>
      <c r="E75" s="654"/>
      <c r="F75" s="654"/>
      <c r="G75" s="654"/>
      <c r="H75" s="654"/>
      <c r="I75" s="654"/>
      <c r="J75" s="668"/>
    </row>
    <row r="76" spans="1:10" s="2219" customFormat="1" ht="63" customHeight="1">
      <c r="A76" s="4059" t="s">
        <v>4456</v>
      </c>
      <c r="B76" s="4059"/>
      <c r="C76" s="4059"/>
      <c r="D76" s="4059"/>
      <c r="E76" s="4059"/>
      <c r="F76" s="4059"/>
      <c r="G76" s="4059"/>
      <c r="H76" s="4059"/>
      <c r="I76" s="4059"/>
      <c r="J76" s="4059"/>
    </row>
    <row r="77" spans="1:10" s="2219" customFormat="1" ht="6" customHeight="1">
      <c r="A77" s="2217"/>
      <c r="B77" s="2217"/>
      <c r="C77" s="2217"/>
      <c r="D77" s="2217"/>
      <c r="E77" s="2217"/>
      <c r="F77" s="2217"/>
      <c r="G77" s="2217"/>
      <c r="H77" s="2217"/>
      <c r="I77" s="2217"/>
      <c r="J77" s="2217"/>
    </row>
    <row r="78" spans="1:10" ht="16.5" customHeight="1">
      <c r="A78" s="4086" t="s">
        <v>2959</v>
      </c>
      <c r="B78" s="4087"/>
      <c r="C78" s="4087"/>
      <c r="D78" s="654"/>
      <c r="E78" s="654"/>
      <c r="F78" s="654"/>
      <c r="G78" s="654"/>
      <c r="H78" s="654"/>
      <c r="I78" s="654"/>
      <c r="J78" s="668"/>
    </row>
    <row r="79" spans="1:10" ht="41.25" customHeight="1">
      <c r="A79" s="4079" t="s">
        <v>4246</v>
      </c>
      <c r="B79" s="4088"/>
      <c r="C79" s="4088"/>
      <c r="D79" s="4088"/>
      <c r="E79" s="4088"/>
      <c r="F79" s="4088"/>
      <c r="G79" s="4088"/>
      <c r="H79" s="4088"/>
      <c r="I79" s="4088"/>
      <c r="J79" s="4088"/>
    </row>
    <row r="80" spans="1:10" ht="6" customHeight="1">
      <c r="A80" s="669"/>
      <c r="B80" s="654"/>
      <c r="C80" s="654"/>
      <c r="D80" s="654"/>
      <c r="E80" s="654"/>
      <c r="F80" s="654"/>
      <c r="G80" s="654"/>
      <c r="H80" s="654"/>
      <c r="I80" s="654"/>
      <c r="J80" s="668"/>
    </row>
    <row r="81" spans="1:15">
      <c r="A81" s="655" t="s">
        <v>2960</v>
      </c>
    </row>
    <row r="82" spans="1:15" ht="139.5" customHeight="1">
      <c r="A82" s="4079" t="s">
        <v>2961</v>
      </c>
      <c r="B82" s="4079"/>
      <c r="C82" s="4079"/>
      <c r="D82" s="4079"/>
      <c r="E82" s="4079"/>
      <c r="F82" s="4079"/>
      <c r="G82" s="4079"/>
      <c r="H82" s="4079"/>
      <c r="I82" s="4079"/>
      <c r="J82" s="4079"/>
      <c r="L82" s="4089" t="s">
        <v>2962</v>
      </c>
      <c r="M82" s="4089"/>
      <c r="N82" s="4089"/>
    </row>
    <row r="83" spans="1:15" ht="6" customHeight="1">
      <c r="A83" s="2220"/>
      <c r="B83" s="2220"/>
      <c r="C83" s="2220"/>
      <c r="D83" s="2220"/>
      <c r="E83" s="2220"/>
      <c r="F83" s="2220"/>
      <c r="G83" s="2220"/>
      <c r="H83" s="2220"/>
      <c r="I83" s="2220"/>
      <c r="J83" s="2220"/>
      <c r="L83" s="2222"/>
      <c r="M83" s="2222"/>
      <c r="N83" s="2222"/>
    </row>
    <row r="84" spans="1:15" ht="17.25" customHeight="1">
      <c r="A84" s="655" t="s">
        <v>2963</v>
      </c>
    </row>
    <row r="85" spans="1:15" ht="111" customHeight="1">
      <c r="A85" s="4079" t="s">
        <v>2964</v>
      </c>
      <c r="B85" s="4079"/>
      <c r="C85" s="4079"/>
      <c r="D85" s="4079"/>
      <c r="E85" s="4079"/>
      <c r="F85" s="4079"/>
      <c r="G85" s="4079"/>
      <c r="H85" s="4079"/>
      <c r="I85" s="4079"/>
      <c r="J85" s="4079"/>
      <c r="L85" s="4089" t="s">
        <v>2965</v>
      </c>
      <c r="M85" s="4089"/>
      <c r="N85" s="670" t="e">
        <f>'After-Tax Analysis'!G66</f>
        <v>#VALUE!</v>
      </c>
      <c r="O85" s="671" t="s">
        <v>2966</v>
      </c>
    </row>
    <row r="86" spans="1:15" ht="6" customHeight="1">
      <c r="A86" s="655"/>
    </row>
    <row r="87" spans="1:15">
      <c r="A87" s="655" t="s">
        <v>2967</v>
      </c>
    </row>
    <row r="88" spans="1:15" ht="118.5" customHeight="1">
      <c r="A88" s="4059" t="s">
        <v>2968</v>
      </c>
      <c r="B88" s="4059"/>
      <c r="C88" s="4059"/>
      <c r="D88" s="4059"/>
      <c r="E88" s="4059"/>
      <c r="F88" s="4059"/>
      <c r="G88" s="4059"/>
      <c r="H88" s="4059"/>
      <c r="I88" s="4059"/>
      <c r="J88" s="4059"/>
    </row>
    <row r="89" spans="1:15" ht="20.25" customHeight="1">
      <c r="A89" s="4061" t="s">
        <v>2969</v>
      </c>
      <c r="B89" s="4061"/>
      <c r="C89" s="4061"/>
      <c r="D89" s="4059"/>
      <c r="E89" s="2217"/>
      <c r="F89" s="2217"/>
      <c r="G89" s="2217"/>
      <c r="H89" s="2217"/>
      <c r="I89" s="2217"/>
      <c r="J89" s="2217"/>
    </row>
    <row r="90" spans="1:15" ht="109.5" customHeight="1">
      <c r="A90" s="4077" t="s">
        <v>2970</v>
      </c>
      <c r="B90" s="4078"/>
      <c r="C90" s="4078"/>
      <c r="D90" s="4078"/>
      <c r="E90" s="4078"/>
      <c r="F90" s="4078"/>
      <c r="G90" s="4078"/>
      <c r="H90" s="4078"/>
      <c r="I90" s="4078"/>
      <c r="J90" s="4078"/>
    </row>
    <row r="91" spans="1:15" ht="11.25" customHeight="1">
      <c r="A91" s="655"/>
    </row>
    <row r="92" spans="1:15">
      <c r="A92" s="655" t="s">
        <v>2971</v>
      </c>
    </row>
    <row r="93" spans="1:15" ht="122.25" customHeight="1">
      <c r="A93" s="4082" t="s">
        <v>2972</v>
      </c>
      <c r="B93" s="4082"/>
      <c r="C93" s="4082"/>
      <c r="D93" s="4082"/>
      <c r="E93" s="4082"/>
      <c r="F93" s="4082"/>
      <c r="G93" s="4082"/>
      <c r="H93" s="4082"/>
      <c r="I93" s="4082"/>
      <c r="J93" s="4082"/>
      <c r="L93" s="1253">
        <f>'Part VII-Pro Forma'!K71</f>
        <v>1163988.1031186746</v>
      </c>
      <c r="M93" s="4085" t="s">
        <v>2973</v>
      </c>
      <c r="N93" s="4085"/>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1" t="s">
        <v>2974</v>
      </c>
      <c r="B97" s="4061"/>
      <c r="C97" s="4061"/>
      <c r="D97" s="2217"/>
      <c r="E97" s="2217"/>
      <c r="F97" s="2217"/>
      <c r="G97" s="2217"/>
      <c r="H97" s="2217"/>
      <c r="I97" s="2217"/>
      <c r="J97" s="668"/>
    </row>
    <row r="98" spans="1:10" ht="37.5" customHeight="1">
      <c r="A98" s="4079" t="s">
        <v>2975</v>
      </c>
      <c r="B98" s="4079"/>
      <c r="C98" s="4079"/>
      <c r="D98" s="4079"/>
      <c r="E98" s="4079"/>
      <c r="F98" s="4079"/>
      <c r="G98" s="4079"/>
      <c r="H98" s="4079"/>
      <c r="I98" s="4079"/>
      <c r="J98" s="4079"/>
    </row>
    <row r="99" spans="1:10" ht="6" customHeight="1">
      <c r="A99" s="655"/>
    </row>
    <row r="100" spans="1:10">
      <c r="A100" s="655" t="s">
        <v>2976</v>
      </c>
    </row>
    <row r="101" spans="1:10" ht="43.5" customHeight="1">
      <c r="A101" s="4059" t="s">
        <v>2977</v>
      </c>
      <c r="B101" s="4059"/>
      <c r="C101" s="4059"/>
      <c r="D101" s="4059"/>
      <c r="E101" s="4059"/>
      <c r="F101" s="4059"/>
      <c r="G101" s="4059"/>
      <c r="H101" s="4059"/>
      <c r="I101" s="4059"/>
      <c r="J101" s="4059"/>
    </row>
    <row r="102" spans="1:10" ht="6" customHeight="1">
      <c r="A102" s="2217"/>
      <c r="B102" s="2217"/>
      <c r="C102" s="2217"/>
      <c r="D102" s="2217"/>
      <c r="E102" s="2217"/>
      <c r="F102" s="2217"/>
      <c r="G102" s="2217"/>
      <c r="H102" s="2217"/>
      <c r="I102" s="2217"/>
      <c r="J102" s="2217"/>
    </row>
    <row r="103" spans="1:10">
      <c r="A103" s="655" t="s">
        <v>2978</v>
      </c>
    </row>
    <row r="105" spans="1:10">
      <c r="A105" s="4080" t="s">
        <v>2979</v>
      </c>
      <c r="B105" s="4080"/>
      <c r="C105" s="4080"/>
      <c r="D105" s="4080"/>
      <c r="E105" s="4080"/>
      <c r="F105" s="4080"/>
      <c r="G105" s="4080"/>
      <c r="H105" s="4080"/>
      <c r="I105" s="4080"/>
      <c r="J105" s="4080"/>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4076" t="s">
        <v>5062</v>
      </c>
      <c r="B116" s="4076"/>
      <c r="C116" s="4076"/>
      <c r="D116" s="4076"/>
      <c r="E116" s="4076"/>
      <c r="H116" s="4076" t="s">
        <v>2983</v>
      </c>
      <c r="I116" s="4076"/>
      <c r="J116" s="4076"/>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3045</v>
      </c>
      <c r="B1" s="734"/>
      <c r="C1" s="649" t="str">
        <f>Overview!C8</f>
        <v>Brennan Place</v>
      </c>
    </row>
    <row r="2" spans="1:15" ht="13.5" customHeight="1"/>
    <row r="3" spans="1:15" ht="13.5" customHeight="1">
      <c r="A3" s="650" t="s">
        <v>3046</v>
      </c>
      <c r="C3" s="649" t="s">
        <v>3047</v>
      </c>
      <c r="E3" s="735">
        <f>SUM('Part IV-A-Uses of Funds'!J149,'Part IV-A-Uses of Funds'!M149,'Part IV-A-Uses of Funds'!P149)</f>
        <v>12739547</v>
      </c>
      <c r="F3" s="1868" t="s">
        <v>3048</v>
      </c>
      <c r="H3" s="1296">
        <v>27.5</v>
      </c>
      <c r="I3" s="649" t="s">
        <v>2469</v>
      </c>
      <c r="K3" s="654" t="s">
        <v>3069</v>
      </c>
      <c r="M3" s="1868"/>
      <c r="O3" s="736"/>
    </row>
    <row r="4" spans="1:15" ht="13.5" customHeight="1">
      <c r="C4" s="649" t="s">
        <v>3555</v>
      </c>
      <c r="E4" s="735">
        <f>SUM('Part IV-A-Uses of Funds'!G85:H89)</f>
        <v>42000</v>
      </c>
      <c r="F4" s="1868" t="s">
        <v>4458</v>
      </c>
      <c r="H4" s="650">
        <f>'Part III-Sources of Funds'!M38</f>
        <v>35</v>
      </c>
      <c r="I4" s="649" t="s">
        <v>2469</v>
      </c>
      <c r="K4" s="737" t="s">
        <v>3313</v>
      </c>
      <c r="M4" s="1868"/>
    </row>
    <row r="5" spans="1:15" ht="13.5" customHeight="1">
      <c r="C5" s="649" t="s">
        <v>3556</v>
      </c>
      <c r="E5" s="735">
        <f>SUM('Part IV-A-Uses of Funds'!G96:H102)</f>
        <v>151100</v>
      </c>
      <c r="F5" s="1868" t="s">
        <v>4457</v>
      </c>
      <c r="H5" s="1296">
        <v>15</v>
      </c>
      <c r="I5" s="649" t="s">
        <v>2469</v>
      </c>
      <c r="K5" s="736">
        <f>-E6</f>
        <v>-12398300</v>
      </c>
    </row>
    <row r="6" spans="1:15" ht="13.5" customHeight="1">
      <c r="C6" s="649" t="s">
        <v>3049</v>
      </c>
      <c r="E6" s="738">
        <f>'Part III-Sources of Funds'!$I$49+'Part III-Sources of Funds'!$I$50</f>
        <v>12398300</v>
      </c>
      <c r="F6" s="1868" t="s">
        <v>3050</v>
      </c>
      <c r="H6" s="739">
        <v>0.35</v>
      </c>
      <c r="K6" s="736" t="e">
        <f>C24</f>
        <v>#VALUE!</v>
      </c>
      <c r="M6" s="649" t="s">
        <v>3051</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3052</v>
      </c>
      <c r="O8" s="1259" t="e">
        <f>'Part VII-Pro Forma'!$K$71+'Part VII-Pro Forma'!$K$72+'Part VII-Pro Forma'!$K$73</f>
        <v>#VALUE!</v>
      </c>
    </row>
    <row r="9" spans="1:15" ht="13.5" customHeight="1">
      <c r="A9" s="649" t="s">
        <v>3053</v>
      </c>
      <c r="C9" s="743">
        <f>'Part VII-Pro Forma'!B32</f>
        <v>0.41648622768116184</v>
      </c>
      <c r="D9" s="743">
        <f>'Part VII-Pro Forma'!C32</f>
        <v>406.78685422762646</v>
      </c>
      <c r="E9" s="743">
        <f>'Part VII-Pro Forma'!D32</f>
        <v>38181.617529587675</v>
      </c>
      <c r="F9" s="743">
        <f>'Part VII-Pro Forma'!E32</f>
        <v>37446.000105454965</v>
      </c>
      <c r="G9" s="743">
        <f>'Part VII-Pro Forma'!F32</f>
        <v>36575.835678449454</v>
      </c>
      <c r="H9" s="743">
        <f>'Part VII-Pro Forma'!G32</f>
        <v>35564.828268882295</v>
      </c>
      <c r="I9" s="743">
        <f>'Part VII-Pro Forma'!H32</f>
        <v>34407.478026281256</v>
      </c>
      <c r="K9" s="736" t="e">
        <f>F24</f>
        <v>#VALUE!</v>
      </c>
      <c r="N9" s="744" t="s">
        <v>3055</v>
      </c>
    </row>
    <row r="10" spans="1:15" ht="13.5" customHeight="1">
      <c r="A10" s="649" t="s">
        <v>3054</v>
      </c>
      <c r="C10" s="1256">
        <f>'Part III-Sources of Funds'!I38-'Part VII-Pro Forma'!B39</f>
        <v>13907.51035138662</v>
      </c>
      <c r="D10" s="745">
        <f>'Part VII-Pro Forma'!B39-'Part VII-Pro Forma'!C39</f>
        <v>14802.066653844435</v>
      </c>
      <c r="E10" s="745">
        <f>'Part VII-Pro Forma'!C39-'Part VII-Pro Forma'!D39</f>
        <v>15754.162440943765</v>
      </c>
      <c r="F10" s="745">
        <f>'Part VII-Pro Forma'!D39-'Part VII-Pro Forma'!E39</f>
        <v>16767.498756748624</v>
      </c>
      <c r="G10" s="745">
        <f>'Part VII-Pro Forma'!E39-'Part VII-Pro Forma'!F39</f>
        <v>17846.014703192282</v>
      </c>
      <c r="H10" s="745">
        <f>'Part VII-Pro Forma'!F39-'Part VII-Pro Forma'!G39</f>
        <v>18993.902752393158</v>
      </c>
      <c r="I10" s="745">
        <f>'Part VII-Pro Forma'!G39-'Part VII-Pro Forma'!H39</f>
        <v>20215.625043883687</v>
      </c>
      <c r="K10" s="736" t="e">
        <f>G24</f>
        <v>#VALUE!</v>
      </c>
      <c r="N10" s="744" t="s">
        <v>3056</v>
      </c>
      <c r="O10" s="741"/>
    </row>
    <row r="11" spans="1:15" ht="13.5" customHeight="1">
      <c r="A11" s="649" t="s">
        <v>3054</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3558</v>
      </c>
      <c r="B13" s="748"/>
      <c r="C13" s="1257">
        <f>'Part VII-Pro Forma'!B22</f>
        <v>-18000</v>
      </c>
      <c r="D13" s="1257">
        <f>'Part VII-Pro Forma'!C22</f>
        <v>-18540</v>
      </c>
      <c r="E13" s="1257">
        <f>'Part VII-Pro Forma'!D22</f>
        <v>-19096.2</v>
      </c>
      <c r="F13" s="1257">
        <f>'Part VII-Pro Forma'!E22</f>
        <v>-19669.085999999999</v>
      </c>
      <c r="G13" s="1257">
        <f>'Part VII-Pro Forma'!F22</f>
        <v>-20259.158579999999</v>
      </c>
      <c r="H13" s="1257">
        <f>'Part VII-Pro Forma'!G22</f>
        <v>-20866.933337399998</v>
      </c>
      <c r="I13" s="1257">
        <f>'Part VII-Pro Forma'!H22</f>
        <v>-21492.941337521999</v>
      </c>
      <c r="K13" s="736" t="e">
        <f>C44</f>
        <v>#VALUE!</v>
      </c>
      <c r="O13" s="741"/>
    </row>
    <row r="14" spans="1:15" ht="13.5" customHeight="1">
      <c r="A14" s="747" t="s">
        <v>3559</v>
      </c>
      <c r="B14" s="748"/>
      <c r="C14" s="1257">
        <f>'Part VII-Pro Forma'!B31</f>
        <v>-39273</v>
      </c>
      <c r="D14" s="1257">
        <f>'Part VII-Pro Forma'!C31</f>
        <v>-38382</v>
      </c>
      <c r="E14" s="1257">
        <f>'Part VII-Pro Forma'!D31</f>
        <v>0</v>
      </c>
      <c r="F14" s="1257">
        <f>'Part VII-Pro Forma'!E31</f>
        <v>0</v>
      </c>
      <c r="G14" s="1257">
        <f>'Part VII-Pro Forma'!F31</f>
        <v>0</v>
      </c>
      <c r="H14" s="1257">
        <f>'Part VII-Pro Forma'!G31</f>
        <v>0</v>
      </c>
      <c r="I14" s="1257">
        <f>'Part VII-Pro Forma'!H31</f>
        <v>0</v>
      </c>
      <c r="K14" s="736" t="e">
        <f>D44</f>
        <v>#VALUE!</v>
      </c>
      <c r="M14" s="649" t="s">
        <v>3061</v>
      </c>
      <c r="O14" s="741" t="e">
        <f>O6-O8-O12</f>
        <v>#VALUE!</v>
      </c>
    </row>
    <row r="15" spans="1:15" ht="13.5" customHeight="1">
      <c r="A15" s="749" t="s">
        <v>3057</v>
      </c>
      <c r="C15" s="750">
        <f t="shared" ref="C15:I15" si="0">$E$3/$H$3</f>
        <v>463256.25454545452</v>
      </c>
      <c r="D15" s="750">
        <f t="shared" si="0"/>
        <v>463256.25454545452</v>
      </c>
      <c r="E15" s="750">
        <f t="shared" si="0"/>
        <v>463256.25454545452</v>
      </c>
      <c r="F15" s="750">
        <f t="shared" si="0"/>
        <v>463256.25454545452</v>
      </c>
      <c r="G15" s="750">
        <f t="shared" si="0"/>
        <v>463256.25454545452</v>
      </c>
      <c r="H15" s="750">
        <f t="shared" si="0"/>
        <v>463256.25454545452</v>
      </c>
      <c r="I15" s="750">
        <f t="shared" si="0"/>
        <v>463256.25454545452</v>
      </c>
      <c r="K15" s="736" t="e">
        <f>E44</f>
        <v>#VALUE!</v>
      </c>
      <c r="O15" s="741"/>
    </row>
    <row r="16" spans="1:15" ht="13.5" customHeight="1">
      <c r="A16" s="749" t="s">
        <v>3059</v>
      </c>
      <c r="C16" s="750">
        <f>IF(C$8&lt;=$H$4,($E$4/$H$4),0)+IF(C$8&lt;=$H$5,($E$5/$H$5),0)</f>
        <v>11273.333333333334</v>
      </c>
      <c r="D16" s="750">
        <f t="shared" ref="D16:I16" si="1">IF(D$8&lt;=$H$4,($E$4/$H$4),0)+IF(D$8&lt;=$H$5,($E$5/$H$5),0)</f>
        <v>11273.333333333334</v>
      </c>
      <c r="E16" s="750">
        <f t="shared" si="1"/>
        <v>11273.333333333334</v>
      </c>
      <c r="F16" s="750">
        <f t="shared" si="1"/>
        <v>11273.333333333334</v>
      </c>
      <c r="G16" s="750">
        <f t="shared" si="1"/>
        <v>11273.333333333334</v>
      </c>
      <c r="H16" s="750">
        <f t="shared" si="1"/>
        <v>11273.333333333334</v>
      </c>
      <c r="I16" s="750">
        <f t="shared" si="1"/>
        <v>11273.333333333334</v>
      </c>
      <c r="K16" s="736" t="e">
        <f>F44</f>
        <v>#VALUE!</v>
      </c>
      <c r="M16" s="649" t="s">
        <v>3063</v>
      </c>
      <c r="O16" s="741">
        <f>E3</f>
        <v>12739547</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9265125.0909090899</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3474421.9090909101</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1000000</v>
      </c>
      <c r="D21" s="751">
        <f t="shared" ref="D21:I21" si="5">C21</f>
        <v>1000000</v>
      </c>
      <c r="E21" s="751">
        <f t="shared" si="5"/>
        <v>1000000</v>
      </c>
      <c r="F21" s="751">
        <f t="shared" si="5"/>
        <v>1000000</v>
      </c>
      <c r="G21" s="751">
        <f t="shared" si="5"/>
        <v>1000000</v>
      </c>
      <c r="H21" s="751">
        <f t="shared" si="5"/>
        <v>1000000</v>
      </c>
      <c r="I21" s="751">
        <f t="shared" si="5"/>
        <v>1000000</v>
      </c>
      <c r="J21" s="649" t="s">
        <v>243</v>
      </c>
      <c r="K21" s="736" t="e">
        <f>D64</f>
        <v>#VALUE!</v>
      </c>
      <c r="O21" s="741"/>
    </row>
    <row r="22" spans="1:17" ht="13.5" customHeight="1">
      <c r="A22" s="649" t="s">
        <v>3066</v>
      </c>
      <c r="C22" s="751">
        <f>C21</f>
        <v>1000000</v>
      </c>
      <c r="D22" s="751">
        <f t="shared" ref="D22:I22" si="6">D21</f>
        <v>1000000</v>
      </c>
      <c r="E22" s="751">
        <f t="shared" si="6"/>
        <v>1000000</v>
      </c>
      <c r="F22" s="751">
        <f t="shared" si="6"/>
        <v>1000000</v>
      </c>
      <c r="G22" s="751">
        <f t="shared" si="6"/>
        <v>1000000</v>
      </c>
      <c r="H22" s="751">
        <f t="shared" si="6"/>
        <v>1000000</v>
      </c>
      <c r="I22" s="751">
        <f t="shared" si="6"/>
        <v>1000000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3474421.9090909101</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-3474421.9090909101</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3053</v>
      </c>
      <c r="C29" s="743">
        <f>'Part VII-Pro Forma'!I32</f>
        <v>33095.074213440588</v>
      </c>
      <c r="D29" s="743">
        <f>'Part VII-Pro Forma'!J32</f>
        <v>31620.687961994059</v>
      </c>
      <c r="E29" s="743">
        <f>'Part VII-Pro Forma'!K32</f>
        <v>29979.164792298659</v>
      </c>
      <c r="F29" s="743">
        <f>'Part VII-Pro Forma'!B64</f>
        <v>28161.116890193109</v>
      </c>
      <c r="G29" s="743">
        <f>'Part VII-Pro Forma'!C64</f>
        <v>26159.915132958471</v>
      </c>
      <c r="H29" s="743">
        <f>'Part VII-Pro Forma'!D64</f>
        <v>23966.680856580118</v>
      </c>
      <c r="I29" s="743">
        <f>'Part VII-Pro Forma'!E64</f>
        <v>21572.277356154606</v>
      </c>
      <c r="N29" s="754"/>
      <c r="O29" s="754"/>
    </row>
    <row r="30" spans="1:17" ht="13.5" customHeight="1">
      <c r="A30" s="649" t="s">
        <v>3054</v>
      </c>
      <c r="C30" s="745">
        <f>'Part VII-Pro Forma'!H39-'Part VII-Pro Forma'!I39</f>
        <v>21515.930730107939</v>
      </c>
      <c r="D30" s="745">
        <f>'Part VII-Pro Forma'!I39-'Part VII-Pro Forma'!J39</f>
        <v>22899.874437612947</v>
      </c>
      <c r="E30" s="745">
        <f>'Part VII-Pro Forma'!J39-'Part VII-Pro Forma'!K39</f>
        <v>24372.835915697739</v>
      </c>
      <c r="F30" s="1254">
        <f>'Part VII-Pro Forma'!K39-'Part VII-Pro Forma'!B71</f>
        <v>25940.540948898299</v>
      </c>
      <c r="G30" s="1254">
        <f>'Part VII-Pro Forma'!B71-'Part VII-Pro Forma'!C71</f>
        <v>27609.083614601521</v>
      </c>
      <c r="H30" s="1254">
        <f>'Part VII-Pro Forma'!C71-'Part VII-Pro Forma'!D71</f>
        <v>29384.949972311268</v>
      </c>
      <c r="I30" s="1254">
        <f>'Part VII-Pro Forma'!D71-'Part VII-Pro Forma'!E71</f>
        <v>31275.043276647106</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3073</v>
      </c>
      <c r="O31" s="743">
        <f>O25*O27</f>
        <v>-694884.38181818207</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-22137.72957764766</v>
      </c>
      <c r="D33" s="1257">
        <f>'Part VII-Pro Forma'!J22</f>
        <v>-22801.861464977086</v>
      </c>
      <c r="E33" s="1257">
        <f>'Part VII-Pro Forma'!K22</f>
        <v>-23485.9173089264</v>
      </c>
      <c r="F33" s="1257">
        <f>'Part VII-Pro Forma'!B54</f>
        <v>-24190.494828194191</v>
      </c>
      <c r="G33" s="1257">
        <f>'Part VII-Pro Forma'!C54</f>
        <v>-24916.209673040019</v>
      </c>
      <c r="H33" s="1257">
        <f>'Part VII-Pro Forma'!D54</f>
        <v>-25663.695963231214</v>
      </c>
      <c r="I33" s="1257">
        <f>'Part VII-Pro Forma'!E54</f>
        <v>-26433.606842128149</v>
      </c>
      <c r="K33" s="649" t="s">
        <v>243</v>
      </c>
      <c r="M33" s="649" t="s">
        <v>3074</v>
      </c>
      <c r="O33" s="743" t="e">
        <f>O14-O31</f>
        <v>#VALUE!</v>
      </c>
    </row>
    <row r="34" spans="1:15" ht="13.5" customHeight="1">
      <c r="A34" s="747" t="s">
        <v>3559</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3057</v>
      </c>
      <c r="C35" s="750">
        <f t="shared" ref="C35:I35" si="8">$E$3/$H$3</f>
        <v>463256.25454545452</v>
      </c>
      <c r="D35" s="750">
        <f t="shared" si="8"/>
        <v>463256.25454545452</v>
      </c>
      <c r="E35" s="750">
        <f t="shared" si="8"/>
        <v>463256.25454545452</v>
      </c>
      <c r="F35" s="750">
        <f t="shared" si="8"/>
        <v>463256.25454545452</v>
      </c>
      <c r="G35" s="750">
        <f t="shared" si="8"/>
        <v>463256.25454545452</v>
      </c>
      <c r="H35" s="750">
        <f t="shared" si="8"/>
        <v>463256.25454545452</v>
      </c>
      <c r="I35" s="750">
        <f t="shared" si="8"/>
        <v>463256.25454545452</v>
      </c>
    </row>
    <row r="36" spans="1:15" ht="13.5" customHeight="1">
      <c r="A36" s="749" t="s">
        <v>3059</v>
      </c>
      <c r="C36" s="743">
        <f>IF(C$28&lt;=$H$4,($E$4/$H$4),0)+IF(C$28&lt;=$H$5,($E$5/$H$5),0)</f>
        <v>11273.333333333334</v>
      </c>
      <c r="D36" s="743">
        <f t="shared" ref="D36:I36" si="9">IF(D$28&lt;=$H$4,($E$4/$H$4),0)+IF(D$28&lt;=$H$5,($E$5/$H$5),0)</f>
        <v>11273.333333333334</v>
      </c>
      <c r="E36" s="743">
        <f t="shared" si="9"/>
        <v>11273.333333333334</v>
      </c>
      <c r="F36" s="743">
        <f t="shared" si="9"/>
        <v>11273.333333333334</v>
      </c>
      <c r="G36" s="743">
        <f t="shared" si="9"/>
        <v>11273.333333333334</v>
      </c>
      <c r="H36" s="743">
        <f t="shared" si="9"/>
        <v>11273.333333333334</v>
      </c>
      <c r="I36" s="743">
        <f t="shared" si="9"/>
        <v>11273.333333333334</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1000000</v>
      </c>
      <c r="D41" s="751">
        <f>C41</f>
        <v>1000000</v>
      </c>
      <c r="E41" s="751">
        <f>D41</f>
        <v>1000000</v>
      </c>
      <c r="F41" s="751">
        <v>0</v>
      </c>
      <c r="G41" s="751">
        <v>0</v>
      </c>
      <c r="H41" s="751">
        <v>0</v>
      </c>
      <c r="I41" s="751">
        <v>0</v>
      </c>
    </row>
    <row r="42" spans="1:15" ht="13.5" customHeight="1">
      <c r="A42" s="649" t="s">
        <v>3066</v>
      </c>
      <c r="C42" s="751">
        <f>C22</f>
        <v>1000000</v>
      </c>
      <c r="D42" s="751">
        <f>C42</f>
        <v>1000000</v>
      </c>
      <c r="E42" s="751">
        <f>D42</f>
        <v>1000000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3053</v>
      </c>
      <c r="C49" s="743">
        <f>'Part VII-Pro Forma'!F64</f>
        <v>18970.301111045526</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5">
        <f>'Part VII-Pro Forma'!E71-'Part VII-Pro Forma'!F71</f>
        <v>33286.710812093224</v>
      </c>
      <c r="D50" s="1255">
        <f>'Part VII-Pro Forma'!F71-'Part VII-Pro Forma'!G71</f>
        <v>35427.772453803802</v>
      </c>
      <c r="E50" s="1255">
        <f>'Part VII-Pro Forma'!G71-'Part VII-Pro Forma'!H71</f>
        <v>37706.551065493142</v>
      </c>
      <c r="F50" s="1255">
        <f>'Part VII-Pro Forma'!H71-'Part VII-Pro Forma'!I71</f>
        <v>40131.904852572596</v>
      </c>
      <c r="G50" s="1255">
        <f>'Part VII-Pro Forma'!I71-'Part VII-Pro Forma'!J71</f>
        <v>42713.261796299601</v>
      </c>
      <c r="H50" s="1255">
        <f>'Part VII-Pro Forma'!J71-'Part VII-Pro Forma'!K71</f>
        <v>45460.65630279365</v>
      </c>
    </row>
    <row r="51" spans="1:10" ht="13.5" customHeight="1">
      <c r="A51" s="649" t="s">
        <v>3054</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-27226.615047391999</v>
      </c>
      <c r="D53" s="1257">
        <f>'Part VII-Pro Forma'!G54</f>
        <v>-28043.413498813759</v>
      </c>
      <c r="E53" s="1257">
        <f>'Part VII-Pro Forma'!H54</f>
        <v>-28884.715903778168</v>
      </c>
      <c r="F53" s="1257">
        <f>'Part VII-Pro Forma'!I54</f>
        <v>-29751.257380891511</v>
      </c>
      <c r="G53" s="1257">
        <f>'Part VII-Pro Forma'!J54</f>
        <v>-30643.795102318258</v>
      </c>
      <c r="H53" s="1257">
        <f>'Part VII-Pro Forma'!K54</f>
        <v>-31563.108955387805</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3057</v>
      </c>
      <c r="C55" s="750">
        <f t="shared" ref="C55:H55" si="14">$E$3/$H$3</f>
        <v>463256.25454545452</v>
      </c>
      <c r="D55" s="750">
        <f t="shared" si="14"/>
        <v>463256.25454545452</v>
      </c>
      <c r="E55" s="750">
        <f t="shared" si="14"/>
        <v>463256.25454545452</v>
      </c>
      <c r="F55" s="750">
        <f t="shared" si="14"/>
        <v>463256.25454545452</v>
      </c>
      <c r="G55" s="750">
        <f t="shared" si="14"/>
        <v>463256.25454545452</v>
      </c>
      <c r="H55" s="750">
        <f t="shared" si="14"/>
        <v>463256.25454545452</v>
      </c>
    </row>
    <row r="56" spans="1:10" ht="13.5" customHeight="1">
      <c r="A56" s="749" t="s">
        <v>3059</v>
      </c>
      <c r="C56" s="743">
        <f t="shared" ref="C56:H56" si="15">IF(C$48&lt;=$H$4,($E$4/$H$4),0)+IF(C$48&lt;=$H$5,($E$5/$H$5),0)</f>
        <v>11273.333333333334</v>
      </c>
      <c r="D56" s="743">
        <f t="shared" si="15"/>
        <v>1200</v>
      </c>
      <c r="E56" s="743">
        <f t="shared" si="15"/>
        <v>1200</v>
      </c>
      <c r="F56" s="743">
        <f t="shared" si="15"/>
        <v>1200</v>
      </c>
      <c r="G56" s="743">
        <f t="shared" si="15"/>
        <v>1200</v>
      </c>
      <c r="H56" s="743">
        <f t="shared" si="15"/>
        <v>1200</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4093" t="e">
        <f>IRR(K5:K25)</f>
        <v>#VALUE!</v>
      </c>
      <c r="H66" s="4094"/>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915" t="str">
        <f>CONCATENATE("PART ONE - PROJECT INFORMATION"," - ",$O$6," ",$F$34,", ",'Part I-Project Information'!F38,", ",'Part I-Project Information'!J39," County")</f>
        <v>PART ONE - PROJECT INFORMATION - 2019-042 Brennan Place, Columbus, Muscogee County</v>
      </c>
      <c r="B1" s="2916"/>
      <c r="C1" s="2916"/>
      <c r="D1" s="2916"/>
      <c r="E1" s="2916"/>
      <c r="F1" s="2916"/>
      <c r="G1" s="2916"/>
      <c r="H1" s="2916"/>
      <c r="I1" s="2916"/>
      <c r="J1" s="2916"/>
      <c r="K1" s="2916"/>
      <c r="L1" s="2916"/>
      <c r="M1" s="2916"/>
      <c r="N1" s="2916"/>
      <c r="O1" s="2916"/>
      <c r="P1" s="2917"/>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9" t="s">
        <v>4454</v>
      </c>
      <c r="B3" s="2929"/>
      <c r="C3" s="2929"/>
      <c r="D3" s="2929"/>
      <c r="E3" s="2929"/>
      <c r="F3" s="2929"/>
      <c r="G3" s="2929"/>
      <c r="H3" s="2929"/>
      <c r="I3" s="2929"/>
      <c r="J3" s="2929"/>
      <c r="K3" s="2929"/>
      <c r="L3" s="2929"/>
      <c r="M3" s="2929"/>
      <c r="N3" s="2929"/>
      <c r="O3" s="2929"/>
      <c r="P3" s="2929"/>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5" t="s">
        <v>2364</v>
      </c>
      <c r="F5" s="295"/>
      <c r="G5" s="270" t="s">
        <v>4862</v>
      </c>
      <c r="L5" s="878"/>
      <c r="P5" s="1079" t="s">
        <v>3864</v>
      </c>
    </row>
    <row r="6" spans="1:16" s="294" customFormat="1" ht="12" customHeight="1" thickBot="1">
      <c r="B6" s="2930" t="s">
        <v>5065</v>
      </c>
      <c r="C6" s="2930"/>
      <c r="D6" s="2930"/>
      <c r="E6" s="1289"/>
      <c r="F6" s="297"/>
      <c r="G6" s="270" t="s">
        <v>4861</v>
      </c>
      <c r="H6" s="2274"/>
      <c r="I6" s="2274"/>
      <c r="J6" s="2274"/>
      <c r="O6" s="2918" t="s">
        <v>5301</v>
      </c>
      <c r="P6" s="2919"/>
    </row>
    <row r="7" spans="1:16" s="294" customFormat="1" ht="12" customHeight="1">
      <c r="B7" s="2930"/>
      <c r="C7" s="2930"/>
      <c r="D7" s="2930"/>
      <c r="E7" s="1289"/>
      <c r="F7" s="521"/>
      <c r="G7" s="172" t="s">
        <v>3317</v>
      </c>
      <c r="H7" s="2274"/>
      <c r="I7" s="2274"/>
      <c r="J7" s="2274"/>
    </row>
    <row r="8" spans="1:16" s="294" customFormat="1" ht="6" customHeight="1">
      <c r="A8" s="480"/>
      <c r="B8" s="2930"/>
      <c r="C8" s="2930"/>
      <c r="D8" s="2930"/>
      <c r="E8" s="2274"/>
      <c r="H8" s="2274"/>
      <c r="I8" s="2274"/>
      <c r="M8" s="2274"/>
    </row>
    <row r="9" spans="1:16" s="294" customFormat="1" ht="13.2" customHeight="1">
      <c r="A9" s="296" t="s">
        <v>616</v>
      </c>
      <c r="B9" s="296" t="s">
        <v>2375</v>
      </c>
      <c r="D9" s="271"/>
      <c r="E9" s="298"/>
      <c r="F9" s="2263" t="s">
        <v>3793</v>
      </c>
      <c r="I9" s="2920">
        <f>'Part IV-A-Uses of Funds'!$J$175</f>
        <v>1000000</v>
      </c>
      <c r="J9" s="2921"/>
      <c r="L9" s="294" t="s">
        <v>3794</v>
      </c>
      <c r="O9" s="2922">
        <f>'Part III-Sources of Funds'!$H$5</f>
        <v>0</v>
      </c>
      <c r="P9" s="2923"/>
    </row>
    <row r="10" spans="1:16" s="294" customFormat="1" ht="6" customHeight="1">
      <c r="A10" s="296"/>
      <c r="B10" s="296"/>
      <c r="D10" s="271"/>
      <c r="E10" s="298"/>
      <c r="F10" s="298"/>
      <c r="I10" s="299"/>
      <c r="N10" s="300"/>
    </row>
    <row r="11" spans="1:16" s="294" customFormat="1" ht="13.2" customHeight="1">
      <c r="A11" s="299" t="s">
        <v>740</v>
      </c>
      <c r="B11" s="296" t="s">
        <v>2040</v>
      </c>
      <c r="F11" s="2866" t="s">
        <v>5198</v>
      </c>
      <c r="G11" s="2867"/>
      <c r="H11" s="2868"/>
      <c r="I11" s="2482" t="s">
        <v>3712</v>
      </c>
      <c r="J11" s="502" t="s">
        <v>5066</v>
      </c>
      <c r="K11" s="304"/>
      <c r="L11" s="2274"/>
      <c r="O11" s="2924" t="s">
        <v>5200</v>
      </c>
      <c r="P11" s="2925"/>
    </row>
    <row r="12" spans="1:16" s="294" customFormat="1" ht="12.75" customHeight="1">
      <c r="A12" s="480"/>
      <c r="B12" s="2215"/>
      <c r="C12" s="2215"/>
      <c r="D12" s="2215"/>
      <c r="E12" s="2215"/>
      <c r="H12" s="2274"/>
      <c r="J12" s="1221" t="s">
        <v>5044</v>
      </c>
      <c r="K12" s="2265"/>
      <c r="M12" s="2274"/>
      <c r="O12" s="2931" t="s">
        <v>5199</v>
      </c>
      <c r="P12" s="2932"/>
    </row>
    <row r="13" spans="1:16" s="294" customFormat="1" ht="3" customHeight="1">
      <c r="A13" s="480"/>
      <c r="B13" s="2215"/>
      <c r="C13" s="2215"/>
      <c r="D13" s="2215"/>
      <c r="E13" s="2215"/>
      <c r="H13" s="2274"/>
      <c r="J13" s="503"/>
      <c r="K13" s="2265"/>
      <c r="M13" s="2274"/>
    </row>
    <row r="14" spans="1:16" s="294" customFormat="1" ht="12.75" customHeight="1">
      <c r="A14" s="480"/>
      <c r="B14" s="2215" t="s">
        <v>5045</v>
      </c>
      <c r="C14" s="2215"/>
      <c r="D14" s="2215"/>
      <c r="E14" s="2215"/>
      <c r="F14" s="2483" t="s">
        <v>2992</v>
      </c>
      <c r="G14" s="2266" t="s">
        <v>5046</v>
      </c>
      <c r="N14" s="2866" t="s">
        <v>5047</v>
      </c>
      <c r="O14" s="2867"/>
      <c r="P14" s="2868"/>
    </row>
    <row r="15" spans="1:16" s="294" customFormat="1" ht="12.75" customHeight="1">
      <c r="A15" s="480"/>
      <c r="B15" s="294" t="s">
        <v>3865</v>
      </c>
      <c r="D15" s="304"/>
      <c r="F15" s="2852"/>
      <c r="G15" s="2869"/>
      <c r="H15" s="2869"/>
      <c r="I15" s="2869"/>
      <c r="J15" s="2869"/>
      <c r="K15" s="2870"/>
      <c r="L15" s="294" t="s">
        <v>5032</v>
      </c>
      <c r="O15" s="2871"/>
      <c r="P15" s="2872"/>
    </row>
    <row r="16" spans="1:16" s="294" customFormat="1" ht="12.75" customHeight="1">
      <c r="A16" s="480"/>
      <c r="B16" s="294" t="s">
        <v>3792</v>
      </c>
      <c r="F16" s="2483"/>
      <c r="G16" s="294" t="s">
        <v>5033</v>
      </c>
      <c r="H16" s="2274"/>
      <c r="I16" s="172"/>
      <c r="J16" s="503"/>
      <c r="N16" s="2874" t="s">
        <v>2884</v>
      </c>
      <c r="O16" s="2875"/>
      <c r="P16" s="2876"/>
    </row>
    <row r="17" spans="1:16" s="294" customFormat="1" ht="6" customHeight="1">
      <c r="I17" s="271"/>
      <c r="J17" s="271"/>
      <c r="K17" s="271"/>
      <c r="L17" s="271"/>
      <c r="M17" s="271"/>
      <c r="N17" s="271"/>
      <c r="O17" s="271"/>
      <c r="P17" s="271"/>
    </row>
    <row r="18" spans="1:16" s="294" customFormat="1" ht="13.2" customHeight="1">
      <c r="A18" s="299" t="s">
        <v>742</v>
      </c>
      <c r="B18" s="296" t="s">
        <v>4474</v>
      </c>
      <c r="D18" s="2263"/>
      <c r="E18" s="298"/>
      <c r="G18" s="301"/>
      <c r="H18" s="301"/>
      <c r="I18" s="301"/>
      <c r="L18" s="300"/>
    </row>
    <row r="19" spans="1:16" s="294" customFormat="1" ht="1.5" customHeight="1">
      <c r="A19" s="299"/>
      <c r="B19" s="298"/>
      <c r="C19" s="296"/>
      <c r="D19" s="2263"/>
      <c r="E19" s="298"/>
      <c r="G19" s="301"/>
      <c r="H19" s="301"/>
      <c r="I19" s="301"/>
      <c r="K19" s="300"/>
      <c r="L19" s="300"/>
      <c r="O19" s="878"/>
    </row>
    <row r="20" spans="1:16" s="294" customFormat="1" ht="13.2" customHeight="1">
      <c r="B20" s="294" t="s">
        <v>3874</v>
      </c>
      <c r="F20" s="2786" t="s">
        <v>5235</v>
      </c>
      <c r="G20" s="2787"/>
      <c r="H20" s="2788"/>
      <c r="I20" s="294" t="s">
        <v>1797</v>
      </c>
      <c r="J20" s="2786" t="s">
        <v>5188</v>
      </c>
      <c r="K20" s="2787"/>
      <c r="L20" s="2788"/>
      <c r="M20" s="327" t="s">
        <v>1980</v>
      </c>
      <c r="N20" s="2871" t="s">
        <v>2474</v>
      </c>
      <c r="O20" s="2883"/>
      <c r="P20" s="2872"/>
    </row>
    <row r="21" spans="1:16" s="294" customFormat="1" ht="13.2" customHeight="1">
      <c r="B21" s="2263" t="s">
        <v>1981</v>
      </c>
      <c r="F21" s="2854" t="s">
        <v>5189</v>
      </c>
      <c r="G21" s="2794"/>
      <c r="H21" s="2794"/>
      <c r="I21" s="2855"/>
      <c r="J21" s="2794"/>
      <c r="K21" s="2855"/>
      <c r="L21" s="2823"/>
      <c r="M21" s="2926" t="s">
        <v>3873</v>
      </c>
      <c r="N21" s="2927"/>
      <c r="O21" s="2927"/>
      <c r="P21" s="2927"/>
    </row>
    <row r="22" spans="1:16" s="294" customFormat="1" ht="13.2" customHeight="1">
      <c r="B22" s="2263" t="s">
        <v>618</v>
      </c>
      <c r="F22" s="2854" t="s">
        <v>184</v>
      </c>
      <c r="G22" s="2794"/>
      <c r="H22" s="2856"/>
      <c r="I22" s="2263" t="s">
        <v>1799</v>
      </c>
      <c r="J22" s="2484" t="s">
        <v>838</v>
      </c>
      <c r="M22" s="2926"/>
      <c r="N22" s="2926"/>
      <c r="O22" s="2926"/>
      <c r="P22" s="2926"/>
    </row>
    <row r="23" spans="1:16" s="294" customFormat="1" ht="13.2" customHeight="1">
      <c r="B23" s="2266" t="s">
        <v>2229</v>
      </c>
      <c r="F23" s="2904">
        <v>361176972</v>
      </c>
      <c r="G23" s="2928"/>
      <c r="H23" s="2905"/>
      <c r="I23" s="2263" t="s">
        <v>1720</v>
      </c>
      <c r="J23" s="2873">
        <v>3342816820</v>
      </c>
      <c r="K23" s="2785"/>
      <c r="L23" s="2278" t="s">
        <v>1719</v>
      </c>
      <c r="M23" s="2485">
        <v>222</v>
      </c>
      <c r="N23" s="2266" t="s">
        <v>1721</v>
      </c>
      <c r="O23" s="2783">
        <v>3342816820</v>
      </c>
      <c r="P23" s="2785"/>
    </row>
    <row r="24" spans="1:16" s="294" customFormat="1" ht="13.2" customHeight="1">
      <c r="B24" s="2266" t="s">
        <v>1984</v>
      </c>
      <c r="F24" s="2791" t="s">
        <v>5197</v>
      </c>
      <c r="G24" s="2792"/>
      <c r="H24" s="2792"/>
      <c r="I24" s="2883"/>
      <c r="J24" s="2792"/>
      <c r="K24" s="2793"/>
      <c r="N24" s="2266" t="s">
        <v>1979</v>
      </c>
      <c r="O24" s="2848"/>
      <c r="P24" s="2850"/>
    </row>
    <row r="25" spans="1:16" s="294" customFormat="1" ht="13.5" customHeight="1">
      <c r="A25" s="480"/>
      <c r="B25" s="296" t="s">
        <v>4473</v>
      </c>
      <c r="C25" s="302"/>
      <c r="D25" s="2271"/>
      <c r="E25" s="2271"/>
      <c r="F25" s="2271"/>
      <c r="H25" s="2274"/>
      <c r="I25" s="2271"/>
      <c r="J25" s="302"/>
      <c r="K25" s="2271"/>
      <c r="P25" s="303"/>
    </row>
    <row r="26" spans="1:16" s="294" customFormat="1" ht="13.2" customHeight="1">
      <c r="B26" s="294" t="s">
        <v>3874</v>
      </c>
      <c r="F26" s="2786" t="s">
        <v>5235</v>
      </c>
      <c r="G26" s="2787"/>
      <c r="H26" s="2788"/>
      <c r="I26" s="294" t="s">
        <v>1797</v>
      </c>
      <c r="J26" s="2786" t="s">
        <v>5194</v>
      </c>
      <c r="K26" s="2787"/>
      <c r="L26" s="2788"/>
      <c r="M26" s="327" t="s">
        <v>1980</v>
      </c>
      <c r="N26" s="2871" t="s">
        <v>5195</v>
      </c>
      <c r="O26" s="2883"/>
      <c r="P26" s="2872"/>
    </row>
    <row r="27" spans="1:16" s="294" customFormat="1" ht="13.2" customHeight="1">
      <c r="B27" s="2263" t="s">
        <v>1981</v>
      </c>
      <c r="F27" s="2854" t="s">
        <v>5189</v>
      </c>
      <c r="G27" s="2794"/>
      <c r="H27" s="2794"/>
      <c r="I27" s="2855"/>
      <c r="J27" s="2794"/>
      <c r="K27" s="2855"/>
      <c r="L27" s="2823"/>
      <c r="M27" s="2926" t="s">
        <v>3873</v>
      </c>
      <c r="N27" s="2927"/>
      <c r="O27" s="2927"/>
      <c r="P27" s="2927"/>
    </row>
    <row r="28" spans="1:16" s="294" customFormat="1" ht="13.2" customHeight="1">
      <c r="B28" s="2263" t="s">
        <v>618</v>
      </c>
      <c r="F28" s="2854" t="s">
        <v>184</v>
      </c>
      <c r="G28" s="2794"/>
      <c r="H28" s="2856"/>
      <c r="I28" s="2263" t="s">
        <v>1799</v>
      </c>
      <c r="J28" s="2484"/>
      <c r="M28" s="2926"/>
      <c r="N28" s="2926"/>
      <c r="O28" s="2926"/>
      <c r="P28" s="2926"/>
    </row>
    <row r="29" spans="1:16" s="294" customFormat="1" ht="13.2" customHeight="1">
      <c r="B29" s="2266" t="s">
        <v>2229</v>
      </c>
      <c r="F29" s="2904">
        <v>361176972</v>
      </c>
      <c r="G29" s="2928"/>
      <c r="H29" s="2905"/>
      <c r="I29" s="2263" t="s">
        <v>1720</v>
      </c>
      <c r="J29" s="2873">
        <v>3342816820</v>
      </c>
      <c r="K29" s="2785"/>
      <c r="L29" s="2278" t="s">
        <v>1719</v>
      </c>
      <c r="M29" s="2485"/>
      <c r="N29" s="2266" t="s">
        <v>1721</v>
      </c>
      <c r="O29" s="2783">
        <v>3345233611</v>
      </c>
      <c r="P29" s="2785"/>
    </row>
    <row r="30" spans="1:16" s="294" customFormat="1" ht="13.2" customHeight="1">
      <c r="B30" s="2266" t="s">
        <v>1984</v>
      </c>
      <c r="F30" s="2791" t="s">
        <v>5196</v>
      </c>
      <c r="G30" s="2792"/>
      <c r="H30" s="2792"/>
      <c r="I30" s="2883"/>
      <c r="J30" s="2792"/>
      <c r="K30" s="2793"/>
      <c r="N30" s="2266" t="s">
        <v>1979</v>
      </c>
      <c r="O30" s="2848"/>
      <c r="P30" s="2850"/>
    </row>
    <row r="31" spans="1:16" s="294" customFormat="1" ht="6" customHeight="1">
      <c r="A31" s="480"/>
      <c r="B31" s="480"/>
      <c r="C31" s="302"/>
      <c r="D31" s="2271"/>
      <c r="E31" s="2271"/>
      <c r="F31" s="2271"/>
      <c r="H31" s="2274"/>
      <c r="I31" s="2271"/>
      <c r="J31" s="302"/>
      <c r="K31" s="2271"/>
      <c r="P31" s="303"/>
    </row>
    <row r="32" spans="1:16" s="294" customFormat="1" ht="13.2" customHeight="1">
      <c r="A32" s="299" t="s">
        <v>1792</v>
      </c>
      <c r="B32" s="296" t="s">
        <v>1474</v>
      </c>
      <c r="D32" s="271"/>
      <c r="E32" s="298"/>
      <c r="F32" s="298"/>
      <c r="G32" s="2263"/>
      <c r="H32" s="298"/>
      <c r="I32" s="298"/>
      <c r="J32" s="301"/>
      <c r="L32" s="300"/>
      <c r="M32" s="300"/>
    </row>
    <row r="33" spans="1:16" s="294" customFormat="1" ht="1.5" customHeight="1">
      <c r="A33" s="299"/>
      <c r="B33" s="296"/>
      <c r="D33" s="271"/>
      <c r="E33" s="298"/>
      <c r="F33" s="298"/>
      <c r="G33" s="2263"/>
      <c r="H33" s="298"/>
      <c r="I33" s="298"/>
      <c r="J33" s="301"/>
      <c r="L33" s="300"/>
    </row>
    <row r="34" spans="1:16" s="294" customFormat="1" ht="13.2" customHeight="1">
      <c r="A34" s="296"/>
      <c r="B34" s="294" t="s">
        <v>617</v>
      </c>
      <c r="D34" s="304"/>
      <c r="F34" s="2908" t="s">
        <v>5190</v>
      </c>
      <c r="G34" s="2909"/>
      <c r="H34" s="2909"/>
      <c r="I34" s="2909"/>
      <c r="J34" s="2909"/>
      <c r="K34" s="2910"/>
      <c r="L34" s="2266" t="s">
        <v>2192</v>
      </c>
      <c r="O34" s="2786" t="s">
        <v>2992</v>
      </c>
      <c r="P34" s="2788"/>
    </row>
    <row r="35" spans="1:16" s="294" customFormat="1" ht="13.2" customHeight="1">
      <c r="A35" s="305"/>
      <c r="B35" s="294" t="s">
        <v>2699</v>
      </c>
      <c r="D35" s="306"/>
      <c r="F35" s="2780" t="s">
        <v>5201</v>
      </c>
      <c r="G35" s="2781"/>
      <c r="H35" s="2781"/>
      <c r="I35" s="2781"/>
      <c r="J35" s="2781"/>
      <c r="K35" s="2782"/>
      <c r="L35" s="294" t="s">
        <v>3680</v>
      </c>
      <c r="O35" s="2822"/>
      <c r="P35" s="2856"/>
    </row>
    <row r="36" spans="1:16" s="294" customFormat="1" ht="13.2" customHeight="1">
      <c r="A36" s="305"/>
      <c r="B36" s="294" t="s">
        <v>2734</v>
      </c>
      <c r="D36" s="306"/>
      <c r="F36" s="2822" t="s">
        <v>5202</v>
      </c>
      <c r="G36" s="2794"/>
      <c r="H36" s="2794"/>
      <c r="I36" s="2855"/>
      <c r="J36" s="2794"/>
      <c r="K36" s="2856"/>
      <c r="L36" s="2266" t="s">
        <v>2050</v>
      </c>
      <c r="N36" s="2485" t="s">
        <v>2992</v>
      </c>
      <c r="O36" s="2274" t="s">
        <v>3679</v>
      </c>
      <c r="P36" s="2486">
        <v>1</v>
      </c>
    </row>
    <row r="37" spans="1:16" s="294" customFormat="1" ht="13.2" customHeight="1">
      <c r="A37" s="305"/>
      <c r="B37" s="294" t="s">
        <v>3733</v>
      </c>
      <c r="D37" s="306"/>
      <c r="F37" s="294" t="s">
        <v>3714</v>
      </c>
      <c r="G37" s="2902">
        <v>32.439373000000003</v>
      </c>
      <c r="H37" s="2903"/>
      <c r="I37" s="2278" t="s">
        <v>3715</v>
      </c>
      <c r="J37" s="2902">
        <v>-84.940493000000004</v>
      </c>
      <c r="K37" s="2903"/>
      <c r="L37" s="2266" t="s">
        <v>2283</v>
      </c>
      <c r="O37" s="2911">
        <v>5.2</v>
      </c>
      <c r="P37" s="2912"/>
    </row>
    <row r="38" spans="1:16" s="294" customFormat="1" ht="13.2" customHeight="1">
      <c r="A38" s="480"/>
      <c r="B38" s="294" t="s">
        <v>618</v>
      </c>
      <c r="F38" s="2786" t="s">
        <v>161</v>
      </c>
      <c r="G38" s="2913"/>
      <c r="H38" s="2914"/>
      <c r="I38" s="310" t="s">
        <v>2700</v>
      </c>
      <c r="J38" s="2904">
        <v>319032054</v>
      </c>
      <c r="K38" s="2905"/>
      <c r="L38" s="365" t="str">
        <f>IF(AND(NOT(F34=""),NOT(F38="Select from list"),J38=""),"Enter Zip!","")</f>
        <v/>
      </c>
      <c r="M38" s="308" t="s">
        <v>2905</v>
      </c>
      <c r="O38" s="2906" t="s">
        <v>5203</v>
      </c>
      <c r="P38" s="2907"/>
    </row>
    <row r="39" spans="1:16" s="294" customFormat="1" ht="13.2" customHeight="1">
      <c r="A39" s="480"/>
      <c r="B39" s="2271" t="s">
        <v>3568</v>
      </c>
      <c r="D39" s="2271"/>
      <c r="F39" s="2822" t="s">
        <v>5193</v>
      </c>
      <c r="G39" s="2855"/>
      <c r="H39" s="2823"/>
      <c r="I39" s="307" t="s">
        <v>619</v>
      </c>
      <c r="J39" s="2939" t="str">
        <f>IF($F$38="","",VLOOKUP($F$38,'DCA Underwriting Assumptions'!$T$158:$U$786,2,FALSE))</f>
        <v>Muscogee</v>
      </c>
      <c r="K39" s="2940"/>
      <c r="M39" s="2266" t="s">
        <v>451</v>
      </c>
      <c r="N39" s="2487" t="s">
        <v>2989</v>
      </c>
      <c r="O39" s="2274" t="s">
        <v>452</v>
      </c>
      <c r="P39" s="2488" t="s">
        <v>2992</v>
      </c>
    </row>
    <row r="40" spans="1:16" s="294" customFormat="1" ht="13.2" customHeight="1">
      <c r="A40" s="480"/>
      <c r="B40" s="296"/>
      <c r="C40" s="294" t="s">
        <v>1558</v>
      </c>
      <c r="F40" s="2489" t="s">
        <v>2992</v>
      </c>
      <c r="G40" s="2941" t="s">
        <v>2781</v>
      </c>
      <c r="H40" s="2942"/>
      <c r="I40" s="509" t="str">
        <f>IF($J$39="","",IF(VLOOKUP($J$39,'DCA Underwriting Assumptions'!G158:M317,7,FALSE)="Rural","Yes",IF(VLOOKUP($J$39,'DCA Underwriting Assumptions'!G158:M317,7,FALSE)="Urban","No","")))</f>
        <v>No</v>
      </c>
      <c r="J40" s="2278" t="s">
        <v>2801</v>
      </c>
      <c r="K40" s="2278" t="str">
        <f>IF(OR(F40="Yes",I40="Yes"),"Rural","Urban")</f>
        <v>Urban</v>
      </c>
      <c r="M40" s="2266" t="s">
        <v>2611</v>
      </c>
      <c r="N40" s="421" t="str">
        <f>VLOOKUP($J$39,'DCA Underwriting Assumptions'!$G$158:$J$317,4)</f>
        <v>MSA</v>
      </c>
      <c r="O40" s="2943" t="str">
        <f>IF($F$38="","",VLOOKUP($J$39,'DCA Underwriting Assumptions'!$G$158:$L$317,3,FALSE))</f>
        <v>Columbus</v>
      </c>
      <c r="P40" s="2944"/>
    </row>
    <row r="41" spans="1:16" s="294" customFormat="1" ht="6" customHeight="1">
      <c r="A41" s="480"/>
      <c r="B41" s="296"/>
      <c r="C41" s="296"/>
      <c r="I41" s="2263"/>
      <c r="J41" s="2271"/>
      <c r="L41" s="2283"/>
      <c r="M41" s="2283"/>
      <c r="N41" s="2283"/>
      <c r="O41" s="2283"/>
      <c r="P41" s="2283"/>
    </row>
    <row r="42" spans="1:16" s="294" customFormat="1" ht="13.2" customHeight="1">
      <c r="A42" s="480"/>
      <c r="C42" s="294" t="s">
        <v>2743</v>
      </c>
      <c r="F42" s="2945" t="s">
        <v>2762</v>
      </c>
      <c r="G42" s="2945"/>
      <c r="H42" s="2946" t="s">
        <v>736</v>
      </c>
      <c r="I42" s="2946"/>
      <c r="J42" s="2946" t="s">
        <v>737</v>
      </c>
      <c r="K42" s="2946"/>
      <c r="L42" s="496" t="s">
        <v>4937</v>
      </c>
    </row>
    <row r="43" spans="1:16" s="294" customFormat="1" ht="13.2" customHeight="1">
      <c r="A43" s="480"/>
      <c r="B43" s="294" t="s">
        <v>2761</v>
      </c>
      <c r="D43" s="296"/>
      <c r="F43" s="2933">
        <v>8</v>
      </c>
      <c r="G43" s="2934"/>
      <c r="H43" s="2933">
        <v>15</v>
      </c>
      <c r="I43" s="2934"/>
      <c r="J43" s="2933">
        <v>135</v>
      </c>
      <c r="K43" s="2934"/>
      <c r="L43" s="492" t="s">
        <v>1283</v>
      </c>
      <c r="N43" s="2935" t="s">
        <v>1284</v>
      </c>
      <c r="O43" s="2935"/>
      <c r="P43" s="2935"/>
    </row>
    <row r="44" spans="1:16" s="294" customFormat="1" ht="12.75" customHeight="1">
      <c r="A44" s="480"/>
      <c r="B44" s="2263" t="s">
        <v>738</v>
      </c>
      <c r="F44" s="2936"/>
      <c r="G44" s="2937"/>
      <c r="H44" s="2936"/>
      <c r="I44" s="2937"/>
      <c r="J44" s="2936"/>
      <c r="K44" s="2937"/>
      <c r="L44" s="492" t="s">
        <v>2760</v>
      </c>
      <c r="N44" s="2938" t="s">
        <v>2759</v>
      </c>
      <c r="O44" s="2938"/>
    </row>
    <row r="45" spans="1:16" s="294" customFormat="1" ht="3" customHeight="1">
      <c r="A45" s="480"/>
      <c r="I45" s="2283"/>
      <c r="J45" s="2283"/>
      <c r="K45" s="2283"/>
      <c r="L45" s="2271"/>
      <c r="M45" s="2271"/>
      <c r="N45" s="2271"/>
      <c r="O45" s="2271"/>
      <c r="P45" s="2271"/>
    </row>
    <row r="46" spans="1:16" s="294" customFormat="1" ht="13.2" customHeight="1">
      <c r="A46" s="480"/>
      <c r="B46" s="296" t="s">
        <v>637</v>
      </c>
      <c r="F46" s="2879" t="s">
        <v>5205</v>
      </c>
      <c r="G46" s="2880"/>
      <c r="H46" s="2880"/>
      <c r="I46" s="2881"/>
      <c r="J46" s="2880"/>
      <c r="K46" s="2882"/>
      <c r="L46" s="877" t="s">
        <v>2704</v>
      </c>
      <c r="M46" s="2871" t="s">
        <v>5204</v>
      </c>
      <c r="N46" s="2883"/>
      <c r="O46" s="2883"/>
      <c r="P46" s="2872"/>
    </row>
    <row r="47" spans="1:16" s="294" customFormat="1" ht="13.2" customHeight="1">
      <c r="A47" s="480"/>
      <c r="B47" s="294" t="s">
        <v>638</v>
      </c>
      <c r="F47" s="2884" t="s">
        <v>5207</v>
      </c>
      <c r="G47" s="2885"/>
      <c r="H47" s="2886"/>
      <c r="I47" s="1054" t="s">
        <v>1980</v>
      </c>
      <c r="J47" s="2780" t="s">
        <v>5206</v>
      </c>
      <c r="K47" s="2782"/>
      <c r="L47" s="877"/>
    </row>
    <row r="48" spans="1:16" s="294" customFormat="1" ht="13.2" customHeight="1">
      <c r="A48" s="480"/>
      <c r="B48" s="294" t="s">
        <v>1981</v>
      </c>
      <c r="F48" s="2887" t="s">
        <v>5208</v>
      </c>
      <c r="G48" s="2888"/>
      <c r="H48" s="2889"/>
      <c r="I48" s="2880"/>
      <c r="J48" s="2888"/>
      <c r="K48" s="2890"/>
      <c r="L48" s="2264" t="s">
        <v>618</v>
      </c>
      <c r="M48" s="2891" t="s">
        <v>161</v>
      </c>
      <c r="N48" s="2892"/>
      <c r="O48" s="2892"/>
      <c r="P48" s="2893"/>
    </row>
    <row r="49" spans="1:19" s="294" customFormat="1" ht="13.2" customHeight="1">
      <c r="A49" s="480"/>
      <c r="B49" s="2266" t="s">
        <v>2229</v>
      </c>
      <c r="F49" s="2894">
        <v>319010000</v>
      </c>
      <c r="G49" s="2895"/>
      <c r="H49" s="2278" t="s">
        <v>1982</v>
      </c>
      <c r="I49" s="2896">
        <v>7062254712</v>
      </c>
      <c r="J49" s="2897"/>
      <c r="K49" s="2898"/>
      <c r="L49" s="2263" t="s">
        <v>1800</v>
      </c>
      <c r="M49" s="2899" t="s">
        <v>5209</v>
      </c>
      <c r="N49" s="2900"/>
      <c r="O49" s="2900"/>
      <c r="P49" s="2901"/>
    </row>
    <row r="50" spans="1:19" s="294" customFormat="1" ht="6" customHeight="1">
      <c r="A50" s="480"/>
      <c r="B50" s="480"/>
      <c r="C50" s="309"/>
      <c r="D50" s="310"/>
      <c r="E50" s="310"/>
      <c r="F50" s="2274"/>
      <c r="G50" s="2274"/>
      <c r="H50" s="2274"/>
      <c r="I50" s="2274"/>
      <c r="J50" s="310"/>
      <c r="K50" s="2274"/>
      <c r="L50" s="2274"/>
      <c r="N50" s="2271"/>
      <c r="O50" s="2271"/>
      <c r="P50" s="303"/>
    </row>
    <row r="51" spans="1:19" s="294" customFormat="1" ht="12" customHeight="1">
      <c r="A51" s="299" t="s">
        <v>1794</v>
      </c>
      <c r="B51" s="296" t="s">
        <v>1475</v>
      </c>
      <c r="F51" s="311"/>
      <c r="I51" s="2266"/>
      <c r="J51" s="2271"/>
      <c r="K51" s="2271"/>
      <c r="L51" s="2271"/>
      <c r="M51" s="2271"/>
    </row>
    <row r="52" spans="1:19" s="294" customFormat="1" ht="1.5" customHeight="1">
      <c r="A52" s="480"/>
      <c r="B52" s="296"/>
      <c r="C52" s="296"/>
      <c r="I52" s="2266"/>
      <c r="J52" s="2271"/>
      <c r="K52" s="2271"/>
      <c r="L52" s="2271"/>
      <c r="M52" s="2271"/>
      <c r="N52" s="2271"/>
      <c r="O52" s="2271"/>
      <c r="P52" s="2271"/>
      <c r="Q52" s="2271"/>
    </row>
    <row r="53" spans="1:19" s="294" customFormat="1">
      <c r="A53" s="480"/>
      <c r="B53" s="480" t="s">
        <v>1983</v>
      </c>
      <c r="C53" s="296" t="s">
        <v>718</v>
      </c>
      <c r="I53" s="2271"/>
      <c r="J53" s="2271"/>
      <c r="K53" s="493"/>
      <c r="L53" s="2271"/>
      <c r="M53" s="495"/>
      <c r="N53" s="495"/>
      <c r="O53" s="495"/>
      <c r="P53" s="495"/>
      <c r="Q53" s="2274"/>
    </row>
    <row r="54" spans="1:19" ht="13.2" customHeight="1">
      <c r="B54" s="480"/>
      <c r="C54" s="294" t="s">
        <v>2295</v>
      </c>
      <c r="D54" s="294"/>
      <c r="E54" s="294"/>
      <c r="H54" s="1071">
        <f>'Part VI-Revenues &amp; Expenses'!$O$103</f>
        <v>72</v>
      </c>
      <c r="K54" s="2263" t="s">
        <v>3671</v>
      </c>
      <c r="L54" s="294"/>
      <c r="M54" s="925" t="s">
        <v>3670</v>
      </c>
      <c r="N54" s="313">
        <f>'Part VI-Revenues &amp; Expenses'!$O$110</f>
        <v>0</v>
      </c>
      <c r="O54" s="926" t="s">
        <v>3356</v>
      </c>
      <c r="P54" s="313">
        <f>'Part VI-Revenues &amp; Expenses'!$O$111</f>
        <v>0</v>
      </c>
      <c r="Q54" s="2274"/>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63" t="s">
        <v>346</v>
      </c>
      <c r="D56" s="2271"/>
      <c r="H56" s="1073">
        <f>'Part VI-Revenues &amp; Expenses'!$O$106</f>
        <v>0</v>
      </c>
      <c r="I56" s="481" t="s">
        <v>2909</v>
      </c>
      <c r="K56" s="294" t="s">
        <v>348</v>
      </c>
      <c r="P56" s="2490"/>
      <c r="Q56" s="2274"/>
    </row>
    <row r="57" spans="1:19" s="294" customFormat="1" ht="3.6" customHeight="1">
      <c r="A57" s="480"/>
      <c r="P57" s="2271"/>
    </row>
    <row r="58" spans="1:19" s="294" customFormat="1">
      <c r="A58" s="480"/>
      <c r="B58" s="480" t="s">
        <v>1985</v>
      </c>
      <c r="C58" s="296" t="s">
        <v>2296</v>
      </c>
      <c r="H58" s="2491" t="s">
        <v>2992</v>
      </c>
      <c r="K58" s="2271"/>
      <c r="L58" s="2271"/>
      <c r="M58" s="2271"/>
      <c r="N58" s="2271"/>
      <c r="O58" s="495"/>
      <c r="P58" s="493"/>
      <c r="Q58" s="2271"/>
    </row>
    <row r="59" spans="1:19" s="294" customFormat="1" ht="3" customHeight="1">
      <c r="A59" s="480"/>
      <c r="I59" s="2271"/>
      <c r="J59" s="493"/>
      <c r="K59" s="494"/>
      <c r="L59" s="493"/>
      <c r="M59" s="494"/>
      <c r="N59" s="494"/>
      <c r="O59" s="494"/>
      <c r="P59" s="494"/>
      <c r="Q59" s="2271"/>
    </row>
    <row r="60" spans="1:19" s="294" customFormat="1" ht="13.2" customHeight="1">
      <c r="A60" s="480"/>
      <c r="B60" s="305" t="s">
        <v>749</v>
      </c>
      <c r="C60" s="304" t="s">
        <v>2276</v>
      </c>
      <c r="D60" s="2271"/>
      <c r="I60" s="2275" t="s">
        <v>3564</v>
      </c>
      <c r="J60" s="305" t="s">
        <v>2115</v>
      </c>
      <c r="K60" s="315" t="s">
        <v>2302</v>
      </c>
      <c r="M60" s="2271"/>
      <c r="N60" s="2271"/>
      <c r="O60" s="2271"/>
      <c r="P60" s="2274"/>
      <c r="Q60" s="2274"/>
      <c r="R60" s="2274"/>
      <c r="S60" s="2271"/>
    </row>
    <row r="61" spans="1:19" s="294" customFormat="1" ht="13.2" customHeight="1">
      <c r="A61" s="480"/>
      <c r="B61" s="2267"/>
      <c r="C61" s="302" t="s">
        <v>2277</v>
      </c>
      <c r="D61" s="2271"/>
      <c r="E61" s="2271"/>
      <c r="H61" s="634">
        <f>SUM(H62:H68)</f>
        <v>63</v>
      </c>
      <c r="I61" s="634">
        <f>SUM(I62:I68)</f>
        <v>0</v>
      </c>
      <c r="J61" s="480"/>
      <c r="K61" s="302" t="s">
        <v>2773</v>
      </c>
      <c r="M61" s="2271"/>
      <c r="N61" s="2271"/>
      <c r="O61" s="2271"/>
      <c r="P61" s="1978">
        <f>SUM(P62:P68)</f>
        <v>62615</v>
      </c>
    </row>
    <row r="62" spans="1:19" s="294" customFormat="1" ht="13.2" customHeight="1">
      <c r="A62" s="480"/>
      <c r="B62" s="2267"/>
      <c r="C62" s="302"/>
      <c r="D62" s="317" t="s">
        <v>4708</v>
      </c>
      <c r="E62" s="2271"/>
      <c r="H62" s="848">
        <f>'Part VI-Revenues &amp; Expenses'!$O56</f>
        <v>0</v>
      </c>
      <c r="I62" s="848">
        <f>'Part VI-Revenues &amp; Expenses'!$O81</f>
        <v>0</v>
      </c>
      <c r="J62" s="480"/>
      <c r="K62" s="302"/>
      <c r="L62" s="317" t="s">
        <v>4708</v>
      </c>
      <c r="M62" s="2271"/>
      <c r="N62" s="2271"/>
      <c r="O62" s="2271"/>
      <c r="P62" s="848">
        <f>'Part VI-Revenues &amp; Expenses'!$O145</f>
        <v>0</v>
      </c>
    </row>
    <row r="63" spans="1:19" s="294" customFormat="1" ht="13.2" customHeight="1">
      <c r="A63" s="480"/>
      <c r="B63" s="2267"/>
      <c r="C63" s="302"/>
      <c r="D63" s="317" t="s">
        <v>4709</v>
      </c>
      <c r="E63" s="2271"/>
      <c r="H63" s="1980">
        <f>'Part VI-Revenues &amp; Expenses'!$O57</f>
        <v>0</v>
      </c>
      <c r="I63" s="1980">
        <f>'Part VI-Revenues &amp; Expenses'!$O82</f>
        <v>0</v>
      </c>
      <c r="J63" s="480"/>
      <c r="K63" s="302"/>
      <c r="L63" s="317" t="s">
        <v>4709</v>
      </c>
      <c r="M63" s="2271"/>
      <c r="N63" s="2271"/>
      <c r="O63" s="2271"/>
      <c r="P63" s="1980">
        <f>'Part VI-Revenues &amp; Expenses'!$O146</f>
        <v>0</v>
      </c>
    </row>
    <row r="64" spans="1:19" s="294" customFormat="1" ht="13.2" customHeight="1">
      <c r="A64" s="480"/>
      <c r="B64" s="312"/>
      <c r="D64" s="317" t="s">
        <v>4706</v>
      </c>
      <c r="E64" s="317"/>
      <c r="H64" s="1980">
        <f>'Part VI-Revenues &amp; Expenses'!$O58</f>
        <v>50</v>
      </c>
      <c r="I64" s="1980">
        <f>'Part VI-Revenues &amp; Expenses'!$O83</f>
        <v>0</v>
      </c>
      <c r="L64" s="317" t="s">
        <v>4706</v>
      </c>
      <c r="O64" s="2271"/>
      <c r="P64" s="1980">
        <f>'Part VI-Revenues &amp; Expenses'!$O147</f>
        <v>50033</v>
      </c>
    </row>
    <row r="65" spans="1:16" s="294" customFormat="1" ht="13.2" customHeight="1">
      <c r="A65" s="480"/>
      <c r="D65" s="317" t="s">
        <v>4707</v>
      </c>
      <c r="E65" s="2271"/>
      <c r="H65" s="1980">
        <f>'Part VI-Revenues &amp; Expenses'!$O59</f>
        <v>13</v>
      </c>
      <c r="I65" s="1980">
        <f>'Part VI-Revenues &amp; Expenses'!$O84</f>
        <v>0</v>
      </c>
      <c r="L65" s="317" t="s">
        <v>4707</v>
      </c>
      <c r="O65" s="2271"/>
      <c r="P65" s="1980">
        <f>'Part VI-Revenues &amp; Expenses'!$O148</f>
        <v>12582</v>
      </c>
    </row>
    <row r="66" spans="1:16" s="294" customFormat="1" ht="13.2" customHeight="1">
      <c r="A66" s="480"/>
      <c r="D66" s="317" t="s">
        <v>4710</v>
      </c>
      <c r="E66" s="317"/>
      <c r="H66" s="1980">
        <f>'Part VI-Revenues &amp; Expenses'!$O60</f>
        <v>0</v>
      </c>
      <c r="I66" s="1980">
        <f>'Part VI-Revenues &amp; Expenses'!$O85</f>
        <v>0</v>
      </c>
      <c r="L66" s="317" t="s">
        <v>4710</v>
      </c>
      <c r="O66" s="2271"/>
      <c r="P66" s="1980">
        <f>'Part VI-Revenues &amp; Expenses'!$O149</f>
        <v>0</v>
      </c>
    </row>
    <row r="67" spans="1:16" s="294" customFormat="1" ht="13.2" customHeight="1">
      <c r="A67" s="480"/>
      <c r="D67" s="317" t="s">
        <v>4711</v>
      </c>
      <c r="E67" s="317"/>
      <c r="H67" s="1980">
        <f>'Part VI-Revenues &amp; Expenses'!$O61</f>
        <v>0</v>
      </c>
      <c r="I67" s="1980">
        <f>'Part VI-Revenues &amp; Expenses'!$O86</f>
        <v>0</v>
      </c>
      <c r="L67" s="317" t="s">
        <v>4711</v>
      </c>
      <c r="O67" s="2271"/>
      <c r="P67" s="1980">
        <f>'Part VI-Revenues &amp; Expenses'!$O150</f>
        <v>0</v>
      </c>
    </row>
    <row r="68" spans="1:16" s="294" customFormat="1" ht="13.2" customHeight="1">
      <c r="A68" s="480"/>
      <c r="D68" s="317" t="s">
        <v>4712</v>
      </c>
      <c r="E68" s="317"/>
      <c r="H68" s="849">
        <f>'Part VI-Revenues &amp; Expenses'!$O62</f>
        <v>0</v>
      </c>
      <c r="I68" s="849">
        <f>'Part VI-Revenues &amp; Expenses'!$O87</f>
        <v>0</v>
      </c>
      <c r="L68" s="317" t="s">
        <v>4712</v>
      </c>
      <c r="O68" s="2271"/>
      <c r="P68" s="849">
        <f>'Part VI-Revenues &amp; Expenses'!$O151</f>
        <v>0</v>
      </c>
    </row>
    <row r="69" spans="1:16" s="294" customFormat="1" ht="13.2" customHeight="1">
      <c r="A69" s="480"/>
      <c r="C69" s="302" t="s">
        <v>253</v>
      </c>
      <c r="D69" s="2271"/>
      <c r="E69" s="2271"/>
      <c r="H69" s="1979">
        <f>'Part VI-Revenues &amp; Expenses'!$O$64</f>
        <v>9</v>
      </c>
      <c r="J69" s="480"/>
      <c r="K69" s="302" t="s">
        <v>2774</v>
      </c>
      <c r="M69" s="2271"/>
      <c r="N69" s="2271"/>
      <c r="O69" s="2271"/>
      <c r="P69" s="1981">
        <f>'Part VI-Revenues &amp; Expenses'!$O$153</f>
        <v>8653</v>
      </c>
    </row>
    <row r="70" spans="1:16" s="294" customFormat="1" ht="13.2" customHeight="1">
      <c r="A70" s="480"/>
      <c r="C70" s="302" t="s">
        <v>2407</v>
      </c>
      <c r="D70" s="2271"/>
      <c r="E70" s="2271"/>
      <c r="H70" s="848">
        <f>H61+H69</f>
        <v>72</v>
      </c>
      <c r="J70" s="480"/>
      <c r="K70" s="302" t="s">
        <v>2775</v>
      </c>
      <c r="M70" s="2271"/>
      <c r="N70" s="2271"/>
      <c r="O70" s="2271"/>
      <c r="P70" s="848">
        <f>P61+P69</f>
        <v>71268</v>
      </c>
    </row>
    <row r="71" spans="1:16" s="294" customFormat="1" ht="13.2" customHeight="1">
      <c r="A71" s="480"/>
      <c r="C71" s="302" t="s">
        <v>2408</v>
      </c>
      <c r="D71" s="2271"/>
      <c r="E71" s="2271"/>
      <c r="H71" s="849">
        <f>'Part VI-Revenues &amp; Expenses'!$O$66</f>
        <v>0</v>
      </c>
      <c r="J71" s="480"/>
      <c r="K71" s="302" t="s">
        <v>2776</v>
      </c>
      <c r="M71" s="2271"/>
      <c r="N71" s="2271"/>
      <c r="O71" s="2271"/>
      <c r="P71" s="849">
        <f>'Part VI-Revenues &amp; Expenses'!$O$155</f>
        <v>0</v>
      </c>
    </row>
    <row r="72" spans="1:16" s="294" customFormat="1" ht="13.2" customHeight="1">
      <c r="A72" s="480"/>
      <c r="C72" s="302" t="s">
        <v>1793</v>
      </c>
      <c r="D72" s="2271"/>
      <c r="E72" s="2271"/>
      <c r="H72" s="316">
        <f>+H70+H71</f>
        <v>72</v>
      </c>
      <c r="J72" s="2271"/>
      <c r="K72" s="302" t="s">
        <v>1420</v>
      </c>
      <c r="M72" s="2271"/>
      <c r="N72" s="2271"/>
      <c r="O72" s="2271"/>
      <c r="P72" s="316">
        <f>+P70+P71</f>
        <v>71268</v>
      </c>
    </row>
    <row r="73" spans="1:16" s="294" customFormat="1" ht="3" customHeight="1">
      <c r="A73" s="480"/>
      <c r="I73" s="2274"/>
      <c r="L73" s="2274"/>
      <c r="M73" s="2274"/>
      <c r="N73" s="2271"/>
      <c r="P73" s="303"/>
    </row>
    <row r="74" spans="1:16" s="294" customFormat="1" ht="13.2" customHeight="1">
      <c r="A74" s="480"/>
      <c r="B74" s="480" t="s">
        <v>1735</v>
      </c>
      <c r="C74" s="304" t="s">
        <v>2297</v>
      </c>
      <c r="D74" s="317" t="s">
        <v>1996</v>
      </c>
      <c r="G74" s="2271"/>
      <c r="H74" s="2492">
        <v>3</v>
      </c>
      <c r="K74" s="302" t="s">
        <v>5024</v>
      </c>
      <c r="O74" s="2271"/>
      <c r="P74" s="2493">
        <v>2200</v>
      </c>
    </row>
    <row r="75" spans="1:16" s="294" customFormat="1" ht="13.2" customHeight="1">
      <c r="A75" s="480"/>
      <c r="B75" s="480"/>
      <c r="D75" s="2267" t="s">
        <v>1997</v>
      </c>
      <c r="H75" s="2494">
        <v>1</v>
      </c>
      <c r="I75" s="2271"/>
      <c r="K75" s="302" t="s">
        <v>252</v>
      </c>
      <c r="O75" s="2271"/>
      <c r="P75" s="316">
        <f>+P72+P74</f>
        <v>73468</v>
      </c>
    </row>
    <row r="76" spans="1:16" s="294" customFormat="1" ht="13.2" customHeight="1">
      <c r="A76" s="480"/>
      <c r="B76" s="480"/>
      <c r="D76" s="2267" t="s">
        <v>1998</v>
      </c>
      <c r="H76" s="316">
        <f>+H74+H75</f>
        <v>4</v>
      </c>
      <c r="I76" s="2271"/>
    </row>
    <row r="77" spans="1:16" s="294" customFormat="1" ht="3" customHeight="1">
      <c r="A77" s="480"/>
      <c r="B77" s="480"/>
      <c r="C77" s="2271"/>
      <c r="D77" s="2271"/>
      <c r="E77" s="2271"/>
      <c r="F77" s="2271"/>
      <c r="G77" s="2274"/>
      <c r="I77" s="302"/>
      <c r="J77" s="2271"/>
      <c r="P77" s="303"/>
    </row>
    <row r="78" spans="1:16" s="294" customFormat="1" ht="13.2" customHeight="1">
      <c r="A78" s="480"/>
      <c r="B78" s="480" t="s">
        <v>1736</v>
      </c>
      <c r="C78" s="304" t="s">
        <v>2842</v>
      </c>
      <c r="D78" s="2271"/>
      <c r="E78" s="2271"/>
      <c r="F78" s="2271"/>
      <c r="G78" s="2271"/>
      <c r="H78" s="2493">
        <v>150</v>
      </c>
      <c r="K78" s="2795" t="s">
        <v>3849</v>
      </c>
      <c r="L78" s="2795"/>
      <c r="M78" s="2795"/>
      <c r="N78" s="2795"/>
      <c r="O78" s="2795"/>
      <c r="P78" s="2795"/>
    </row>
    <row r="79" spans="1:16" s="294" customFormat="1" ht="6" customHeight="1">
      <c r="A79" s="480"/>
      <c r="B79" s="480"/>
      <c r="C79" s="302"/>
      <c r="D79" s="2271"/>
      <c r="E79" s="2271"/>
      <c r="F79" s="2271"/>
      <c r="G79" s="2274"/>
      <c r="H79" s="2271"/>
      <c r="I79" s="302"/>
      <c r="J79" s="302"/>
      <c r="K79" s="2795"/>
      <c r="L79" s="2795"/>
      <c r="M79" s="2795"/>
      <c r="N79" s="2795"/>
      <c r="O79" s="2795"/>
      <c r="P79" s="2795"/>
    </row>
    <row r="80" spans="1:16" s="294" customFormat="1" ht="13.2" customHeight="1">
      <c r="A80" s="480" t="s">
        <v>530</v>
      </c>
      <c r="B80" s="318" t="s">
        <v>1191</v>
      </c>
      <c r="D80" s="318"/>
      <c r="E80" s="318"/>
      <c r="F80" s="2271"/>
      <c r="G80" s="2274"/>
      <c r="H80" s="507"/>
      <c r="K80" s="2795"/>
      <c r="L80" s="2795"/>
      <c r="M80" s="2795"/>
      <c r="N80" s="2795"/>
      <c r="O80" s="2795"/>
      <c r="P80" s="2795"/>
    </row>
    <row r="81" spans="1:16" s="294" customFormat="1" ht="3" customHeight="1">
      <c r="A81" s="480"/>
      <c r="C81" s="2155"/>
      <c r="D81" s="2155"/>
      <c r="E81" s="2155"/>
      <c r="F81" s="2271"/>
      <c r="G81" s="2274"/>
      <c r="K81" s="2271"/>
      <c r="P81" s="303"/>
    </row>
    <row r="82" spans="1:16" s="294" customFormat="1" ht="13.2" customHeight="1">
      <c r="A82" s="480"/>
      <c r="B82" s="480" t="s">
        <v>1983</v>
      </c>
      <c r="C82" s="2265" t="s">
        <v>2692</v>
      </c>
      <c r="D82" s="2155"/>
      <c r="E82" s="2155"/>
      <c r="F82" s="2271"/>
      <c r="G82" s="2274"/>
      <c r="H82" s="2877" t="s">
        <v>2910</v>
      </c>
      <c r="I82" s="2878"/>
      <c r="K82" s="2803" t="s">
        <v>1772</v>
      </c>
      <c r="L82" s="2803"/>
      <c r="M82" s="2871"/>
      <c r="N82" s="2883"/>
      <c r="O82" s="2883"/>
      <c r="P82" s="2872"/>
    </row>
    <row r="83" spans="1:16" s="294" customFormat="1" ht="3" customHeight="1">
      <c r="A83" s="480"/>
      <c r="B83" s="480"/>
      <c r="D83" s="2267"/>
      <c r="E83" s="2267"/>
      <c r="F83" s="2267"/>
      <c r="G83" s="2267"/>
      <c r="I83" s="2274"/>
      <c r="K83" s="2266"/>
      <c r="L83" s="2266"/>
      <c r="M83" s="2274"/>
      <c r="N83" s="2271"/>
      <c r="P83" s="303"/>
    </row>
    <row r="84" spans="1:16" s="294" customFormat="1" ht="13.2" customHeight="1">
      <c r="A84" s="480"/>
      <c r="B84" s="480"/>
      <c r="E84" s="2155"/>
      <c r="K84" s="2766" t="s">
        <v>4957</v>
      </c>
      <c r="L84" s="319" t="s">
        <v>2910</v>
      </c>
      <c r="M84" s="2492">
        <v>72</v>
      </c>
      <c r="N84" s="319" t="s">
        <v>2911</v>
      </c>
      <c r="O84" s="2492"/>
      <c r="P84" s="2263" t="s">
        <v>4956</v>
      </c>
    </row>
    <row r="85" spans="1:16" s="294" customFormat="1" ht="13.2" customHeight="1">
      <c r="A85" s="480"/>
      <c r="B85" s="480"/>
      <c r="D85" s="2266"/>
      <c r="E85" s="2155"/>
      <c r="J85" s="2153"/>
      <c r="K85" s="2766"/>
      <c r="L85" s="306" t="s">
        <v>2912</v>
      </c>
      <c r="M85" s="2494"/>
      <c r="N85" s="306" t="s">
        <v>3869</v>
      </c>
      <c r="O85" s="2494"/>
      <c r="P85" s="2495"/>
    </row>
    <row r="86" spans="1:16" s="294" customFormat="1" ht="3" customHeight="1">
      <c r="A86" s="480"/>
      <c r="B86" s="480"/>
      <c r="D86" s="2267"/>
      <c r="E86" s="2267"/>
      <c r="F86" s="2267"/>
      <c r="G86" s="2267"/>
      <c r="I86" s="2274"/>
      <c r="K86" s="2266"/>
      <c r="L86" s="2266"/>
      <c r="M86" s="2274"/>
      <c r="N86" s="2271"/>
      <c r="P86" s="303"/>
    </row>
    <row r="87" spans="1:16" s="294" customFormat="1" ht="13.2" customHeight="1">
      <c r="A87" s="480"/>
      <c r="B87" s="480" t="s">
        <v>1985</v>
      </c>
      <c r="C87" s="304" t="s">
        <v>1411</v>
      </c>
      <c r="D87" s="2271"/>
      <c r="E87" s="317"/>
      <c r="F87" s="2267" t="s">
        <v>796</v>
      </c>
      <c r="H87" s="316">
        <f>'Part VIII-Threshold Criteria'!K306</f>
        <v>4</v>
      </c>
      <c r="K87" s="2803" t="s">
        <v>520</v>
      </c>
      <c r="L87" s="2803"/>
      <c r="N87" s="320">
        <f>IF('Part VI-Revenues &amp; Expenses'!$O$67=0,0,H87/'Part VI-Revenues &amp; Expenses'!$O$67)</f>
        <v>5.5555555555555552E-2</v>
      </c>
      <c r="O87" s="306" t="s">
        <v>3693</v>
      </c>
      <c r="P87" s="937">
        <f>'DCA Underwriting Assumptions'!$Q$139</f>
        <v>0.05</v>
      </c>
    </row>
    <row r="88" spans="1:16" s="294" customFormat="1" ht="12.75" customHeight="1">
      <c r="A88" s="480"/>
      <c r="B88" s="480"/>
      <c r="D88" s="2267" t="s">
        <v>2840</v>
      </c>
      <c r="E88" s="2267"/>
      <c r="F88" s="2267" t="s">
        <v>796</v>
      </c>
      <c r="H88" s="316">
        <f>'Part VIII-Threshold Criteria'!K307</f>
        <v>2</v>
      </c>
      <c r="K88" s="2271" t="s">
        <v>2841</v>
      </c>
      <c r="L88" s="2271"/>
      <c r="N88" s="320">
        <f>IF(H87=0,0,H88/H87)</f>
        <v>0.5</v>
      </c>
      <c r="O88" s="306" t="s">
        <v>3693</v>
      </c>
      <c r="P88" s="937">
        <f>'DCA Underwriting Assumptions'!$Q$140</f>
        <v>0.4</v>
      </c>
    </row>
    <row r="89" spans="1:16" s="294" customFormat="1" ht="3" customHeight="1">
      <c r="A89" s="480"/>
      <c r="B89" s="480"/>
      <c r="D89" s="2267"/>
      <c r="E89" s="2267"/>
      <c r="F89" s="2267"/>
      <c r="I89" s="2274"/>
      <c r="K89" s="2266"/>
      <c r="L89" s="2266"/>
      <c r="M89" s="2274"/>
      <c r="N89" s="2274"/>
      <c r="P89" s="2278"/>
    </row>
    <row r="90" spans="1:16" s="294" customFormat="1" ht="13.2" customHeight="1">
      <c r="A90" s="480"/>
      <c r="B90" s="480" t="s">
        <v>749</v>
      </c>
      <c r="C90" s="304" t="s">
        <v>1844</v>
      </c>
      <c r="D90" s="317"/>
      <c r="E90" s="317"/>
      <c r="F90" s="2267" t="s">
        <v>796</v>
      </c>
      <c r="H90" s="316">
        <f>'Part VIII-Threshold Criteria'!K309</f>
        <v>2</v>
      </c>
      <c r="K90" s="2803" t="s">
        <v>520</v>
      </c>
      <c r="L90" s="2803"/>
      <c r="N90" s="320">
        <f>IF('Part VI-Revenues &amp; Expenses'!$O$67=0,0,H90/'Part VI-Revenues &amp; Expenses'!$O$67)</f>
        <v>2.7777777777777776E-2</v>
      </c>
      <c r="O90" s="306" t="s">
        <v>3693</v>
      </c>
      <c r="P90" s="937">
        <f>'DCA Underwriting Assumptions'!$Q$141</f>
        <v>0.02</v>
      </c>
    </row>
    <row r="91" spans="1:16" s="294" customFormat="1" ht="4.5" customHeight="1">
      <c r="A91" s="480"/>
      <c r="B91" s="480"/>
      <c r="D91" s="2267"/>
      <c r="E91" s="2267"/>
      <c r="F91" s="2267"/>
      <c r="G91" s="2267"/>
      <c r="I91" s="2274"/>
      <c r="J91" s="2274"/>
      <c r="K91" s="2274"/>
      <c r="L91" s="2274"/>
      <c r="M91" s="2274"/>
      <c r="N91" s="2271"/>
      <c r="P91" s="303"/>
    </row>
    <row r="92" spans="1:16" s="294" customFormat="1" ht="13.2" customHeight="1">
      <c r="A92" s="321" t="s">
        <v>772</v>
      </c>
      <c r="B92" s="2155" t="s">
        <v>4863</v>
      </c>
      <c r="D92" s="2267"/>
      <c r="E92" s="2267"/>
      <c r="F92" s="2267"/>
      <c r="G92" s="2267"/>
      <c r="H92" s="2267"/>
      <c r="I92" s="2274"/>
      <c r="M92" s="2274"/>
      <c r="N92" s="2271"/>
      <c r="P92" s="303"/>
    </row>
    <row r="93" spans="1:16" s="294" customFormat="1" ht="1.5" customHeight="1">
      <c r="A93" s="480"/>
      <c r="B93" s="480"/>
      <c r="C93" s="2155"/>
      <c r="D93" s="2267"/>
      <c r="E93" s="2267"/>
      <c r="F93" s="2267"/>
      <c r="L93" s="2274"/>
      <c r="M93" s="2274"/>
      <c r="N93" s="2271"/>
    </row>
    <row r="94" spans="1:16" s="294" customFormat="1" ht="13.2" customHeight="1">
      <c r="A94" s="480"/>
      <c r="B94" s="480" t="s">
        <v>1983</v>
      </c>
      <c r="C94" s="2265" t="s">
        <v>2376</v>
      </c>
      <c r="D94" s="2267"/>
      <c r="F94" s="2266"/>
      <c r="K94" s="2863" t="s">
        <v>5159</v>
      </c>
      <c r="L94" s="2865"/>
      <c r="M94" s="2864"/>
      <c r="N94" s="2271"/>
    </row>
    <row r="95" spans="1:16" s="294" customFormat="1" ht="1.5" customHeight="1">
      <c r="A95" s="480"/>
      <c r="B95" s="480"/>
      <c r="D95" s="2267"/>
      <c r="F95" s="2267"/>
      <c r="G95" s="2267"/>
      <c r="L95" s="2274"/>
      <c r="M95" s="2274"/>
    </row>
    <row r="96" spans="1:16" s="294" customFormat="1" ht="13.2" customHeight="1">
      <c r="B96" s="480" t="s">
        <v>1985</v>
      </c>
      <c r="C96" s="296" t="s">
        <v>1534</v>
      </c>
      <c r="K96" s="2263" t="s">
        <v>4932</v>
      </c>
      <c r="N96" s="322"/>
      <c r="P96" s="2496" t="s">
        <v>5192</v>
      </c>
    </row>
    <row r="97" spans="1:16" s="294" customFormat="1" ht="4.5" customHeight="1">
      <c r="A97" s="480"/>
      <c r="B97" s="480"/>
      <c r="C97" s="296"/>
      <c r="D97" s="2267"/>
      <c r="E97" s="2267"/>
      <c r="F97" s="2267"/>
      <c r="G97" s="2267"/>
      <c r="I97" s="2274"/>
      <c r="J97" s="2274"/>
      <c r="K97" s="2274"/>
      <c r="L97" s="2274"/>
      <c r="M97" s="2274"/>
      <c r="N97" s="2271"/>
      <c r="P97" s="303"/>
    </row>
    <row r="98" spans="1:16" s="294" customFormat="1" ht="13.2" customHeight="1">
      <c r="A98" s="321" t="s">
        <v>292</v>
      </c>
      <c r="B98" s="2155" t="s">
        <v>2041</v>
      </c>
      <c r="D98" s="2267"/>
    </row>
    <row r="99" spans="1:16" s="294" customFormat="1" ht="1.5" customHeight="1">
      <c r="A99" s="480"/>
      <c r="B99" s="480"/>
      <c r="D99" s="2267"/>
      <c r="N99" s="2271"/>
      <c r="P99" s="303"/>
    </row>
    <row r="100" spans="1:16" s="294" customFormat="1" ht="13.2" customHeight="1">
      <c r="A100" s="321"/>
      <c r="B100" s="480" t="s">
        <v>1983</v>
      </c>
      <c r="C100" s="296" t="s">
        <v>2708</v>
      </c>
      <c r="F100" s="317" t="s">
        <v>2600</v>
      </c>
      <c r="H100" s="2497" t="s">
        <v>2992</v>
      </c>
      <c r="K100" s="2266" t="s">
        <v>3886</v>
      </c>
      <c r="P100" s="2497" t="s">
        <v>2992</v>
      </c>
    </row>
    <row r="101" spans="1:16" s="294" customFormat="1" ht="13.2" customHeight="1">
      <c r="A101" s="321"/>
      <c r="B101" s="480"/>
      <c r="C101" s="296"/>
      <c r="F101" s="2267" t="s">
        <v>3892</v>
      </c>
      <c r="H101" s="2498" t="s">
        <v>2992</v>
      </c>
      <c r="K101" s="2266" t="s">
        <v>4724</v>
      </c>
      <c r="P101" s="2498" t="s">
        <v>2992</v>
      </c>
    </row>
    <row r="102" spans="1:16" s="294" customFormat="1" ht="1.5" customHeight="1">
      <c r="A102" s="480"/>
      <c r="B102" s="480"/>
      <c r="C102" s="2155"/>
      <c r="F102" s="2267"/>
      <c r="H102" s="2267"/>
      <c r="J102" s="2274"/>
      <c r="K102" s="2274"/>
      <c r="L102" s="2274"/>
      <c r="M102" s="2274"/>
      <c r="N102" s="2274"/>
      <c r="P102" s="303"/>
    </row>
    <row r="103" spans="1:16" s="294" customFormat="1" ht="13.2" customHeight="1">
      <c r="A103" s="321"/>
      <c r="B103" s="480" t="s">
        <v>1985</v>
      </c>
      <c r="C103" s="296" t="s">
        <v>2709</v>
      </c>
      <c r="F103" s="2266" t="s">
        <v>2679</v>
      </c>
      <c r="H103" s="2491" t="s">
        <v>2992</v>
      </c>
      <c r="I103" s="475" t="s">
        <v>2710</v>
      </c>
      <c r="J103" s="2274"/>
      <c r="L103" s="2274"/>
    </row>
    <row r="104" spans="1:16" s="294" customFormat="1" ht="4.5" customHeight="1">
      <c r="A104" s="480"/>
      <c r="B104" s="480"/>
      <c r="C104" s="296"/>
      <c r="D104" s="2267"/>
      <c r="E104" s="2267"/>
      <c r="F104" s="2267"/>
      <c r="G104" s="2267"/>
      <c r="I104" s="2274"/>
      <c r="J104" s="2274"/>
      <c r="K104" s="2274"/>
      <c r="L104" s="2274"/>
      <c r="M104" s="2274"/>
      <c r="N104" s="2271"/>
      <c r="P104" s="303"/>
    </row>
    <row r="105" spans="1:16" s="294" customFormat="1" ht="13.2" customHeight="1">
      <c r="A105" s="321" t="s">
        <v>426</v>
      </c>
      <c r="B105" s="2155" t="s">
        <v>2783</v>
      </c>
      <c r="D105" s="2267"/>
      <c r="H105" s="2863" t="s">
        <v>2819</v>
      </c>
      <c r="I105" s="2864"/>
      <c r="J105" s="2274"/>
    </row>
    <row r="106" spans="1:16" s="294" customFormat="1" ht="4.5" customHeight="1">
      <c r="A106" s="480"/>
      <c r="D106" s="310"/>
      <c r="E106" s="2271"/>
      <c r="I106" s="310"/>
      <c r="J106" s="302"/>
      <c r="K106" s="2271"/>
      <c r="P106" s="303"/>
    </row>
    <row r="107" spans="1:16" s="294" customFormat="1" ht="13.2" customHeight="1">
      <c r="A107" s="321" t="s">
        <v>362</v>
      </c>
      <c r="B107" s="315" t="s">
        <v>1189</v>
      </c>
      <c r="D107" s="2271"/>
      <c r="E107" s="2271"/>
      <c r="F107" s="2271"/>
      <c r="G107" s="2271"/>
      <c r="H107" s="2271"/>
      <c r="I107" s="310"/>
      <c r="J107" s="302"/>
      <c r="K107" s="2271"/>
      <c r="P107" s="303"/>
    </row>
    <row r="108" spans="1:16" s="294" customFormat="1" ht="3" customHeight="1">
      <c r="A108" s="321"/>
      <c r="B108" s="480"/>
      <c r="C108" s="315"/>
      <c r="D108" s="2271"/>
      <c r="E108" s="2271"/>
      <c r="F108" s="2271"/>
      <c r="G108" s="2271"/>
      <c r="H108" s="2271"/>
      <c r="I108" s="310"/>
      <c r="J108" s="302"/>
      <c r="K108" s="2271"/>
    </row>
    <row r="109" spans="1:16" s="294" customFormat="1" ht="13.2" customHeight="1">
      <c r="A109" s="480"/>
      <c r="B109" s="480"/>
      <c r="C109" s="302" t="s">
        <v>552</v>
      </c>
      <c r="D109" s="2271"/>
      <c r="E109" s="2786"/>
      <c r="F109" s="2787"/>
      <c r="G109" s="2787"/>
      <c r="H109" s="2787"/>
      <c r="I109" s="2787"/>
      <c r="J109" s="2787"/>
      <c r="K109" s="2787"/>
      <c r="L109" s="2788"/>
      <c r="M109" s="2853" t="s">
        <v>553</v>
      </c>
      <c r="N109" s="2853"/>
      <c r="O109" s="2810"/>
      <c r="P109" s="2811"/>
    </row>
    <row r="110" spans="1:16" s="294" customFormat="1" ht="13.2" customHeight="1">
      <c r="C110" s="2263" t="s">
        <v>1021</v>
      </c>
      <c r="D110" s="306"/>
      <c r="E110" s="2854"/>
      <c r="F110" s="2794"/>
      <c r="G110" s="2794"/>
      <c r="H110" s="2855"/>
      <c r="I110" s="2794"/>
      <c r="J110" s="2855"/>
      <c r="K110" s="2794"/>
      <c r="L110" s="2856"/>
      <c r="M110" s="2853" t="s">
        <v>808</v>
      </c>
      <c r="N110" s="2853"/>
      <c r="O110" s="2857"/>
      <c r="P110" s="2858"/>
    </row>
    <row r="111" spans="1:16" s="294" customFormat="1" ht="13.2" customHeight="1">
      <c r="C111" s="2263" t="s">
        <v>618</v>
      </c>
      <c r="E111" s="2780"/>
      <c r="F111" s="2840"/>
      <c r="G111" s="2841"/>
      <c r="H111" s="2278" t="s">
        <v>1799</v>
      </c>
      <c r="I111" s="2499"/>
      <c r="J111" s="323" t="s">
        <v>2229</v>
      </c>
      <c r="K111" s="2859"/>
      <c r="L111" s="2860"/>
      <c r="M111" s="271" t="s">
        <v>3661</v>
      </c>
      <c r="N111" s="271"/>
      <c r="O111" s="2861"/>
      <c r="P111" s="2862"/>
    </row>
    <row r="112" spans="1:16" s="294" customFormat="1" ht="13.2" customHeight="1">
      <c r="C112" s="294" t="s">
        <v>2194</v>
      </c>
      <c r="E112" s="2780"/>
      <c r="F112" s="2840"/>
      <c r="G112" s="2841"/>
      <c r="H112" s="970" t="s">
        <v>1980</v>
      </c>
      <c r="I112" s="2842"/>
      <c r="J112" s="2843"/>
      <c r="K112" s="2844"/>
      <c r="L112" s="2282" t="s">
        <v>1984</v>
      </c>
      <c r="M112" s="2786"/>
      <c r="N112" s="2845"/>
      <c r="O112" s="2846"/>
      <c r="P112" s="2847"/>
    </row>
    <row r="113" spans="1:16" s="294" customFormat="1" ht="13.2" customHeight="1">
      <c r="C113" s="2263" t="s">
        <v>2193</v>
      </c>
      <c r="E113" s="2848"/>
      <c r="F113" s="2849"/>
      <c r="G113" s="2850"/>
      <c r="H113" s="970" t="s">
        <v>1802</v>
      </c>
      <c r="I113" s="2848"/>
      <c r="J113" s="2851"/>
      <c r="K113" s="2278" t="s">
        <v>2704</v>
      </c>
      <c r="L113" s="2852"/>
      <c r="M113" s="2775"/>
      <c r="N113" s="2775"/>
      <c r="O113" s="2775"/>
      <c r="P113" s="2776"/>
    </row>
    <row r="114" spans="1:16" s="294" customFormat="1" ht="3" customHeight="1">
      <c r="A114" s="480"/>
      <c r="B114" s="480"/>
      <c r="G114" s="310"/>
      <c r="H114" s="2274"/>
      <c r="I114" s="2274"/>
      <c r="M114" s="303"/>
    </row>
    <row r="115" spans="1:16" s="294" customFormat="1" ht="13.2" customHeight="1">
      <c r="A115" s="321" t="s">
        <v>363</v>
      </c>
      <c r="B115" s="2155" t="s">
        <v>1669</v>
      </c>
      <c r="D115" s="310"/>
      <c r="E115" s="310"/>
      <c r="F115" s="2274"/>
      <c r="G115" s="2274"/>
      <c r="H115" s="2274"/>
      <c r="N115" s="2271"/>
      <c r="O115" s="2271"/>
      <c r="P115" s="303"/>
    </row>
    <row r="116" spans="1:16" s="294" customFormat="1" ht="1.5" customHeight="1">
      <c r="A116" s="321"/>
      <c r="B116" s="2155"/>
      <c r="D116" s="310"/>
      <c r="E116" s="310"/>
      <c r="F116" s="2274"/>
      <c r="G116" s="2274"/>
      <c r="H116" s="2274"/>
      <c r="I116" s="2274"/>
      <c r="J116" s="310"/>
      <c r="K116" s="2274"/>
      <c r="L116" s="2274"/>
      <c r="N116" s="2271"/>
      <c r="O116" s="2271"/>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5" t="s">
        <v>1412</v>
      </c>
      <c r="D119" s="2267"/>
      <c r="E119" s="2267"/>
      <c r="F119" s="2274"/>
      <c r="G119" s="2274"/>
      <c r="H119" s="2500">
        <v>1</v>
      </c>
      <c r="N119" s="2271"/>
      <c r="O119" s="2271"/>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5" t="s">
        <v>416</v>
      </c>
      <c r="D121" s="2267"/>
      <c r="E121" s="2267"/>
      <c r="F121" s="2274"/>
      <c r="G121" s="2274"/>
      <c r="H121" s="2501">
        <v>1000000</v>
      </c>
      <c r="J121" s="310"/>
      <c r="K121" s="2266"/>
      <c r="N121" s="227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7"/>
      <c r="E123" s="2267"/>
      <c r="F123" s="2274"/>
      <c r="G123" s="2274"/>
      <c r="H123" s="2274"/>
      <c r="I123" s="2274"/>
      <c r="J123" s="310"/>
      <c r="K123" s="2274"/>
      <c r="L123" s="2274"/>
      <c r="N123" s="2271"/>
      <c r="O123" s="2271"/>
    </row>
    <row r="124" spans="1:16" s="294" customFormat="1" ht="13.2" customHeight="1">
      <c r="B124" s="480"/>
      <c r="C124" s="2267" t="s">
        <v>2135</v>
      </c>
      <c r="D124" s="2267"/>
      <c r="F124" s="2267" t="s">
        <v>1134</v>
      </c>
      <c r="G124" s="2274"/>
      <c r="H124" s="2274"/>
      <c r="I124" s="2274" t="s">
        <v>1294</v>
      </c>
      <c r="J124" s="2267" t="s">
        <v>2135</v>
      </c>
      <c r="K124" s="2267"/>
      <c r="M124" s="2267" t="s">
        <v>1134</v>
      </c>
      <c r="N124" s="2274"/>
      <c r="O124" s="2274"/>
      <c r="P124" s="2274" t="s">
        <v>1294</v>
      </c>
    </row>
    <row r="125" spans="1:16" s="294" customFormat="1" ht="13.2" customHeight="1">
      <c r="A125" s="480"/>
      <c r="B125" s="480"/>
      <c r="C125" s="2832" t="s">
        <v>5188</v>
      </c>
      <c r="D125" s="2833"/>
      <c r="E125" s="2833"/>
      <c r="F125" s="2834" t="s">
        <v>5190</v>
      </c>
      <c r="G125" s="2835"/>
      <c r="H125" s="2839"/>
      <c r="I125" s="2502" t="s">
        <v>5191</v>
      </c>
      <c r="J125" s="2832">
        <v>7</v>
      </c>
      <c r="K125" s="2833"/>
      <c r="L125" s="2833"/>
      <c r="M125" s="2834"/>
      <c r="N125" s="2835"/>
      <c r="O125" s="2839"/>
      <c r="P125" s="2502"/>
    </row>
    <row r="126" spans="1:16" s="294" customFormat="1" ht="13.2" customHeight="1">
      <c r="A126" s="480"/>
      <c r="B126" s="480"/>
      <c r="C126" s="2798">
        <v>2</v>
      </c>
      <c r="D126" s="2799"/>
      <c r="E126" s="2799"/>
      <c r="F126" s="2800"/>
      <c r="G126" s="2801"/>
      <c r="H126" s="2837"/>
      <c r="I126" s="2503"/>
      <c r="J126" s="2798">
        <v>8</v>
      </c>
      <c r="K126" s="2799"/>
      <c r="L126" s="2799"/>
      <c r="M126" s="2800"/>
      <c r="N126" s="2801"/>
      <c r="O126" s="2837"/>
      <c r="P126" s="2503"/>
    </row>
    <row r="127" spans="1:16" s="294" customFormat="1" ht="13.2" customHeight="1">
      <c r="A127" s="480"/>
      <c r="B127" s="480"/>
      <c r="C127" s="2798">
        <v>3</v>
      </c>
      <c r="D127" s="2799"/>
      <c r="E127" s="2799"/>
      <c r="F127" s="2800"/>
      <c r="G127" s="2801"/>
      <c r="H127" s="2837"/>
      <c r="I127" s="2503"/>
      <c r="J127" s="2798">
        <v>9</v>
      </c>
      <c r="K127" s="2799"/>
      <c r="L127" s="2799"/>
      <c r="M127" s="2800"/>
      <c r="N127" s="2801"/>
      <c r="O127" s="2837"/>
      <c r="P127" s="2503"/>
    </row>
    <row r="128" spans="1:16" s="294" customFormat="1" ht="13.2" customHeight="1">
      <c r="A128" s="480"/>
      <c r="B128" s="480"/>
      <c r="C128" s="2798">
        <v>4</v>
      </c>
      <c r="D128" s="2799"/>
      <c r="E128" s="2799"/>
      <c r="F128" s="2800"/>
      <c r="G128" s="2801"/>
      <c r="H128" s="2837"/>
      <c r="I128" s="2503"/>
      <c r="J128" s="2798">
        <v>10</v>
      </c>
      <c r="K128" s="2799"/>
      <c r="L128" s="2799"/>
      <c r="M128" s="2800"/>
      <c r="N128" s="2801"/>
      <c r="O128" s="2837"/>
      <c r="P128" s="2503"/>
    </row>
    <row r="129" spans="1:16" s="294" customFormat="1" ht="13.2" customHeight="1">
      <c r="A129" s="480"/>
      <c r="B129" s="480"/>
      <c r="C129" s="2798">
        <v>5</v>
      </c>
      <c r="D129" s="2799"/>
      <c r="E129" s="2799"/>
      <c r="F129" s="2800"/>
      <c r="G129" s="2801"/>
      <c r="H129" s="2837"/>
      <c r="I129" s="2503"/>
      <c r="J129" s="2798">
        <v>11</v>
      </c>
      <c r="K129" s="2799"/>
      <c r="L129" s="2799"/>
      <c r="M129" s="2800"/>
      <c r="N129" s="2801"/>
      <c r="O129" s="2837"/>
      <c r="P129" s="2503"/>
    </row>
    <row r="130" spans="1:16" s="294" customFormat="1" ht="13.2" customHeight="1">
      <c r="A130" s="480"/>
      <c r="B130" s="480"/>
      <c r="C130" s="2826">
        <v>6</v>
      </c>
      <c r="D130" s="2827"/>
      <c r="E130" s="2827"/>
      <c r="F130" s="2828"/>
      <c r="G130" s="2829"/>
      <c r="H130" s="2838"/>
      <c r="I130" s="2504"/>
      <c r="J130" s="2826">
        <v>12</v>
      </c>
      <c r="K130" s="2827"/>
      <c r="L130" s="2827"/>
      <c r="M130" s="2828"/>
      <c r="N130" s="2829"/>
      <c r="O130" s="2838"/>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831" t="s">
        <v>1847</v>
      </c>
      <c r="D132" s="2831"/>
      <c r="E132" s="2831"/>
      <c r="F132" s="2831"/>
      <c r="G132" s="2831"/>
      <c r="H132" s="2831"/>
      <c r="I132" s="2831"/>
      <c r="J132" s="2831"/>
      <c r="K132" s="2831"/>
      <c r="L132" s="2831"/>
      <c r="M132" s="2831"/>
      <c r="N132" s="2831"/>
      <c r="O132" s="2831"/>
      <c r="P132" s="2831"/>
    </row>
    <row r="133" spans="1:16" s="294" customFormat="1" ht="13.2" customHeight="1">
      <c r="A133" s="480"/>
      <c r="B133" s="480"/>
      <c r="C133" s="2831"/>
      <c r="D133" s="2831"/>
      <c r="E133" s="2831"/>
      <c r="F133" s="2831"/>
      <c r="G133" s="2831"/>
      <c r="H133" s="2831"/>
      <c r="I133" s="2831"/>
      <c r="J133" s="2831"/>
      <c r="K133" s="2831"/>
      <c r="L133" s="2831"/>
      <c r="M133" s="2831"/>
      <c r="N133" s="2831"/>
      <c r="O133" s="2831"/>
      <c r="P133" s="2831"/>
    </row>
    <row r="134" spans="1:16" s="294" customFormat="1" ht="13.2" customHeight="1">
      <c r="B134" s="480"/>
      <c r="C134" s="2267" t="s">
        <v>2135</v>
      </c>
      <c r="D134" s="2267"/>
      <c r="F134" s="2267" t="s">
        <v>1134</v>
      </c>
      <c r="G134" s="2274"/>
      <c r="H134" s="2274"/>
      <c r="I134" s="2274"/>
      <c r="J134" s="2267" t="s">
        <v>2135</v>
      </c>
      <c r="K134" s="2267"/>
      <c r="M134" s="2267" t="s">
        <v>1134</v>
      </c>
      <c r="N134" s="2274"/>
      <c r="O134" s="2274"/>
      <c r="P134" s="2274"/>
    </row>
    <row r="135" spans="1:16" s="294" customFormat="1" ht="13.2" customHeight="1">
      <c r="A135" s="480"/>
      <c r="B135" s="480"/>
      <c r="C135" s="2832">
        <v>1</v>
      </c>
      <c r="D135" s="2833"/>
      <c r="E135" s="2833"/>
      <c r="F135" s="2834"/>
      <c r="G135" s="2835"/>
      <c r="H135" s="2835"/>
      <c r="I135" s="2836"/>
      <c r="J135" s="2832">
        <v>7</v>
      </c>
      <c r="K135" s="2833"/>
      <c r="L135" s="2833"/>
      <c r="M135" s="2834"/>
      <c r="N135" s="2835"/>
      <c r="O135" s="2835"/>
      <c r="P135" s="2836"/>
    </row>
    <row r="136" spans="1:16" s="294" customFormat="1" ht="13.2" customHeight="1">
      <c r="A136" s="480"/>
      <c r="B136" s="480"/>
      <c r="C136" s="2798">
        <v>2</v>
      </c>
      <c r="D136" s="2799"/>
      <c r="E136" s="2799"/>
      <c r="F136" s="2800"/>
      <c r="G136" s="2801"/>
      <c r="H136" s="2801"/>
      <c r="I136" s="2802"/>
      <c r="J136" s="2798">
        <v>8</v>
      </c>
      <c r="K136" s="2799"/>
      <c r="L136" s="2799"/>
      <c r="M136" s="2800"/>
      <c r="N136" s="2801"/>
      <c r="O136" s="2801"/>
      <c r="P136" s="2802"/>
    </row>
    <row r="137" spans="1:16" s="294" customFormat="1" ht="13.2" customHeight="1">
      <c r="A137" s="480"/>
      <c r="B137" s="480"/>
      <c r="C137" s="2798">
        <v>3</v>
      </c>
      <c r="D137" s="2799"/>
      <c r="E137" s="2799"/>
      <c r="F137" s="2800"/>
      <c r="G137" s="2801"/>
      <c r="H137" s="2801"/>
      <c r="I137" s="2802"/>
      <c r="J137" s="2798">
        <v>9</v>
      </c>
      <c r="K137" s="2799"/>
      <c r="L137" s="2799"/>
      <c r="M137" s="2800"/>
      <c r="N137" s="2801"/>
      <c r="O137" s="2801"/>
      <c r="P137" s="2802"/>
    </row>
    <row r="138" spans="1:16" s="294" customFormat="1" ht="13.2" customHeight="1">
      <c r="A138" s="480"/>
      <c r="B138" s="480"/>
      <c r="C138" s="2798">
        <v>4</v>
      </c>
      <c r="D138" s="2799"/>
      <c r="E138" s="2799"/>
      <c r="F138" s="2800"/>
      <c r="G138" s="2801"/>
      <c r="H138" s="2801"/>
      <c r="I138" s="2802"/>
      <c r="J138" s="2798">
        <v>10</v>
      </c>
      <c r="K138" s="2799"/>
      <c r="L138" s="2799"/>
      <c r="M138" s="2800"/>
      <c r="N138" s="2801"/>
      <c r="O138" s="2801"/>
      <c r="P138" s="2802"/>
    </row>
    <row r="139" spans="1:16" s="294" customFormat="1" ht="13.2" customHeight="1">
      <c r="A139" s="480"/>
      <c r="B139" s="480"/>
      <c r="C139" s="2798">
        <v>5</v>
      </c>
      <c r="D139" s="2799"/>
      <c r="E139" s="2799"/>
      <c r="F139" s="2800"/>
      <c r="G139" s="2801"/>
      <c r="H139" s="2801"/>
      <c r="I139" s="2802"/>
      <c r="J139" s="2798">
        <v>11</v>
      </c>
      <c r="K139" s="2799"/>
      <c r="L139" s="2799"/>
      <c r="M139" s="2800"/>
      <c r="N139" s="2801"/>
      <c r="O139" s="2801"/>
      <c r="P139" s="2802"/>
    </row>
    <row r="140" spans="1:16" s="294" customFormat="1" ht="13.2" customHeight="1">
      <c r="A140" s="480"/>
      <c r="B140" s="480"/>
      <c r="C140" s="2826">
        <v>6</v>
      </c>
      <c r="D140" s="2827"/>
      <c r="E140" s="2827"/>
      <c r="F140" s="2828"/>
      <c r="G140" s="2829"/>
      <c r="H140" s="2829"/>
      <c r="I140" s="2830"/>
      <c r="J140" s="2826">
        <v>12</v>
      </c>
      <c r="K140" s="2827"/>
      <c r="L140" s="2827"/>
      <c r="M140" s="2828"/>
      <c r="N140" s="2829"/>
      <c r="O140" s="2829"/>
      <c r="P140" s="2830"/>
    </row>
    <row r="141" spans="1:16" s="294" customFormat="1" ht="1.5" customHeight="1">
      <c r="A141" s="480"/>
      <c r="B141" s="480"/>
      <c r="C141" s="2267"/>
      <c r="D141" s="2267"/>
      <c r="E141" s="2267"/>
      <c r="F141" s="2274"/>
      <c r="G141" s="2274"/>
      <c r="H141" s="2274"/>
      <c r="I141" s="2274"/>
      <c r="J141" s="310"/>
      <c r="K141" s="2274"/>
      <c r="L141" s="2274"/>
      <c r="N141" s="2271"/>
      <c r="O141" s="2271"/>
      <c r="P141" s="303"/>
    </row>
    <row r="142" spans="1:16" s="294" customFormat="1" ht="3" customHeight="1" thickBot="1">
      <c r="A142" s="480"/>
      <c r="B142" s="480"/>
      <c r="C142" s="2267"/>
      <c r="D142" s="2267"/>
      <c r="E142" s="2267"/>
      <c r="F142" s="2274"/>
      <c r="G142" s="2274"/>
      <c r="H142" s="2274"/>
      <c r="I142" s="2274"/>
      <c r="J142" s="310"/>
      <c r="K142" s="2274"/>
      <c r="L142" s="2274"/>
      <c r="N142" s="2271"/>
      <c r="O142" s="2271"/>
      <c r="P142" s="303"/>
    </row>
    <row r="143" spans="1:16" s="294" customFormat="1" ht="14.7" customHeight="1" thickBot="1">
      <c r="A143" s="296" t="s">
        <v>364</v>
      </c>
      <c r="B143" s="304" t="s">
        <v>4965</v>
      </c>
      <c r="D143" s="304"/>
      <c r="E143" s="304"/>
      <c r="F143" s="304"/>
      <c r="I143" s="2505" t="s">
        <v>2992</v>
      </c>
      <c r="M143" s="2274"/>
      <c r="N143" s="2271"/>
      <c r="O143" s="2271"/>
      <c r="P143" s="303"/>
    </row>
    <row r="144" spans="1:16" s="294" customFormat="1" ht="1.5" customHeight="1">
      <c r="A144" s="321"/>
      <c r="B144" s="480"/>
      <c r="C144" s="2155"/>
      <c r="D144" s="2155"/>
      <c r="E144" s="2155"/>
      <c r="F144" s="2155"/>
      <c r="G144" s="2274"/>
      <c r="M144" s="2274"/>
      <c r="N144" s="2271"/>
      <c r="O144" s="2271"/>
    </row>
    <row r="145" spans="1:16" s="294" customFormat="1" ht="13.2" customHeight="1">
      <c r="A145" s="480"/>
      <c r="B145" s="480" t="s">
        <v>1983</v>
      </c>
      <c r="C145" s="299" t="s">
        <v>1713</v>
      </c>
      <c r="I145" s="2497" t="s">
        <v>2992</v>
      </c>
      <c r="M145" s="2274"/>
      <c r="N145" s="2271"/>
      <c r="O145" s="2271"/>
      <c r="P145" s="303"/>
    </row>
    <row r="146" spans="1:16" s="294" customFormat="1" ht="13.2" customHeight="1">
      <c r="A146" s="480"/>
      <c r="B146" s="480"/>
      <c r="C146" s="2267" t="s">
        <v>2420</v>
      </c>
      <c r="D146" s="2267"/>
      <c r="E146" s="2267"/>
      <c r="F146" s="2274"/>
      <c r="I146" s="2506"/>
      <c r="N146" s="2271"/>
      <c r="O146" s="2271"/>
      <c r="P146" s="303"/>
    </row>
    <row r="147" spans="1:16" s="294" customFormat="1" ht="13.2" customHeight="1">
      <c r="A147" s="480"/>
      <c r="B147" s="480"/>
      <c r="C147" s="326" t="s">
        <v>1712</v>
      </c>
      <c r="D147" s="2263"/>
      <c r="I147" s="2486"/>
      <c r="P147" s="303"/>
    </row>
    <row r="148" spans="1:16" s="294" customFormat="1" ht="13.2" customHeight="1">
      <c r="A148" s="480"/>
      <c r="B148" s="480"/>
      <c r="C148" s="2267" t="s">
        <v>2421</v>
      </c>
      <c r="D148" s="2267"/>
      <c r="E148" s="2155"/>
      <c r="F148" s="2274"/>
      <c r="I148" s="2506"/>
      <c r="K148" s="271" t="s">
        <v>2245</v>
      </c>
      <c r="O148" s="2786" t="s">
        <v>484</v>
      </c>
      <c r="P148" s="2788"/>
    </row>
    <row r="149" spans="1:16" s="294" customFormat="1" ht="13.2" customHeight="1">
      <c r="A149" s="480"/>
      <c r="B149" s="480"/>
      <c r="C149" s="2267" t="s">
        <v>2419</v>
      </c>
      <c r="F149" s="2274"/>
      <c r="I149" s="2507"/>
      <c r="K149" s="271" t="s">
        <v>2246</v>
      </c>
      <c r="O149" s="2822" t="s">
        <v>484</v>
      </c>
      <c r="P149" s="2823"/>
    </row>
    <row r="150" spans="1:16" s="294" customFormat="1" ht="13.2" customHeight="1">
      <c r="A150" s="480"/>
      <c r="B150" s="480"/>
      <c r="C150" s="2267" t="s">
        <v>2166</v>
      </c>
      <c r="D150" s="2267"/>
      <c r="E150" s="2267"/>
      <c r="F150" s="2274"/>
      <c r="I150" s="2824"/>
      <c r="J150" s="2825"/>
      <c r="N150" s="2271"/>
      <c r="O150" s="2271"/>
      <c r="P150" s="303"/>
    </row>
    <row r="151" spans="1:16" s="294" customFormat="1" ht="1.5" customHeight="1">
      <c r="A151" s="480"/>
      <c r="B151" s="480"/>
      <c r="C151" s="2267"/>
      <c r="D151" s="2267"/>
      <c r="E151" s="2267"/>
      <c r="F151" s="2274"/>
      <c r="G151" s="2274"/>
      <c r="M151" s="2274"/>
      <c r="N151" s="2271"/>
      <c r="O151" s="2271"/>
      <c r="P151" s="303"/>
    </row>
    <row r="152" spans="1:16" s="294" customFormat="1" ht="13.2" customHeight="1">
      <c r="A152" s="480"/>
      <c r="B152" s="480" t="s">
        <v>1985</v>
      </c>
      <c r="C152" s="2216" t="s">
        <v>2701</v>
      </c>
      <c r="D152" s="2267"/>
      <c r="E152" s="317" t="s">
        <v>5049</v>
      </c>
      <c r="F152" s="317"/>
      <c r="G152" s="317"/>
      <c r="I152" s="2508" t="s">
        <v>2992</v>
      </c>
      <c r="K152" s="317" t="s">
        <v>5051</v>
      </c>
      <c r="L152" s="317"/>
      <c r="M152" s="317"/>
      <c r="O152" s="2509" t="s">
        <v>2992</v>
      </c>
      <c r="P152" s="303"/>
    </row>
    <row r="153" spans="1:16" s="294" customFormat="1" ht="13.2" customHeight="1">
      <c r="A153" s="480"/>
      <c r="C153" s="2155"/>
      <c r="D153" s="2267"/>
      <c r="E153" s="317" t="s">
        <v>5050</v>
      </c>
      <c r="F153" s="317"/>
      <c r="G153" s="317"/>
      <c r="I153" s="2510" t="s">
        <v>2992</v>
      </c>
      <c r="K153" s="317"/>
      <c r="L153" s="317"/>
      <c r="M153" s="317"/>
      <c r="P153" s="303"/>
    </row>
    <row r="154" spans="1:16" s="294" customFormat="1" ht="1.5" customHeight="1">
      <c r="A154" s="480"/>
      <c r="B154" s="480"/>
      <c r="C154" s="2267"/>
      <c r="D154" s="2267"/>
      <c r="E154" s="2267"/>
      <c r="F154" s="2274"/>
      <c r="N154" s="2271"/>
      <c r="O154" s="2271"/>
      <c r="P154" s="303"/>
    </row>
    <row r="155" spans="1:16" s="294" customFormat="1" ht="13.2" customHeight="1">
      <c r="A155" s="480"/>
      <c r="B155" s="480" t="s">
        <v>749</v>
      </c>
      <c r="C155" s="2155" t="s">
        <v>5048</v>
      </c>
      <c r="D155" s="2267"/>
      <c r="E155" s="2267"/>
      <c r="F155" s="2274"/>
      <c r="I155" s="2500" t="s">
        <v>2992</v>
      </c>
      <c r="N155" s="2271"/>
      <c r="O155" s="2271"/>
      <c r="P155" s="303"/>
    </row>
    <row r="156" spans="1:16" s="294" customFormat="1" ht="3" customHeight="1">
      <c r="A156" s="480"/>
      <c r="B156" s="480"/>
      <c r="C156" s="2267"/>
      <c r="D156" s="2267"/>
      <c r="E156" s="2267"/>
      <c r="F156" s="2274"/>
      <c r="G156" s="2274"/>
      <c r="H156" s="2274"/>
      <c r="I156" s="2274"/>
      <c r="J156" s="310"/>
      <c r="K156" s="2274"/>
      <c r="L156" s="2274"/>
      <c r="N156" s="2271"/>
      <c r="O156" s="2271"/>
      <c r="P156" s="303"/>
    </row>
    <row r="157" spans="1:16" s="294" customFormat="1" ht="13.2" customHeight="1">
      <c r="A157" s="321" t="s">
        <v>1726</v>
      </c>
      <c r="B157" s="318" t="s">
        <v>1190</v>
      </c>
      <c r="D157" s="318"/>
      <c r="E157" s="318"/>
      <c r="F157" s="318"/>
      <c r="G157" s="2274"/>
      <c r="H157" s="2274"/>
      <c r="I157" s="2274"/>
      <c r="J157" s="310"/>
      <c r="K157" s="2274"/>
      <c r="L157" s="2274"/>
      <c r="N157" s="2271"/>
      <c r="O157" s="2271"/>
      <c r="P157" s="303"/>
    </row>
    <row r="158" spans="1:16" s="294" customFormat="1" ht="1.95" customHeight="1">
      <c r="A158" s="321"/>
      <c r="B158" s="480"/>
      <c r="C158" s="2155"/>
      <c r="D158" s="2155"/>
      <c r="E158" s="2155"/>
      <c r="F158" s="2155"/>
      <c r="G158" s="2274"/>
      <c r="H158" s="2274"/>
      <c r="I158" s="2274"/>
      <c r="J158" s="310"/>
      <c r="K158" s="2274"/>
      <c r="L158" s="2274"/>
      <c r="N158" s="2271"/>
      <c r="O158" s="2271"/>
    </row>
    <row r="159" spans="1:16" s="294" customFormat="1" ht="13.2" customHeight="1">
      <c r="A159" s="480"/>
      <c r="B159" s="480" t="s">
        <v>1983</v>
      </c>
      <c r="C159" s="309" t="s">
        <v>1822</v>
      </c>
      <c r="F159" s="2274"/>
      <c r="G159" s="2274"/>
      <c r="H159" s="2274"/>
      <c r="I159" s="2274"/>
      <c r="J159" s="310"/>
      <c r="K159" s="2274"/>
      <c r="L159" s="2274"/>
      <c r="N159" s="2271"/>
      <c r="O159" s="2271"/>
      <c r="P159" s="303"/>
    </row>
    <row r="160" spans="1:16" s="294" customFormat="1" ht="12.6" customHeight="1">
      <c r="A160" s="480"/>
      <c r="B160" s="480"/>
      <c r="C160" s="317" t="s">
        <v>1527</v>
      </c>
      <c r="D160" s="310"/>
      <c r="E160" s="310"/>
      <c r="F160" s="2274"/>
      <c r="G160" s="2274"/>
      <c r="H160" s="2274"/>
      <c r="I160" s="2511" t="s">
        <v>2992</v>
      </c>
      <c r="N160" s="2271"/>
      <c r="O160" s="2271"/>
      <c r="P160" s="303"/>
    </row>
    <row r="161" spans="1:16" s="294" customFormat="1" ht="12.6" customHeight="1">
      <c r="A161" s="480"/>
      <c r="B161" s="480"/>
      <c r="C161" s="2795" t="s">
        <v>4967</v>
      </c>
      <c r="D161" s="2795"/>
      <c r="E161" s="2795"/>
      <c r="F161" s="2795"/>
      <c r="G161" s="294" t="s">
        <v>4777</v>
      </c>
      <c r="I161" s="2512"/>
      <c r="K161" s="2263" t="s">
        <v>1795</v>
      </c>
      <c r="P161" s="2066">
        <f>IF('Part VI-Revenues &amp; Expenses'!$O$65=0,0,I161/'Part VI-Revenues &amp; Expenses'!$O$65)</f>
        <v>0</v>
      </c>
    </row>
    <row r="162" spans="1:16" s="294" customFormat="1" ht="12.6" customHeight="1">
      <c r="A162" s="480"/>
      <c r="B162" s="480"/>
      <c r="C162" s="2795"/>
      <c r="D162" s="2795"/>
      <c r="E162" s="2795"/>
      <c r="F162" s="2795"/>
      <c r="G162" s="294" t="s">
        <v>4776</v>
      </c>
      <c r="I162" s="2512"/>
      <c r="K162" s="2263" t="s">
        <v>1795</v>
      </c>
      <c r="O162" s="2272"/>
      <c r="P162" s="2067">
        <f>IF('Part VI-Revenues &amp; Expenses'!$O$65=0,0,I162/'Part VI-Revenues &amp; Expenses'!$O$65)</f>
        <v>0</v>
      </c>
    </row>
    <row r="163" spans="1:16" s="294" customFormat="1" ht="12" customHeight="1">
      <c r="A163" s="480"/>
      <c r="B163" s="480"/>
      <c r="C163" s="2263" t="s">
        <v>4778</v>
      </c>
      <c r="I163" s="2494"/>
      <c r="K163" s="2263"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6"/>
      <c r="E165" s="2787"/>
      <c r="F165" s="2787"/>
      <c r="G165" s="2787"/>
      <c r="H165" s="2788"/>
      <c r="I165" s="2263" t="s">
        <v>4722</v>
      </c>
      <c r="N165" s="2783"/>
      <c r="O165" s="2784"/>
      <c r="P165" s="2785"/>
    </row>
    <row r="166" spans="1:16" s="294" customFormat="1" ht="12.6" customHeight="1">
      <c r="A166" s="480"/>
      <c r="B166" s="480"/>
      <c r="C166" s="2263" t="s">
        <v>4723</v>
      </c>
      <c r="D166" s="2780"/>
      <c r="E166" s="2781"/>
      <c r="F166" s="2794"/>
      <c r="G166" s="2781"/>
      <c r="H166" s="2782"/>
      <c r="I166" s="2270" t="s">
        <v>1797</v>
      </c>
      <c r="J166" s="2786"/>
      <c r="K166" s="2787"/>
      <c r="L166" s="2788"/>
      <c r="M166" s="2048" t="s">
        <v>1980</v>
      </c>
      <c r="N166" s="2780"/>
      <c r="O166" s="2781"/>
      <c r="P166" s="2782"/>
    </row>
    <row r="167" spans="1:16" s="294" customFormat="1" ht="12.6" customHeight="1">
      <c r="A167" s="480"/>
      <c r="B167" s="480"/>
      <c r="C167" s="2263" t="s">
        <v>618</v>
      </c>
      <c r="D167" s="2780"/>
      <c r="E167" s="2782"/>
      <c r="F167" s="2046" t="s">
        <v>2229</v>
      </c>
      <c r="G167" s="2789"/>
      <c r="H167" s="2790"/>
      <c r="I167" s="327" t="s">
        <v>1802</v>
      </c>
      <c r="J167" s="2777"/>
      <c r="K167" s="2778"/>
      <c r="L167" s="2779"/>
      <c r="M167" s="2047" t="s">
        <v>1979</v>
      </c>
      <c r="N167" s="2777"/>
      <c r="O167" s="2778"/>
      <c r="P167" s="2779"/>
    </row>
    <row r="168" spans="1:16" s="294" customFormat="1" ht="12.6" customHeight="1">
      <c r="A168" s="480"/>
      <c r="B168" s="480"/>
      <c r="C168" s="294" t="s">
        <v>2704</v>
      </c>
      <c r="D168" s="2791"/>
      <c r="E168" s="2792"/>
      <c r="F168" s="2792"/>
      <c r="G168" s="2792"/>
      <c r="H168" s="2793"/>
      <c r="I168" s="327" t="s">
        <v>1800</v>
      </c>
      <c r="J168" s="2774"/>
      <c r="K168" s="2775"/>
      <c r="L168" s="2775"/>
      <c r="M168" s="2775"/>
      <c r="N168" s="2775"/>
      <c r="O168" s="2775"/>
      <c r="P168" s="2776"/>
    </row>
    <row r="169" spans="1:16" s="294" customFormat="1" ht="12" customHeight="1">
      <c r="A169" s="480"/>
      <c r="B169" s="480"/>
      <c r="C169" s="294" t="s">
        <v>4779</v>
      </c>
      <c r="E169" s="328"/>
      <c r="F169" s="328"/>
      <c r="G169" s="328"/>
      <c r="H169" s="2274"/>
      <c r="I169" s="2509"/>
      <c r="J169" s="2796" t="s">
        <v>761</v>
      </c>
      <c r="K169" s="2797"/>
      <c r="L169" s="2500"/>
      <c r="M169" s="328"/>
      <c r="N169" s="2274"/>
      <c r="O169" s="328"/>
      <c r="P169" s="328"/>
    </row>
    <row r="170" spans="1:16" s="294" customFormat="1" ht="3" customHeight="1">
      <c r="A170" s="480"/>
      <c r="B170" s="480"/>
    </row>
    <row r="171" spans="1:16" s="294" customFormat="1" ht="12.6" customHeight="1">
      <c r="A171" s="480"/>
      <c r="B171" s="480" t="s">
        <v>1985</v>
      </c>
      <c r="C171" s="2265" t="s">
        <v>2702</v>
      </c>
      <c r="D171" s="2265"/>
      <c r="E171" s="2265"/>
      <c r="F171" s="2265"/>
      <c r="G171" s="2265"/>
      <c r="I171" s="2513"/>
      <c r="J171" s="2767" t="s">
        <v>761</v>
      </c>
      <c r="K171" s="2768"/>
      <c r="L171" s="2513"/>
      <c r="M171" s="2769" t="s">
        <v>2326</v>
      </c>
      <c r="N171" s="2770"/>
      <c r="O171" s="2771"/>
      <c r="P171" s="2514"/>
    </row>
    <row r="172" spans="1:16" s="294" customFormat="1" ht="12.6" customHeight="1">
      <c r="A172" s="480"/>
      <c r="B172" s="480"/>
      <c r="C172" s="2265" t="s">
        <v>2703</v>
      </c>
      <c r="D172" s="2265"/>
      <c r="E172" s="2265"/>
      <c r="F172" s="2265"/>
      <c r="G172" s="2265"/>
      <c r="I172" s="2498" t="s">
        <v>2989</v>
      </c>
      <c r="J172" s="2767" t="s">
        <v>761</v>
      </c>
      <c r="K172" s="2768"/>
      <c r="L172" s="2498"/>
      <c r="M172" s="2769" t="s">
        <v>2326</v>
      </c>
      <c r="N172" s="2770"/>
      <c r="O172" s="2771"/>
      <c r="P172" s="2515"/>
    </row>
    <row r="173" spans="1:16" s="294" customFormat="1" ht="1.5" customHeight="1">
      <c r="A173" s="480"/>
      <c r="B173" s="480"/>
      <c r="C173" s="2265"/>
      <c r="D173" s="2265"/>
      <c r="E173" s="296"/>
      <c r="F173" s="2265"/>
      <c r="G173" s="2265"/>
      <c r="J173" s="2271"/>
      <c r="K173" s="370"/>
      <c r="M173" s="2271"/>
      <c r="O173" s="2274"/>
      <c r="P173" s="303"/>
    </row>
    <row r="174" spans="1:16" s="294" customFormat="1" ht="12.6" customHeight="1">
      <c r="A174" s="480"/>
      <c r="B174" s="480" t="s">
        <v>749</v>
      </c>
      <c r="C174" s="2265" t="s">
        <v>1757</v>
      </c>
      <c r="D174" s="2265"/>
      <c r="E174" s="2265"/>
      <c r="F174" s="2265"/>
      <c r="G174" s="2265"/>
      <c r="I174" s="2491" t="s">
        <v>2992</v>
      </c>
      <c r="L174" s="168"/>
      <c r="M174" s="168"/>
      <c r="P174" s="303"/>
    </row>
    <row r="175" spans="1:16" s="294" customFormat="1" ht="1.5" customHeight="1">
      <c r="A175" s="480"/>
      <c r="B175" s="480"/>
      <c r="C175" s="2263"/>
      <c r="E175" s="328"/>
      <c r="F175" s="328"/>
      <c r="G175" s="328"/>
      <c r="I175" s="328"/>
      <c r="J175" s="328"/>
      <c r="K175" s="2274"/>
      <c r="L175" s="328"/>
      <c r="M175" s="328"/>
      <c r="N175" s="2274"/>
      <c r="O175" s="328"/>
      <c r="P175" s="328"/>
    </row>
    <row r="176" spans="1:16" s="294" customFormat="1" ht="12.6" customHeight="1">
      <c r="A176" s="480"/>
      <c r="B176" s="480" t="s">
        <v>2115</v>
      </c>
      <c r="C176" s="2772" t="s">
        <v>1978</v>
      </c>
      <c r="D176" s="2772"/>
      <c r="E176" s="2772"/>
      <c r="F176" s="2772"/>
      <c r="G176" s="2265"/>
      <c r="I176" s="2491" t="s">
        <v>2992</v>
      </c>
      <c r="J176" s="330" t="s">
        <v>2753</v>
      </c>
      <c r="L176" s="2773" t="s">
        <v>3699</v>
      </c>
      <c r="M176" s="2773"/>
      <c r="N176" s="2265"/>
      <c r="O176" s="2265"/>
      <c r="P176" s="2492"/>
    </row>
    <row r="177" spans="1:16" s="294" customFormat="1" ht="12.6" customHeight="1">
      <c r="B177" s="480"/>
      <c r="L177" s="2803" t="s">
        <v>797</v>
      </c>
      <c r="M177" s="2803"/>
      <c r="N177" s="2155"/>
      <c r="O177" s="2155"/>
      <c r="P177" s="2494"/>
    </row>
    <row r="178" spans="1:16" s="294" customFormat="1" ht="12.6" customHeight="1">
      <c r="A178" s="480"/>
      <c r="B178" s="480"/>
      <c r="L178" s="2803" t="s">
        <v>1791</v>
      </c>
      <c r="M178" s="2803"/>
      <c r="N178" s="2155"/>
      <c r="O178" s="2155"/>
      <c r="P178" s="329" t="str">
        <f>IF(P176="","",P177/P176)</f>
        <v/>
      </c>
    </row>
    <row r="179" spans="1:16" s="294" customFormat="1" ht="13.2" customHeight="1">
      <c r="A179" s="480"/>
      <c r="B179" s="480" t="s">
        <v>1735</v>
      </c>
      <c r="C179" s="2265" t="s">
        <v>1609</v>
      </c>
      <c r="D179" s="2267"/>
      <c r="E179" s="2267"/>
      <c r="F179" s="2267"/>
      <c r="G179" s="2267"/>
      <c r="H179" s="2274"/>
      <c r="J179" s="302"/>
      <c r="K179" s="310"/>
      <c r="M179" s="2271"/>
      <c r="O179" s="2274"/>
      <c r="P179" s="303"/>
    </row>
    <row r="180" spans="1:16" s="294" customFormat="1" ht="12.6" customHeight="1">
      <c r="A180" s="480"/>
      <c r="B180" s="480"/>
      <c r="C180" s="2271" t="s">
        <v>2212</v>
      </c>
      <c r="D180" s="304"/>
      <c r="E180" s="2271"/>
      <c r="F180" s="2271"/>
      <c r="I180" s="2511" t="s">
        <v>2992</v>
      </c>
      <c r="L180" s="2271" t="s">
        <v>1610</v>
      </c>
      <c r="M180" s="2271"/>
      <c r="N180" s="2271"/>
      <c r="P180" s="2511" t="s">
        <v>2989</v>
      </c>
    </row>
    <row r="181" spans="1:16" s="294" customFormat="1" ht="12.6" customHeight="1">
      <c r="A181" s="480"/>
      <c r="B181" s="480"/>
      <c r="C181" s="2271" t="s">
        <v>2213</v>
      </c>
      <c r="I181" s="2507" t="s">
        <v>2992</v>
      </c>
      <c r="L181" s="2271" t="s">
        <v>2845</v>
      </c>
      <c r="M181" s="2271"/>
      <c r="N181" s="2271"/>
      <c r="P181" s="2507" t="s">
        <v>2992</v>
      </c>
    </row>
    <row r="182" spans="1:16" s="294" customFormat="1" ht="12.6" customHeight="1">
      <c r="A182" s="480"/>
      <c r="C182" s="2271" t="s">
        <v>2722</v>
      </c>
      <c r="I182" s="2507" t="s">
        <v>2992</v>
      </c>
      <c r="L182" s="2271" t="s">
        <v>2690</v>
      </c>
      <c r="N182" s="2804"/>
      <c r="O182" s="2805"/>
      <c r="P182" s="2507" t="s">
        <v>2992</v>
      </c>
    </row>
    <row r="183" spans="1:16" s="294" customFormat="1" ht="12.6" customHeight="1">
      <c r="A183" s="480"/>
      <c r="B183" s="480"/>
      <c r="C183" s="2271" t="s">
        <v>1285</v>
      </c>
      <c r="D183" s="331"/>
      <c r="I183" s="2507" t="s">
        <v>2992</v>
      </c>
      <c r="K183" s="304"/>
      <c r="L183" s="2271" t="s">
        <v>3481</v>
      </c>
      <c r="M183" s="2271"/>
      <c r="N183" s="2271"/>
      <c r="P183" s="2507" t="s">
        <v>2992</v>
      </c>
    </row>
    <row r="184" spans="1:16" s="294" customFormat="1" ht="12.6" customHeight="1">
      <c r="A184" s="480"/>
      <c r="B184" s="296"/>
      <c r="C184" s="2271" t="s">
        <v>1807</v>
      </c>
      <c r="I184" s="2507" t="s">
        <v>2992</v>
      </c>
      <c r="J184" s="330" t="s">
        <v>2754</v>
      </c>
      <c r="O184" s="2806"/>
      <c r="P184" s="2807"/>
    </row>
    <row r="185" spans="1:16" s="294" customFormat="1" ht="12.6" customHeight="1">
      <c r="A185" s="480"/>
      <c r="B185" s="480"/>
      <c r="C185" s="2271" t="s">
        <v>2902</v>
      </c>
      <c r="I185" s="2510" t="s">
        <v>2992</v>
      </c>
      <c r="J185" s="330" t="s">
        <v>2754</v>
      </c>
      <c r="O185" s="2808"/>
      <c r="P185" s="2809"/>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3" t="s">
        <v>639</v>
      </c>
      <c r="D188" s="2267"/>
      <c r="E188" s="2267"/>
      <c r="F188" s="2274"/>
      <c r="G188" s="2274"/>
      <c r="H188" s="2810"/>
      <c r="I188" s="2811"/>
      <c r="N188" s="2271"/>
      <c r="O188" s="2271"/>
      <c r="P188" s="303"/>
    </row>
    <row r="189" spans="1:16" s="294" customFormat="1" ht="12.6" customHeight="1">
      <c r="A189" s="480"/>
      <c r="B189" s="480"/>
      <c r="C189" s="2263" t="s">
        <v>276</v>
      </c>
      <c r="D189" s="2267"/>
      <c r="E189" s="2267"/>
      <c r="F189" s="2274"/>
      <c r="G189" s="2274"/>
      <c r="H189" s="2818"/>
      <c r="I189" s="2819"/>
      <c r="N189" s="2271"/>
      <c r="O189" s="2271"/>
      <c r="P189" s="303"/>
    </row>
    <row r="190" spans="1:16" s="294" customFormat="1" ht="12.6" customHeight="1">
      <c r="A190" s="480"/>
      <c r="B190" s="480"/>
      <c r="C190" s="2263" t="s">
        <v>2295</v>
      </c>
      <c r="D190" s="2267"/>
      <c r="E190" s="2267"/>
      <c r="F190" s="2274"/>
      <c r="G190" s="2274"/>
      <c r="H190" s="2820">
        <v>44409</v>
      </c>
      <c r="I190" s="2821"/>
      <c r="N190" s="2271"/>
      <c r="O190" s="2271"/>
      <c r="P190" s="303"/>
    </row>
    <row r="191" spans="1:16" s="294" customFormat="1" ht="2.25" customHeight="1">
      <c r="B191" s="296"/>
      <c r="C191" s="2271"/>
      <c r="H191" s="2271"/>
      <c r="L191" s="312"/>
      <c r="M191" s="312"/>
      <c r="N191" s="312"/>
      <c r="O191" s="312"/>
      <c r="P191" s="300"/>
    </row>
    <row r="192" spans="1:16" ht="12" customHeight="1">
      <c r="A192" s="321" t="s">
        <v>2782</v>
      </c>
      <c r="C192" s="321" t="s">
        <v>572</v>
      </c>
      <c r="M192" s="321" t="s">
        <v>2251</v>
      </c>
      <c r="N192" s="321" t="s">
        <v>79</v>
      </c>
    </row>
    <row r="193" spans="1:44" ht="409.5" customHeight="1">
      <c r="A193" s="2812" t="s">
        <v>5295</v>
      </c>
      <c r="B193" s="2813"/>
      <c r="C193" s="2813"/>
      <c r="D193" s="2813"/>
      <c r="E193" s="2813"/>
      <c r="F193" s="2813"/>
      <c r="G193" s="2813"/>
      <c r="H193" s="2813"/>
      <c r="I193" s="2813"/>
      <c r="J193" s="2813"/>
      <c r="K193" s="2813"/>
      <c r="L193" s="2814"/>
      <c r="M193" s="2815"/>
      <c r="N193" s="2816"/>
      <c r="O193" s="2816"/>
      <c r="P193" s="2817"/>
      <c r="Q193" s="2765" t="s">
        <v>2693</v>
      </c>
      <c r="R193" s="2765"/>
      <c r="S193" s="2765"/>
      <c r="T193" s="2765"/>
      <c r="U193" s="2765"/>
    </row>
    <row r="194" spans="1:44" ht="12" customHeight="1">
      <c r="Q194" s="2765"/>
      <c r="R194" s="2765"/>
      <c r="S194" s="2765"/>
      <c r="T194" s="2765"/>
      <c r="U194" s="2765"/>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3866</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RtBUXGMD2YqGzt0IqnheeyYDSs/+IWLW3apSKiRpRf8JFiDgZ9m1b+K5lp81I2QhhIL+MsGpnY3Mxx7CcwnX4w==" saltValue="vzERCSuexp2EcKUHMz6wWw=="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096" t="str">
        <f>Overview!C8</f>
        <v>Brennan Place</v>
      </c>
      <c r="C1" s="4096"/>
      <c r="D1" s="4096"/>
      <c r="E1" s="4096"/>
      <c r="F1" s="4096"/>
      <c r="G1" s="4096"/>
      <c r="H1" s="1297"/>
    </row>
    <row r="2" spans="1:8" ht="22.2" customHeight="1">
      <c r="A2" s="1869"/>
      <c r="B2" s="1869"/>
      <c r="C2" s="1869"/>
      <c r="D2" s="1869"/>
      <c r="E2" s="1869"/>
      <c r="F2" s="1869"/>
      <c r="G2" s="1869"/>
      <c r="H2" s="1869"/>
    </row>
    <row r="3" spans="1:8" ht="20.25" customHeight="1">
      <c r="C3" s="4095" t="s">
        <v>3076</v>
      </c>
      <c r="D3" s="4095"/>
      <c r="E3" s="4095"/>
      <c r="F3" s="4095"/>
    </row>
    <row r="5" spans="1:8" ht="15.6">
      <c r="D5" s="1260"/>
      <c r="E5" s="1260" t="s">
        <v>3077</v>
      </c>
    </row>
    <row r="6" spans="1:8" ht="15.6">
      <c r="D6" s="1298" t="s">
        <v>2480</v>
      </c>
      <c r="E6" s="1298" t="s">
        <v>3078</v>
      </c>
    </row>
    <row r="7" spans="1:8" ht="15">
      <c r="D7" s="1261"/>
      <c r="E7" s="1261"/>
    </row>
    <row r="8" spans="1:8" ht="21" customHeight="1">
      <c r="D8" s="1262">
        <v>1</v>
      </c>
      <c r="E8" s="1263">
        <f>-'Part VII-Pro Forma'!B25/12</f>
        <v>9980.3001594810212</v>
      </c>
    </row>
    <row r="9" spans="1:8" ht="21" customHeight="1">
      <c r="D9" s="1262">
        <v>2</v>
      </c>
      <c r="E9" s="1263">
        <f>-'Part VII-Pro Forma'!C25/12</f>
        <v>9980.3001594810212</v>
      </c>
    </row>
    <row r="10" spans="1:8" ht="21" customHeight="1">
      <c r="D10" s="1262">
        <v>3</v>
      </c>
      <c r="E10" s="1263">
        <f>-'Part VII-Pro Forma'!D25/12</f>
        <v>9980.3001594810212</v>
      </c>
    </row>
    <row r="11" spans="1:8" ht="21" customHeight="1">
      <c r="D11" s="1264">
        <v>4</v>
      </c>
      <c r="E11" s="1263">
        <f>-'Part VII-Pro Forma'!E25/12</f>
        <v>9980.3001594810212</v>
      </c>
    </row>
    <row r="12" spans="1:8" ht="21" customHeight="1">
      <c r="D12" s="1264">
        <v>5</v>
      </c>
      <c r="E12" s="1263">
        <f>-'Part VII-Pro Forma'!F25/12</f>
        <v>9980.3001594810212</v>
      </c>
    </row>
    <row r="13" spans="1:8" ht="21" customHeight="1">
      <c r="D13" s="1262">
        <v>6</v>
      </c>
      <c r="E13" s="1263">
        <f>-'Part VII-Pro Forma'!G25/12</f>
        <v>9980.3001594810212</v>
      </c>
    </row>
    <row r="14" spans="1:8" ht="21" customHeight="1">
      <c r="D14" s="1262">
        <v>7</v>
      </c>
      <c r="E14" s="1263">
        <f>-'Part VII-Pro Forma'!H25/12</f>
        <v>9980.3001594810212</v>
      </c>
    </row>
    <row r="15" spans="1:8" ht="21" customHeight="1">
      <c r="D15" s="1264">
        <v>8</v>
      </c>
      <c r="E15" s="1263">
        <f>-'Part VII-Pro Forma'!I25/12</f>
        <v>9980.3001594810212</v>
      </c>
    </row>
    <row r="16" spans="1:8" ht="21" customHeight="1">
      <c r="D16" s="1262">
        <v>9</v>
      </c>
      <c r="E16" s="1263">
        <f>-'Part VII-Pro Forma'!J25/12</f>
        <v>9980.3001594810212</v>
      </c>
    </row>
    <row r="17" spans="4:8" ht="21" customHeight="1">
      <c r="D17" s="1262">
        <v>10</v>
      </c>
      <c r="E17" s="1263">
        <f>-'Part VII-Pro Forma'!K25/12</f>
        <v>9980.3001594810212</v>
      </c>
    </row>
    <row r="18" spans="4:8" ht="21" customHeight="1">
      <c r="D18" s="1264">
        <v>11</v>
      </c>
      <c r="E18" s="1263">
        <f>-'Part VII-Pro Forma'!B57/12</f>
        <v>9980.3001594810212</v>
      </c>
    </row>
    <row r="19" spans="4:8" ht="21" customHeight="1">
      <c r="D19" s="1262">
        <v>12</v>
      </c>
      <c r="E19" s="1263">
        <f>-'Part VII-Pro Forma'!C57/12</f>
        <v>9980.3001594810212</v>
      </c>
    </row>
    <row r="20" spans="4:8" ht="21" customHeight="1">
      <c r="D20" s="1262">
        <v>13</v>
      </c>
      <c r="E20" s="1263">
        <f>-'Part VII-Pro Forma'!D57/12</f>
        <v>9980.3001594810212</v>
      </c>
    </row>
    <row r="21" spans="4:8" ht="21" customHeight="1">
      <c r="D21" s="1262">
        <v>14</v>
      </c>
      <c r="E21" s="1263">
        <f>-'Part VII-Pro Forma'!E57/12</f>
        <v>9980.3001594810212</v>
      </c>
    </row>
    <row r="22" spans="4:8" ht="21" customHeight="1">
      <c r="D22" s="1262">
        <v>15</v>
      </c>
      <c r="E22" s="1263">
        <f>-'Part VII-Pro Forma'!F57/12</f>
        <v>9980.3001594810212</v>
      </c>
    </row>
    <row r="23" spans="4:8" ht="21" customHeight="1">
      <c r="D23" s="1262">
        <v>16</v>
      </c>
      <c r="E23" s="1263">
        <f>-'Part VII-Pro Forma'!G57/12</f>
        <v>9980.3001594810212</v>
      </c>
    </row>
    <row r="24" spans="4:8" ht="21" customHeight="1">
      <c r="D24" s="1262">
        <v>17</v>
      </c>
      <c r="E24" s="1263">
        <f>-'Part VII-Pro Forma'!H57/12</f>
        <v>9980.3001594810212</v>
      </c>
      <c r="H24" s="548" t="s">
        <v>243</v>
      </c>
    </row>
    <row r="25" spans="4:8" ht="21" customHeight="1">
      <c r="D25" s="1262">
        <v>18</v>
      </c>
      <c r="E25" s="1263">
        <f>-'Part VII-Pro Forma'!I57/12</f>
        <v>9980.3001594810212</v>
      </c>
    </row>
    <row r="26" spans="4:8" ht="21" customHeight="1">
      <c r="D26" s="1262">
        <v>19</v>
      </c>
      <c r="E26" s="1263">
        <f>-'Part VII-Pro Forma'!J57/12</f>
        <v>9980.3001594810212</v>
      </c>
    </row>
    <row r="27" spans="4:8" ht="21" customHeight="1">
      <c r="D27" s="1262">
        <v>20</v>
      </c>
      <c r="E27" s="1263">
        <f>-'Part VII-Pro Forma'!K57/12</f>
        <v>9980.3001594810212</v>
      </c>
    </row>
    <row r="28" spans="4:8" ht="21" customHeight="1">
      <c r="D28" s="1262">
        <v>21</v>
      </c>
      <c r="E28" s="1263">
        <f>-'Part VII-Pro Forma'!B89/12</f>
        <v>9980.3001594810212</v>
      </c>
    </row>
    <row r="29" spans="4:8" ht="21" customHeight="1">
      <c r="D29" s="1262">
        <v>22</v>
      </c>
      <c r="E29" s="1263">
        <f>-'Part VII-Pro Forma'!C89/12</f>
        <v>9980.3001594810212</v>
      </c>
    </row>
    <row r="30" spans="4:8" ht="21" customHeight="1">
      <c r="D30" s="1262">
        <v>23</v>
      </c>
      <c r="E30" s="1263">
        <f>-'Part VII-Pro Forma'!D89/12</f>
        <v>9980.3001594810212</v>
      </c>
    </row>
    <row r="31" spans="4:8" ht="21" customHeight="1">
      <c r="D31" s="1262">
        <v>24</v>
      </c>
      <c r="E31" s="1263">
        <f>-'Part VII-Pro Forma'!E89/12</f>
        <v>9980.3001594810212</v>
      </c>
    </row>
    <row r="32" spans="4:8" ht="21" customHeight="1">
      <c r="D32" s="1262">
        <v>25</v>
      </c>
      <c r="E32" s="1263">
        <f>-'Part VII-Pro Forma'!F89/12</f>
        <v>9980.3001594810212</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097" t="s">
        <v>3079</v>
      </c>
      <c r="B1" s="4097"/>
      <c r="C1" s="4097"/>
      <c r="D1" s="4097"/>
      <c r="E1" s="4097"/>
      <c r="F1" s="4097"/>
      <c r="G1" s="4097"/>
      <c r="H1" s="4097"/>
      <c r="I1" s="4097"/>
      <c r="J1" s="4097"/>
      <c r="K1" s="4097"/>
    </row>
    <row r="2" spans="1:11" ht="15.6">
      <c r="A2" s="4111" t="str">
        <f>Overview!C8</f>
        <v>Brennan Place</v>
      </c>
      <c r="B2" s="4111"/>
      <c r="C2" s="4111"/>
      <c r="D2" s="4111"/>
      <c r="E2" s="4111"/>
      <c r="F2" s="4111"/>
      <c r="G2" s="4111"/>
      <c r="H2" s="4111"/>
      <c r="I2" s="4111"/>
      <c r="J2" s="4111"/>
      <c r="K2" s="4111"/>
    </row>
    <row r="3" spans="1:11" ht="9" customHeight="1">
      <c r="A3" s="761"/>
      <c r="B3" s="761"/>
      <c r="C3" s="761"/>
    </row>
    <row r="4" spans="1:11" ht="17.399999999999999">
      <c r="A4" s="762" t="s">
        <v>3552</v>
      </c>
      <c r="B4" s="761"/>
      <c r="C4" s="761"/>
      <c r="K4" s="763"/>
    </row>
    <row r="5" spans="1:11" s="718" customFormat="1" ht="42" customHeight="1">
      <c r="C5" s="4098" t="s">
        <v>4459</v>
      </c>
      <c r="D5" s="4099"/>
      <c r="E5" s="4100"/>
      <c r="F5" s="562"/>
      <c r="G5" s="4098" t="s">
        <v>4460</v>
      </c>
      <c r="H5" s="4099"/>
      <c r="I5" s="4100"/>
      <c r="J5" s="760"/>
      <c r="K5" s="4109" t="s">
        <v>4461</v>
      </c>
    </row>
    <row r="6" spans="1:11" s="765" customFormat="1" ht="15" customHeight="1">
      <c r="A6" s="764" t="s">
        <v>2714</v>
      </c>
      <c r="C6" s="766" t="s">
        <v>3535</v>
      </c>
      <c r="D6" s="766" t="s">
        <v>4462</v>
      </c>
      <c r="E6" s="766" t="s">
        <v>1990</v>
      </c>
      <c r="G6" s="766" t="s">
        <v>3536</v>
      </c>
      <c r="H6" s="766" t="s">
        <v>4463</v>
      </c>
      <c r="I6" s="766" t="s">
        <v>1990</v>
      </c>
      <c r="K6" s="4110"/>
    </row>
    <row r="7" spans="1:11" s="562" customFormat="1" ht="13.5" customHeight="1">
      <c r="A7" s="562" t="s">
        <v>3080</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10</v>
      </c>
      <c r="E8" s="770">
        <f>C8*D8</f>
        <v>0</v>
      </c>
      <c r="G8" s="768"/>
      <c r="H8" s="769">
        <f>'Part VI-Revenues &amp; Expenses'!$K$67</f>
        <v>12</v>
      </c>
      <c r="I8" s="770">
        <f>G8*H8</f>
        <v>0</v>
      </c>
      <c r="K8" s="767" t="s">
        <v>3537</v>
      </c>
    </row>
    <row r="9" spans="1:11" s="562" customFormat="1" ht="13.5" customHeight="1">
      <c r="A9" s="562" t="s">
        <v>2713</v>
      </c>
      <c r="C9" s="768"/>
      <c r="D9" s="1265">
        <f>'Part VI-Revenues &amp; Expenses'!$L$63</f>
        <v>31</v>
      </c>
      <c r="E9" s="770">
        <f>C9*D9</f>
        <v>0</v>
      </c>
      <c r="G9" s="768"/>
      <c r="H9" s="769">
        <f>'Part VI-Revenues &amp; Expenses'!$L$67</f>
        <v>36</v>
      </c>
      <c r="I9" s="770">
        <f>G9*H9</f>
        <v>0</v>
      </c>
      <c r="K9" s="1272">
        <f>'Part IV-A-Uses of Funds'!$G$132</f>
        <v>14176065</v>
      </c>
    </row>
    <row r="10" spans="1:11" s="562" customFormat="1" ht="13.5" customHeight="1">
      <c r="A10" s="562" t="s">
        <v>2716</v>
      </c>
      <c r="C10" s="768"/>
      <c r="D10" s="1265">
        <f>'Part VI-Revenues &amp; Expenses'!$M$63</f>
        <v>22</v>
      </c>
      <c r="E10" s="770">
        <f>C10*D10</f>
        <v>0</v>
      </c>
      <c r="G10" s="768"/>
      <c r="H10" s="769">
        <f>'Part VI-Revenues &amp; Expenses'!$M$67</f>
        <v>24</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4101" t="s">
        <v>3542</v>
      </c>
    </row>
    <row r="12" spans="1:11" ht="13.5" customHeight="1" thickBot="1">
      <c r="A12" s="776" t="s">
        <v>3504</v>
      </c>
      <c r="D12" s="807">
        <f>SUM(D7:D11)</f>
        <v>63</v>
      </c>
      <c r="E12" s="777"/>
      <c r="G12" s="776" t="s">
        <v>1793</v>
      </c>
      <c r="H12" s="1271">
        <f>SUM(H7:H11)</f>
        <v>72</v>
      </c>
      <c r="I12" s="777"/>
      <c r="K12" s="4102"/>
    </row>
    <row r="13" spans="1:11" s="562" customFormat="1" ht="13.5" customHeight="1" thickBot="1">
      <c r="A13" s="776" t="s">
        <v>3081</v>
      </c>
      <c r="B13" s="778"/>
      <c r="E13" s="779">
        <f>SUM(E7:E11)</f>
        <v>0</v>
      </c>
      <c r="G13" s="776" t="s">
        <v>3316</v>
      </c>
      <c r="H13" s="778"/>
      <c r="I13" s="780">
        <f>SUM(I7:I11)</f>
        <v>0</v>
      </c>
      <c r="K13" s="1272">
        <f>'Part VIII-Threshold Criteria'!$P$63</f>
        <v>14215668</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4247</v>
      </c>
      <c r="F18" s="1274"/>
      <c r="G18" s="1274"/>
      <c r="H18" s="1274"/>
      <c r="I18" s="1274"/>
      <c r="K18" s="1250">
        <f>Overview!$E$13</f>
        <v>63</v>
      </c>
    </row>
    <row r="19" spans="1:11" s="562" customFormat="1" ht="13.5" customHeight="1">
      <c r="A19" s="562" t="s">
        <v>3082</v>
      </c>
      <c r="E19" s="1268"/>
      <c r="K19" s="635">
        <f>Overview!$C$13</f>
        <v>72</v>
      </c>
    </row>
    <row r="20" spans="1:11" ht="3" customHeight="1">
      <c r="A20" s="782"/>
      <c r="E20" s="1269"/>
    </row>
    <row r="21" spans="1:11" s="562" customFormat="1" ht="13.5" customHeight="1">
      <c r="A21" s="562" t="s">
        <v>3083</v>
      </c>
      <c r="E21" s="1267" t="s">
        <v>3540</v>
      </c>
      <c r="K21" s="783">
        <f>K18/K19</f>
        <v>0.875</v>
      </c>
    </row>
    <row r="22" spans="1:11" ht="6.75" customHeight="1">
      <c r="E22" s="1269"/>
    </row>
    <row r="23" spans="1:11" s="562" customFormat="1" ht="13.5" customHeight="1">
      <c r="A23" s="562" t="s">
        <v>3503</v>
      </c>
      <c r="C23" s="784"/>
      <c r="E23" s="1267" t="s">
        <v>3086</v>
      </c>
      <c r="K23" s="635">
        <f>K9</f>
        <v>14176065</v>
      </c>
    </row>
    <row r="24" spans="1:11" s="562" customFormat="1" ht="13.5" customHeight="1">
      <c r="A24" s="785" t="s">
        <v>1760</v>
      </c>
      <c r="E24" s="1268"/>
      <c r="K24" s="771">
        <f>'Part IV-A-Uses of Funds'!$G$122</f>
        <v>239141</v>
      </c>
    </row>
    <row r="25" spans="1:11" s="562" customFormat="1" ht="13.5" customHeight="1">
      <c r="A25" s="785" t="s">
        <v>3087</v>
      </c>
      <c r="E25" s="1268"/>
      <c r="K25" s="786">
        <v>0</v>
      </c>
    </row>
    <row r="26" spans="1:11" s="562" customFormat="1" ht="13.5" customHeight="1">
      <c r="A26" s="785" t="s">
        <v>3087</v>
      </c>
      <c r="E26" s="1268"/>
      <c r="K26" s="786">
        <v>0</v>
      </c>
    </row>
    <row r="27" spans="1:11" ht="3" customHeight="1">
      <c r="A27" s="787"/>
      <c r="E27" s="1269"/>
      <c r="K27" s="788">
        <v>0</v>
      </c>
    </row>
    <row r="28" spans="1:11" s="778" customFormat="1" ht="13.5" customHeight="1">
      <c r="A28" s="778" t="s">
        <v>3088</v>
      </c>
      <c r="E28" s="1270"/>
      <c r="K28" s="789">
        <f>K23-SUM(K24:K27)</f>
        <v>13936924</v>
      </c>
    </row>
    <row r="29" spans="1:11" ht="6.75" customHeight="1">
      <c r="A29" s="782"/>
      <c r="E29" s="1269"/>
      <c r="K29" s="790"/>
    </row>
    <row r="30" spans="1:11" s="562" customFormat="1" ht="15" customHeight="1">
      <c r="A30" s="778" t="s">
        <v>3089</v>
      </c>
      <c r="E30" s="1267" t="s">
        <v>3547</v>
      </c>
      <c r="F30" s="791"/>
      <c r="G30" s="791"/>
      <c r="H30" s="791"/>
      <c r="I30" s="791"/>
      <c r="K30" s="792">
        <f>K21*K28</f>
        <v>12194808.5</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1700000</v>
      </c>
    </row>
    <row r="37" spans="1:11" s="562" customFormat="1" ht="9" customHeight="1" thickBot="1">
      <c r="E37" s="797"/>
      <c r="F37" s="797"/>
      <c r="G37" s="797"/>
      <c r="H37" s="797"/>
      <c r="K37" s="798"/>
    </row>
    <row r="38" spans="1:11" s="562" customFormat="1" ht="15.75" customHeight="1">
      <c r="A38" s="4103" t="s">
        <v>3545</v>
      </c>
      <c r="B38" s="4103"/>
      <c r="C38" s="4103"/>
      <c r="D38" s="4104" t="s">
        <v>3084</v>
      </c>
      <c r="E38" s="4104"/>
      <c r="F38" s="4104" t="s">
        <v>3085</v>
      </c>
      <c r="G38" s="4104"/>
      <c r="H38" s="4104"/>
      <c r="I38" s="1870" t="s">
        <v>2829</v>
      </c>
      <c r="K38" s="4105">
        <f>ROUND((D39/F39)*I39,0)</f>
        <v>9</v>
      </c>
    </row>
    <row r="39" spans="1:11" s="562" customFormat="1" ht="15.75" customHeight="1" thickBot="1">
      <c r="A39" s="4103"/>
      <c r="B39" s="4103"/>
      <c r="C39" s="4103"/>
      <c r="D39" s="4107">
        <f>K36</f>
        <v>1700000</v>
      </c>
      <c r="E39" s="4107"/>
      <c r="F39" s="4108">
        <f>K28</f>
        <v>13936924</v>
      </c>
      <c r="G39" s="4108"/>
      <c r="H39" s="4108"/>
      <c r="I39" s="799">
        <f>K19</f>
        <v>72</v>
      </c>
      <c r="K39" s="4106"/>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12" t="str">
        <f>CONCATENATE(Overview!E8,"  ",Overview!C8)</f>
        <v>2019-042  Brennan Place</v>
      </c>
      <c r="B1" s="4112"/>
      <c r="C1" s="4112"/>
      <c r="D1" s="4112"/>
      <c r="E1" s="4112"/>
      <c r="F1" s="4112"/>
      <c r="G1" s="4112"/>
      <c r="H1" s="4112"/>
    </row>
    <row r="3" spans="1:13" ht="12" customHeight="1">
      <c r="A3" s="4113" t="s">
        <v>3506</v>
      </c>
      <c r="B3" s="4113"/>
      <c r="C3" s="4113"/>
      <c r="D3" s="4113"/>
      <c r="E3" s="4113"/>
      <c r="F3" s="4113"/>
      <c r="G3" s="4113"/>
      <c r="H3" s="4113"/>
      <c r="I3" s="1874"/>
      <c r="J3" s="4115" t="s">
        <v>4248</v>
      </c>
      <c r="K3" s="4115"/>
      <c r="L3" s="833"/>
      <c r="M3" s="833"/>
    </row>
    <row r="4" spans="1:13">
      <c r="J4" s="4115"/>
      <c r="K4" s="4115"/>
    </row>
    <row r="5" spans="1:13" ht="12" customHeight="1">
      <c r="A5" s="760">
        <v>1</v>
      </c>
      <c r="C5" s="760" t="s">
        <v>3091</v>
      </c>
      <c r="E5" s="815" t="str">
        <f>Overview!H9</f>
        <v>Brennan Place, LP</v>
      </c>
      <c r="J5" s="4115"/>
      <c r="K5" s="4115"/>
    </row>
    <row r="6" spans="1:13" ht="3" customHeight="1">
      <c r="H6" s="777"/>
      <c r="J6" s="4115"/>
      <c r="K6" s="4115"/>
    </row>
    <row r="7" spans="1:13" ht="12" customHeight="1">
      <c r="A7" s="760">
        <v>2</v>
      </c>
      <c r="C7" s="760" t="s">
        <v>3092</v>
      </c>
      <c r="E7" s="815" t="str">
        <f>'Part II-Development Team'!H6</f>
        <v>6825 Halcyon Park Drive</v>
      </c>
      <c r="J7" s="4115"/>
      <c r="K7" s="4115"/>
    </row>
    <row r="8" spans="1:13" ht="12" customHeight="1">
      <c r="E8" s="815" t="str">
        <f>+'Part II-Development Team'!H7&amp;","&amp;" "&amp;'Part II-Development Team'!H8&amp;" "&amp;LEFT('Part II-Development Team'!J8,5)</f>
        <v>Montgomery, AL 36117</v>
      </c>
      <c r="J8" s="4115"/>
      <c r="K8" s="4115"/>
    </row>
    <row r="9" spans="1:13" ht="12" customHeight="1">
      <c r="C9" s="760" t="s">
        <v>3093</v>
      </c>
      <c r="E9" s="4114">
        <f>'Part II-Development Team'!L7</f>
        <v>0</v>
      </c>
      <c r="F9" s="4114"/>
      <c r="J9" s="4115"/>
      <c r="K9" s="4115"/>
    </row>
    <row r="10" spans="1:13" ht="12" customHeight="1">
      <c r="C10" s="760" t="s">
        <v>3094</v>
      </c>
      <c r="E10" s="815" t="str">
        <f>'Part II-Development Team'!Q5</f>
        <v>C. Jeffrey Rice</v>
      </c>
    </row>
    <row r="11" spans="1:13" ht="12" customHeight="1">
      <c r="C11" s="760" t="s">
        <v>4253</v>
      </c>
      <c r="E11" s="815" t="str">
        <f>'Part II-Development Team'!L9</f>
        <v>jrice@guilfordcompanies.com</v>
      </c>
    </row>
    <row r="12" spans="1:13" ht="12" customHeight="1">
      <c r="C12" s="760" t="s">
        <v>4249</v>
      </c>
      <c r="E12" s="1875">
        <f>'Part II-Development Team'!H9</f>
        <v>3342816820</v>
      </c>
    </row>
    <row r="13" spans="1:13" ht="12" customHeight="1">
      <c r="C13" s="760" t="s">
        <v>4252</v>
      </c>
      <c r="E13" s="1875">
        <f>'Part II-Development Team'!Q7</f>
        <v>3342816820</v>
      </c>
    </row>
    <row r="14" spans="1:13" ht="3" customHeight="1"/>
    <row r="15" spans="1:13" ht="12" customHeight="1">
      <c r="A15" s="760">
        <v>3</v>
      </c>
      <c r="C15" s="760" t="s">
        <v>3095</v>
      </c>
      <c r="E15" s="815" t="str">
        <f>Overview!C8</f>
        <v>Brennan Place</v>
      </c>
    </row>
    <row r="16" spans="1:13" ht="12" customHeight="1">
      <c r="C16" s="760" t="s">
        <v>3096</v>
      </c>
      <c r="E16" s="815" t="str">
        <f>'Part I-Project Information'!$F$35</f>
        <v>Brennan Road</v>
      </c>
    </row>
    <row r="17" spans="1:8" ht="12" customHeight="1">
      <c r="E17" s="815" t="str">
        <f>+'Part I-Project Information'!$F$38&amp;","&amp;" GA "&amp;LEFT('Part I-Project Information'!$J$38,5)</f>
        <v>Columbus, GA 31903</v>
      </c>
    </row>
    <row r="18" spans="1:8" ht="3" customHeight="1"/>
    <row r="19" spans="1:8" ht="12" customHeight="1">
      <c r="A19" s="760">
        <v>4</v>
      </c>
      <c r="C19" s="760" t="s">
        <v>3097</v>
      </c>
      <c r="E19" s="815" t="str">
        <f>'Part II-Development Team'!H92</f>
        <v>Fairway Management Co., Inc</v>
      </c>
    </row>
    <row r="20" spans="1:8" ht="12" customHeight="1">
      <c r="C20" s="760" t="s">
        <v>3098</v>
      </c>
      <c r="E20" s="815" t="str">
        <f>'Part II-Development Team'!H93</f>
        <v>3290 Northside Parkway, Suite 300</v>
      </c>
    </row>
    <row r="21" spans="1:8" ht="12" customHeight="1">
      <c r="E21" s="815" t="str">
        <f>+'Part II-Development Team'!H94&amp;","&amp;" "&amp;'Part II-Development Team'!H95&amp;" "&amp;LEFT('Part II-Development Team'!L95,5)</f>
        <v>Atlanta, GA 30327</v>
      </c>
    </row>
    <row r="22" spans="1:8" ht="12" customHeight="1">
      <c r="C22" s="760" t="s">
        <v>4249</v>
      </c>
      <c r="E22" s="1875">
        <f>'Part II-Development Team'!H96</f>
        <v>5734432021</v>
      </c>
    </row>
    <row r="23" spans="1:8" ht="12" customHeight="1">
      <c r="C23" s="760" t="s">
        <v>4252</v>
      </c>
      <c r="E23" s="1875">
        <f>'Part II-Development Team'!Q94</f>
        <v>5734432021</v>
      </c>
    </row>
    <row r="24" spans="1:8" ht="12" customHeight="1">
      <c r="C24" s="760" t="s">
        <v>4253</v>
      </c>
      <c r="E24" s="1875" t="str">
        <f>'Part II-Development Team'!L96</f>
        <v>rstevens@fairwaymanagement.com</v>
      </c>
    </row>
    <row r="25" spans="1:8" ht="3" customHeight="1">
      <c r="E25" s="815"/>
    </row>
    <row r="26" spans="1:8" ht="12" customHeight="1">
      <c r="A26" s="760">
        <v>5</v>
      </c>
      <c r="C26" s="760" t="s">
        <v>3099</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3100</v>
      </c>
      <c r="E30" s="760" t="s">
        <v>2409</v>
      </c>
      <c r="F30" s="1876">
        <f>'Part III-Sources of Funds'!L20</f>
        <v>9895671</v>
      </c>
      <c r="G30" s="760" t="s">
        <v>3101</v>
      </c>
    </row>
    <row r="31" spans="1:8" ht="12" customHeight="1">
      <c r="F31" s="1876" t="s">
        <v>3102</v>
      </c>
      <c r="G31" s="760" t="s">
        <v>3103</v>
      </c>
    </row>
    <row r="32" spans="1:8" ht="3" customHeight="1">
      <c r="F32" s="805"/>
    </row>
    <row r="33" spans="1:7" ht="12" customHeight="1">
      <c r="A33" s="760">
        <v>7</v>
      </c>
      <c r="C33" s="760" t="s">
        <v>3104</v>
      </c>
      <c r="F33" s="1877">
        <v>0</v>
      </c>
    </row>
    <row r="34" spans="1:7" ht="3" customHeight="1">
      <c r="F34" s="805"/>
    </row>
    <row r="35" spans="1:7" ht="12" customHeight="1">
      <c r="A35" s="760">
        <v>8</v>
      </c>
      <c r="C35" s="760" t="s">
        <v>3105</v>
      </c>
      <c r="E35" s="760" t="s">
        <v>2409</v>
      </c>
      <c r="F35" s="1878">
        <v>0.01</v>
      </c>
    </row>
    <row r="36" spans="1:7" ht="3" customHeight="1">
      <c r="F36" s="1877"/>
    </row>
    <row r="37" spans="1:7" ht="12" customHeight="1">
      <c r="A37" s="760">
        <v>9</v>
      </c>
      <c r="C37" s="760" t="s">
        <v>3106</v>
      </c>
      <c r="F37" s="1879">
        <v>24</v>
      </c>
      <c r="G37" s="760" t="s">
        <v>3107</v>
      </c>
    </row>
    <row r="38" spans="1:7" ht="3" customHeight="1">
      <c r="F38" s="1877"/>
    </row>
    <row r="39" spans="1:7" ht="12" customHeight="1">
      <c r="A39" s="760">
        <v>10</v>
      </c>
      <c r="C39" s="760" t="s">
        <v>3108</v>
      </c>
      <c r="E39" s="760" t="s">
        <v>2409</v>
      </c>
      <c r="F39" s="805">
        <f>'Part III-Sources of Funds'!L38*12</f>
        <v>216</v>
      </c>
      <c r="G39" s="760" t="s">
        <v>3107</v>
      </c>
    </row>
    <row r="40" spans="1:7" ht="3" customHeight="1">
      <c r="F40" s="805"/>
    </row>
    <row r="41" spans="1:7" ht="12" customHeight="1">
      <c r="A41" s="760">
        <v>11</v>
      </c>
      <c r="C41" s="760" t="s">
        <v>3109</v>
      </c>
      <c r="F41" s="1880">
        <v>24</v>
      </c>
      <c r="G41" s="760" t="s">
        <v>3107</v>
      </c>
    </row>
    <row r="42" spans="1:7" ht="3" customHeight="1"/>
    <row r="43" spans="1:7" ht="12" customHeight="1">
      <c r="A43" s="760">
        <v>12</v>
      </c>
      <c r="C43" s="760" t="s">
        <v>3110</v>
      </c>
      <c r="F43" s="1881" t="s">
        <v>3111</v>
      </c>
    </row>
    <row r="44" spans="1:7" ht="3" customHeight="1"/>
    <row r="45" spans="1:7" ht="12" customHeight="1">
      <c r="A45" s="760">
        <v>13</v>
      </c>
      <c r="C45" s="760" t="s">
        <v>3112</v>
      </c>
      <c r="E45" s="760" t="s">
        <v>2409</v>
      </c>
      <c r="F45" s="815" t="s">
        <v>3113</v>
      </c>
    </row>
    <row r="46" spans="1:7" ht="3" customHeight="1">
      <c r="F46" s="777"/>
    </row>
    <row r="47" spans="1:7" ht="12" customHeight="1">
      <c r="A47" s="760">
        <v>14</v>
      </c>
      <c r="C47" s="760" t="s">
        <v>3114</v>
      </c>
      <c r="E47" s="815" t="str">
        <f>'Part II-Development Team'!H14</f>
        <v>Columbus GP, LLC</v>
      </c>
    </row>
    <row r="48" spans="1:7" ht="3" customHeight="1">
      <c r="E48" s="815"/>
    </row>
    <row r="49" spans="1:7" ht="12" customHeight="1">
      <c r="A49" s="760">
        <v>15</v>
      </c>
      <c r="C49" s="760" t="s">
        <v>4255</v>
      </c>
      <c r="E49" s="815" t="str">
        <f>'Part II-Development Team'!Q98</f>
        <v>Greg Clark</v>
      </c>
      <c r="G49" s="815" t="str">
        <f>'Part II-Development Team'!H98</f>
        <v>Coleman Talley</v>
      </c>
    </row>
    <row r="50" spans="1:7" ht="12" customHeight="1">
      <c r="C50" s="760" t="s">
        <v>3115</v>
      </c>
      <c r="E50" s="815">
        <f>'Part II-Development Team'!O102</f>
        <v>0</v>
      </c>
      <c r="F50" s="805"/>
    </row>
    <row r="51" spans="1:7" ht="3" customHeight="1">
      <c r="F51" s="805"/>
    </row>
    <row r="52" spans="1:7" ht="12" customHeight="1">
      <c r="A52" s="760">
        <v>16</v>
      </c>
      <c r="C52" s="760" t="s">
        <v>3116</v>
      </c>
      <c r="F52" s="1880">
        <f>Overview!C13</f>
        <v>72</v>
      </c>
    </row>
    <row r="53" spans="1:7" ht="3" customHeight="1">
      <c r="F53" s="805"/>
    </row>
    <row r="54" spans="1:7" ht="12" customHeight="1">
      <c r="A54" s="833">
        <v>17</v>
      </c>
      <c r="B54" s="833"/>
      <c r="C54" s="833" t="s">
        <v>3117</v>
      </c>
      <c r="D54" s="833"/>
      <c r="E54" s="833"/>
      <c r="F54" s="1882">
        <f>'HOME Allocation Limit WS'!K18</f>
        <v>63</v>
      </c>
      <c r="G54" s="833"/>
    </row>
    <row r="55" spans="1:7" ht="3" customHeight="1">
      <c r="F55" s="805"/>
    </row>
    <row r="56" spans="1:7" ht="12" customHeight="1">
      <c r="A56" s="760">
        <v>18</v>
      </c>
      <c r="C56" s="760" t="s">
        <v>3118</v>
      </c>
      <c r="F56" s="1882">
        <f>'Part VI-Revenues &amp; Expenses'!O66</f>
        <v>0</v>
      </c>
      <c r="G56" s="760" t="s">
        <v>4254</v>
      </c>
    </row>
    <row r="57" spans="1:7" ht="3" customHeight="1">
      <c r="F57" s="805"/>
    </row>
    <row r="58" spans="1:7" ht="12" customHeight="1">
      <c r="A58" s="760">
        <v>19</v>
      </c>
      <c r="C58" s="760" t="s">
        <v>3119</v>
      </c>
      <c r="F58" s="1883"/>
      <c r="G58" s="760" t="s">
        <v>3507</v>
      </c>
    </row>
    <row r="59" spans="1:7" ht="3" customHeight="1">
      <c r="F59" s="805"/>
    </row>
    <row r="60" spans="1:7" ht="12" customHeight="1">
      <c r="A60" s="760">
        <v>20</v>
      </c>
      <c r="C60" s="760" t="s">
        <v>3120</v>
      </c>
      <c r="F60" s="1884" t="s">
        <v>970</v>
      </c>
      <c r="G60" s="833"/>
    </row>
    <row r="61" spans="1:7" ht="3" customHeight="1"/>
    <row r="62" spans="1:7" ht="12" customHeight="1">
      <c r="A62" s="760">
        <v>21</v>
      </c>
      <c r="C62" s="760" t="s">
        <v>3522</v>
      </c>
      <c r="E62" s="1885" t="s">
        <v>3508</v>
      </c>
      <c r="F62" s="1886" t="s">
        <v>3509</v>
      </c>
      <c r="G62" s="1885" t="s">
        <v>3121</v>
      </c>
    </row>
    <row r="63" spans="1:7" ht="12" customHeight="1">
      <c r="E63" s="1885" t="s">
        <v>3508</v>
      </c>
      <c r="F63" s="1886" t="s">
        <v>3509</v>
      </c>
      <c r="G63" s="1885"/>
    </row>
    <row r="64" spans="1:7" ht="3" customHeight="1"/>
    <row r="65" spans="1:7" ht="12" customHeight="1">
      <c r="A65" s="760">
        <v>22</v>
      </c>
      <c r="C65" s="760" t="s">
        <v>3122</v>
      </c>
      <c r="E65" s="815" t="str">
        <f>Overview!H9</f>
        <v>Brennan Place, LP</v>
      </c>
    </row>
    <row r="66" spans="1:7" ht="3" customHeight="1"/>
    <row r="67" spans="1:7" ht="12" customHeight="1">
      <c r="A67" s="760">
        <v>23</v>
      </c>
      <c r="C67" s="760" t="s">
        <v>3123</v>
      </c>
      <c r="F67" s="805" t="s">
        <v>3124</v>
      </c>
    </row>
    <row r="68" spans="1:7" ht="3" customHeight="1"/>
    <row r="69" spans="1:7" ht="12" customHeight="1">
      <c r="A69" s="760">
        <v>24</v>
      </c>
      <c r="C69" s="760" t="s">
        <v>3125</v>
      </c>
      <c r="E69" s="760" t="s">
        <v>2409</v>
      </c>
      <c r="F69" s="805">
        <v>20</v>
      </c>
      <c r="G69" s="760" t="s">
        <v>2469</v>
      </c>
    </row>
    <row r="70" spans="1:7" ht="3" customHeight="1"/>
    <row r="71" spans="1:7" ht="12" customHeight="1">
      <c r="A71" s="760">
        <v>25</v>
      </c>
      <c r="C71" s="760" t="s">
        <v>3126</v>
      </c>
      <c r="F71" s="1887">
        <f>'Part IV-A-Uses of Funds'!$G$122</f>
        <v>239141</v>
      </c>
    </row>
    <row r="72" spans="1:7" ht="3" customHeight="1">
      <c r="F72" s="1887"/>
    </row>
    <row r="73" spans="1:7" ht="12" customHeight="1">
      <c r="A73" s="760">
        <v>26</v>
      </c>
      <c r="C73" s="760" t="s">
        <v>3127</v>
      </c>
      <c r="F73" s="1887">
        <f>'Part IV-A-Uses of Funds'!$G$123</f>
        <v>0</v>
      </c>
    </row>
    <row r="74" spans="1:7" ht="3" customHeight="1">
      <c r="F74" s="1887"/>
    </row>
    <row r="75" spans="1:7" ht="12" customHeight="1">
      <c r="A75" s="760">
        <v>27</v>
      </c>
      <c r="C75" s="760" t="s">
        <v>3128</v>
      </c>
      <c r="F75" s="1888">
        <f>'Part IV-A-Uses of Funds'!$G$121</f>
        <v>89630</v>
      </c>
    </row>
    <row r="76" spans="1:7" ht="3" customHeight="1">
      <c r="F76" s="1887"/>
    </row>
    <row r="77" spans="1:7" ht="12" customHeight="1">
      <c r="A77" s="760">
        <v>28</v>
      </c>
      <c r="C77" s="760" t="s">
        <v>3129</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30" t="s">
        <v>3318</v>
      </c>
      <c r="B1" s="4130"/>
      <c r="C1" s="4130"/>
      <c r="D1" s="4130"/>
      <c r="E1" s="4130"/>
      <c r="F1" s="4130"/>
      <c r="G1" s="4130"/>
      <c r="H1" s="4130"/>
      <c r="I1" s="4130"/>
      <c r="J1" s="4130"/>
    </row>
    <row r="2" spans="1:13" ht="13.8">
      <c r="A2" s="4130" t="str">
        <f>Overview!E8&amp;"  "&amp;Overview!C8</f>
        <v>2019-042  Brennan Place</v>
      </c>
      <c r="B2" s="4130"/>
      <c r="C2" s="4130"/>
      <c r="D2" s="4130"/>
      <c r="E2" s="4130"/>
      <c r="F2" s="4130"/>
      <c r="G2" s="4130"/>
      <c r="H2" s="4130"/>
      <c r="I2" s="4130"/>
      <c r="J2" s="4130"/>
    </row>
    <row r="3" spans="1:13" ht="6" customHeight="1">
      <c r="K3" s="4115" t="s">
        <v>4248</v>
      </c>
      <c r="L3" s="4115"/>
      <c r="M3" s="4115"/>
    </row>
    <row r="4" spans="1:13" ht="12" customHeight="1">
      <c r="A4" s="801" t="s">
        <v>3130</v>
      </c>
      <c r="K4" s="4115"/>
      <c r="L4" s="4115"/>
      <c r="M4" s="4115"/>
    </row>
    <row r="5" spans="1:13" ht="12" customHeight="1">
      <c r="A5" s="760" t="s">
        <v>3131</v>
      </c>
      <c r="C5" s="802" t="str">
        <f>'Subsidy Layering Memo'!D6</f>
        <v>(Underwriter)</v>
      </c>
      <c r="I5" s="802"/>
      <c r="K5" s="4115"/>
      <c r="L5" s="4115"/>
      <c r="M5" s="4115"/>
    </row>
    <row r="6" spans="1:13" ht="6" customHeight="1">
      <c r="C6" s="697"/>
      <c r="D6" s="802"/>
      <c r="I6" s="802"/>
      <c r="K6" s="4115"/>
      <c r="L6" s="4115"/>
      <c r="M6" s="4115"/>
    </row>
    <row r="7" spans="1:13" ht="12" customHeight="1">
      <c r="A7" s="801" t="s">
        <v>3132</v>
      </c>
      <c r="C7" s="697"/>
      <c r="D7" s="802"/>
      <c r="I7" s="802"/>
      <c r="K7" s="4115"/>
      <c r="L7" s="4115"/>
      <c r="M7" s="4115"/>
    </row>
    <row r="8" spans="1:13" ht="12" customHeight="1">
      <c r="A8" s="760" t="s">
        <v>3133</v>
      </c>
      <c r="C8" s="802" t="str">
        <f>Overview!$H$9</f>
        <v>Brennan Place, LP</v>
      </c>
      <c r="I8" s="802"/>
      <c r="K8" s="4115"/>
      <c r="L8" s="4115"/>
      <c r="M8" s="4115"/>
    </row>
    <row r="9" spans="1:13" ht="3" customHeight="1">
      <c r="C9" s="697"/>
      <c r="D9" s="802"/>
      <c r="I9" s="802"/>
    </row>
    <row r="10" spans="1:13" ht="12" customHeight="1">
      <c r="A10" s="760" t="s">
        <v>3134</v>
      </c>
      <c r="C10" s="1277" t="s">
        <v>1771</v>
      </c>
      <c r="I10" s="802"/>
    </row>
    <row r="11" spans="1:13" ht="12" customHeight="1">
      <c r="C11" s="1277" t="s">
        <v>1771</v>
      </c>
      <c r="I11" s="802"/>
    </row>
    <row r="12" spans="1:13" ht="12" customHeight="1">
      <c r="C12" s="802" t="s">
        <v>2679</v>
      </c>
      <c r="D12" s="823" t="s">
        <v>1771</v>
      </c>
      <c r="I12" s="802"/>
    </row>
    <row r="13" spans="1:13" ht="12" customHeight="1">
      <c r="C13" s="802" t="s">
        <v>3135</v>
      </c>
      <c r="D13" s="4123"/>
      <c r="E13" s="4123"/>
      <c r="F13" s="4123"/>
      <c r="G13" s="4123"/>
      <c r="H13" s="4123"/>
      <c r="I13" s="4123"/>
      <c r="J13" s="4123"/>
    </row>
    <row r="14" spans="1:13" ht="3" customHeight="1">
      <c r="G14" s="697"/>
      <c r="H14" s="802"/>
      <c r="I14" s="802"/>
    </row>
    <row r="15" spans="1:13" ht="12" customHeight="1">
      <c r="A15" s="760" t="s">
        <v>3136</v>
      </c>
      <c r="C15" s="804" t="str">
        <f>'Preview term'!E10</f>
        <v>C. Jeffrey Rice</v>
      </c>
      <c r="G15" s="697"/>
      <c r="I15" s="802"/>
    </row>
    <row r="16" spans="1:13" ht="12" customHeight="1">
      <c r="A16" s="815" t="s">
        <v>4464</v>
      </c>
      <c r="C16" s="804" t="str">
        <f>'Part II-Development Team'!Q6</f>
        <v>Manager</v>
      </c>
      <c r="G16" s="697"/>
      <c r="I16" s="802"/>
    </row>
    <row r="17" spans="1:9" ht="3" customHeight="1">
      <c r="G17" s="697"/>
      <c r="H17" s="802"/>
      <c r="I17" s="802"/>
    </row>
    <row r="18" spans="1:9" ht="12" customHeight="1">
      <c r="A18" s="760" t="s">
        <v>3137</v>
      </c>
      <c r="C18" s="804" t="str">
        <f>'Preview term'!$E$7</f>
        <v>6825 Halcyon Park Drive</v>
      </c>
      <c r="G18" s="697"/>
      <c r="I18" s="802"/>
    </row>
    <row r="19" spans="1:9" ht="12" customHeight="1">
      <c r="C19" s="804" t="str">
        <f>'Preview term'!$E$8</f>
        <v>Montgomery, AL 36117</v>
      </c>
      <c r="G19" s="697"/>
      <c r="I19" s="802"/>
    </row>
    <row r="20" spans="1:9" ht="3" customHeight="1">
      <c r="G20" s="697"/>
      <c r="H20" s="802"/>
      <c r="I20" s="802"/>
    </row>
    <row r="21" spans="1:9" ht="12" customHeight="1">
      <c r="A21" s="760" t="s">
        <v>3138</v>
      </c>
      <c r="C21" s="804" t="str">
        <f>CONCATENATE('Preview term'!E49," of  ",'Preview term'!G49)</f>
        <v>Greg Clark of  Coleman Talley</v>
      </c>
      <c r="G21" s="697"/>
      <c r="I21" s="802"/>
    </row>
    <row r="22" spans="1:9" ht="3" customHeight="1">
      <c r="C22" s="804"/>
      <c r="G22" s="697"/>
      <c r="I22" s="802"/>
    </row>
    <row r="23" spans="1:9" ht="12" customHeight="1">
      <c r="A23" s="760" t="s">
        <v>3139</v>
      </c>
      <c r="C23" s="804">
        <f>'Preview term'!E12</f>
        <v>3342816820</v>
      </c>
      <c r="G23" s="697"/>
      <c r="I23" s="802"/>
    </row>
    <row r="24" spans="1:9" ht="3" customHeight="1">
      <c r="C24" s="804"/>
      <c r="G24" s="697"/>
      <c r="I24" s="802"/>
    </row>
    <row r="25" spans="1:9" ht="12" customHeight="1">
      <c r="A25" s="760" t="s">
        <v>3140</v>
      </c>
      <c r="C25" s="1279" t="str">
        <f>'Preview term'!E11</f>
        <v>jrice@guilfordcompanies.com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Brennan Place</v>
      </c>
      <c r="I28" s="802"/>
    </row>
    <row r="29" spans="1:9" ht="3" customHeight="1">
      <c r="C29" s="804"/>
      <c r="I29" s="802"/>
    </row>
    <row r="30" spans="1:9" ht="12" customHeight="1">
      <c r="A30" s="760" t="s">
        <v>3143</v>
      </c>
      <c r="C30" s="804" t="str">
        <f>'Preview term'!E16</f>
        <v>Brennan Road</v>
      </c>
      <c r="I30" s="802"/>
    </row>
    <row r="31" spans="1:9">
      <c r="C31" s="802" t="str">
        <f>'Preview term'!E17</f>
        <v>Columbus, GA 31903</v>
      </c>
      <c r="I31" s="802"/>
    </row>
    <row r="32" spans="1:9" ht="3" customHeight="1">
      <c r="C32" s="697"/>
      <c r="D32" s="697"/>
      <c r="I32" s="697"/>
    </row>
    <row r="33" spans="1:10" ht="12" customHeight="1">
      <c r="A33" s="760" t="s">
        <v>3144</v>
      </c>
      <c r="C33" s="697" t="s">
        <v>3145</v>
      </c>
      <c r="D33" s="1278">
        <f>'Preview term'!F54</f>
        <v>63</v>
      </c>
      <c r="I33" s="697"/>
    </row>
    <row r="34" spans="1:10" ht="12" customHeight="1">
      <c r="C34" s="697" t="s">
        <v>3146</v>
      </c>
      <c r="D34" s="806">
        <f>'HOME Allocation Limit WS'!H12-'HOME Allocation Limit WS'!D12</f>
        <v>9</v>
      </c>
      <c r="I34" s="697"/>
    </row>
    <row r="35" spans="1:10" ht="12" customHeight="1">
      <c r="C35" s="697" t="s">
        <v>3147</v>
      </c>
      <c r="D35" s="807">
        <f>SUM(D33:D34)</f>
        <v>72</v>
      </c>
      <c r="I35" s="697"/>
    </row>
    <row r="36" spans="1:10" ht="3" customHeight="1">
      <c r="C36" s="697"/>
      <c r="D36" s="697"/>
      <c r="I36" s="697"/>
    </row>
    <row r="37" spans="1:10" ht="12" customHeight="1">
      <c r="A37" s="760" t="s">
        <v>3148</v>
      </c>
      <c r="C37" s="1885" t="s">
        <v>1771</v>
      </c>
      <c r="D37" s="1276">
        <f>'Preview term'!F56</f>
        <v>0</v>
      </c>
      <c r="E37" s="697" t="s">
        <v>3149</v>
      </c>
      <c r="I37" s="697"/>
    </row>
    <row r="38" spans="1:10" ht="3" customHeight="1">
      <c r="G38" s="808"/>
      <c r="H38" s="697"/>
      <c r="I38" s="697"/>
    </row>
    <row r="39" spans="1:10" ht="25.5" customHeight="1">
      <c r="A39" s="809" t="s">
        <v>3150</v>
      </c>
      <c r="C39" s="4131"/>
      <c r="D39" s="4131"/>
      <c r="E39" s="4131"/>
      <c r="F39" s="4131"/>
      <c r="G39" s="4131"/>
      <c r="H39" s="4131"/>
      <c r="I39" s="4131"/>
      <c r="J39" s="4131"/>
    </row>
    <row r="40" spans="1:10" ht="3" customHeight="1">
      <c r="G40" s="697"/>
      <c r="H40" s="697"/>
      <c r="I40" s="697"/>
    </row>
    <row r="41" spans="1:10" ht="25.5" customHeight="1">
      <c r="A41" s="809" t="s">
        <v>3151</v>
      </c>
      <c r="C41" s="4132" t="s">
        <v>3510</v>
      </c>
      <c r="D41" s="4132"/>
      <c r="E41" s="4132"/>
      <c r="F41" s="4132"/>
      <c r="G41" s="4132"/>
      <c r="H41" s="4132"/>
      <c r="I41" s="4132"/>
      <c r="J41" s="4132"/>
    </row>
    <row r="42" spans="1:10" ht="3" customHeight="1">
      <c r="C42" s="560"/>
      <c r="D42" s="560"/>
      <c r="E42" s="560"/>
      <c r="F42" s="560"/>
      <c r="G42" s="560"/>
      <c r="H42" s="561"/>
      <c r="I42" s="562"/>
      <c r="J42" s="561"/>
    </row>
    <row r="43" spans="1:10" ht="12" customHeight="1">
      <c r="A43" s="760" t="s">
        <v>3152</v>
      </c>
      <c r="C43" s="633" t="str">
        <f>'Part I-Project Information'!J39</f>
        <v>Muscogee</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32" t="s">
        <v>575</v>
      </c>
      <c r="D49" s="4132"/>
      <c r="E49" s="4132"/>
      <c r="F49" s="4132"/>
      <c r="G49" s="4132"/>
      <c r="H49" s="4132"/>
      <c r="I49" s="4132"/>
      <c r="J49" s="4132"/>
    </row>
    <row r="50" spans="1:10" ht="12" customHeight="1">
      <c r="C50" s="4127" t="s">
        <v>1808</v>
      </c>
      <c r="D50" s="4127"/>
      <c r="E50" s="4127"/>
      <c r="F50" s="4127"/>
      <c r="G50" s="4127"/>
      <c r="H50" s="4127"/>
      <c r="I50" s="4127"/>
      <c r="J50" s="4127"/>
    </row>
    <row r="51" spans="1:10" ht="3" customHeight="1">
      <c r="D51" s="812"/>
      <c r="E51" s="812"/>
      <c r="F51" s="812"/>
      <c r="G51" s="813"/>
      <c r="H51" s="697"/>
      <c r="I51" s="812"/>
      <c r="J51" s="812"/>
    </row>
    <row r="52" spans="1:10" ht="12" customHeight="1">
      <c r="A52" s="809" t="s">
        <v>3156</v>
      </c>
      <c r="B52" s="809"/>
      <c r="C52" s="814" t="s">
        <v>3157</v>
      </c>
      <c r="D52" s="814" t="s">
        <v>3511</v>
      </c>
      <c r="E52" s="4128"/>
      <c r="F52" s="4128"/>
      <c r="G52" s="4128"/>
      <c r="H52" s="4128"/>
      <c r="I52" s="4128"/>
      <c r="J52" s="4128"/>
    </row>
    <row r="53" spans="1:10" ht="12" customHeight="1">
      <c r="A53" s="809"/>
      <c r="B53" s="809"/>
      <c r="C53" s="809"/>
      <c r="D53" s="814" t="s">
        <v>3512</v>
      </c>
      <c r="E53" s="4129"/>
      <c r="F53" s="4129"/>
      <c r="G53" s="4129"/>
      <c r="H53" s="4129"/>
      <c r="I53" s="4129"/>
      <c r="J53" s="4129"/>
    </row>
    <row r="54" spans="1:10" ht="12" customHeight="1">
      <c r="A54" s="801" t="s">
        <v>3158</v>
      </c>
      <c r="G54" s="697"/>
      <c r="H54" s="697"/>
      <c r="I54" s="697"/>
    </row>
    <row r="55" spans="1:10" ht="18" customHeight="1">
      <c r="A55" s="760" t="s">
        <v>3159</v>
      </c>
      <c r="C55" s="803" t="str">
        <f>Overview!C10</f>
        <v>Columbus GP, LLC</v>
      </c>
      <c r="G55" s="697"/>
      <c r="I55" s="697"/>
    </row>
    <row r="56" spans="1:10" ht="3" customHeight="1">
      <c r="C56" s="803"/>
      <c r="G56" s="697"/>
      <c r="I56" s="697"/>
    </row>
    <row r="57" spans="1:10" ht="12" customHeight="1">
      <c r="A57" s="760" t="s">
        <v>3160</v>
      </c>
      <c r="C57" s="803" t="str">
        <f>Overview!C11</f>
        <v/>
      </c>
      <c r="E57" s="803" t="str">
        <f>Overview!E11</f>
        <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0">
        <f>'Preview term'!F30</f>
        <v>9895671</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1" t="s">
        <v>1771</v>
      </c>
      <c r="D66" s="829"/>
      <c r="I66" s="697"/>
    </row>
    <row r="67" spans="1:10" ht="12" customHeight="1">
      <c r="C67" s="760" t="s">
        <v>3169</v>
      </c>
      <c r="D67" s="1872" t="s">
        <v>1771</v>
      </c>
      <c r="I67" s="697"/>
    </row>
    <row r="68" spans="1:10" ht="12" customHeight="1">
      <c r="C68" s="760" t="s">
        <v>3135</v>
      </c>
      <c r="D68" s="4123"/>
      <c r="E68" s="4123"/>
      <c r="F68" s="4123"/>
      <c r="G68" s="4123"/>
      <c r="H68" s="4123"/>
      <c r="I68" s="4123"/>
      <c r="J68" s="4123"/>
    </row>
    <row r="69" spans="1:10" ht="3" customHeight="1">
      <c r="D69" s="815"/>
      <c r="E69" s="697"/>
      <c r="F69" s="697"/>
      <c r="I69" s="697"/>
    </row>
    <row r="70" spans="1:10" ht="12" customHeight="1">
      <c r="A70" s="760" t="s">
        <v>3170</v>
      </c>
      <c r="C70" s="760" t="s">
        <v>2409</v>
      </c>
      <c r="D70" s="823" t="s">
        <v>1771</v>
      </c>
      <c r="I70" s="697"/>
    </row>
    <row r="71" spans="1:10" ht="3" customHeight="1">
      <c r="D71" s="697"/>
      <c r="E71" s="697"/>
      <c r="I71" s="697"/>
    </row>
    <row r="72" spans="1:10" ht="12" customHeight="1">
      <c r="A72" s="760" t="s">
        <v>3171</v>
      </c>
      <c r="C72" s="1281" t="s">
        <v>1771</v>
      </c>
      <c r="I72" s="697"/>
    </row>
    <row r="73" spans="1:10" ht="3" customHeight="1">
      <c r="C73" s="815"/>
      <c r="G73" s="817"/>
      <c r="H73" s="697"/>
      <c r="I73" s="697"/>
    </row>
    <row r="74" spans="1:10" ht="12" customHeight="1">
      <c r="A74" s="760" t="s">
        <v>3172</v>
      </c>
      <c r="C74" s="815" t="s">
        <v>3173</v>
      </c>
      <c r="D74" s="1283">
        <v>0</v>
      </c>
      <c r="J74" s="697"/>
    </row>
    <row r="75" spans="1:10" ht="12" customHeight="1">
      <c r="C75" s="818" t="s">
        <v>3330</v>
      </c>
      <c r="D75" s="1284">
        <v>0.01</v>
      </c>
      <c r="J75" s="697"/>
    </row>
    <row r="76" spans="1:10" ht="3" customHeight="1">
      <c r="C76" s="815"/>
      <c r="D76" s="815"/>
      <c r="G76" s="697"/>
      <c r="H76" s="697"/>
      <c r="I76" s="697"/>
    </row>
    <row r="77" spans="1:10" ht="12" customHeight="1">
      <c r="A77" s="760" t="s">
        <v>3174</v>
      </c>
      <c r="C77" s="815" t="s">
        <v>3561</v>
      </c>
      <c r="D77" s="820">
        <v>24</v>
      </c>
      <c r="I77" s="697"/>
    </row>
    <row r="78" spans="1:10" ht="3" customHeight="1">
      <c r="D78" s="815"/>
      <c r="E78" s="697"/>
      <c r="F78" s="697"/>
      <c r="I78" s="697"/>
    </row>
    <row r="79" spans="1:10" ht="12" customHeight="1">
      <c r="A79" s="760" t="s">
        <v>3175</v>
      </c>
      <c r="C79" s="760" t="s">
        <v>2409</v>
      </c>
      <c r="D79" s="821">
        <f>'Preview term'!F39</f>
        <v>216</v>
      </c>
      <c r="E79" s="697" t="s">
        <v>3515</v>
      </c>
      <c r="I79" s="697"/>
    </row>
    <row r="80" spans="1:10" ht="3" customHeight="1">
      <c r="D80" s="815"/>
      <c r="G80" s="697"/>
      <c r="H80" s="697"/>
      <c r="I80" s="697"/>
    </row>
    <row r="81" spans="1:9" ht="12" customHeight="1">
      <c r="A81" s="760" t="s">
        <v>3176</v>
      </c>
      <c r="D81" s="1282">
        <v>0</v>
      </c>
      <c r="E81" s="822">
        <f>D81*12</f>
        <v>0</v>
      </c>
      <c r="F81" s="697" t="s">
        <v>3562</v>
      </c>
    </row>
    <row r="82" spans="1:9" ht="3" customHeight="1">
      <c r="D82" s="803"/>
      <c r="E82" s="697"/>
      <c r="G82" s="697"/>
    </row>
    <row r="83" spans="1:9" ht="12" customHeight="1">
      <c r="A83" s="760" t="s">
        <v>3177</v>
      </c>
      <c r="D83" s="1872" t="s">
        <v>970</v>
      </c>
      <c r="E83" s="697" t="s">
        <v>3178</v>
      </c>
      <c r="G83" s="697"/>
    </row>
    <row r="84" spans="1:9" ht="3" customHeight="1">
      <c r="G84" s="697"/>
      <c r="H84" s="697"/>
      <c r="I84" s="697"/>
    </row>
    <row r="85" spans="1:9" ht="12" customHeight="1">
      <c r="A85" s="760" t="s">
        <v>3179</v>
      </c>
      <c r="C85" s="1280">
        <f>'Part VII-Pro Forma'!K71</f>
        <v>1163988.1031186746</v>
      </c>
      <c r="D85" s="824" t="s">
        <v>3513</v>
      </c>
      <c r="I85" s="697"/>
    </row>
    <row r="86" spans="1:9" ht="3" customHeight="1">
      <c r="C86" s="697" t="s">
        <v>1771</v>
      </c>
      <c r="D86" s="697"/>
      <c r="E86" s="697"/>
      <c r="I86" s="697"/>
    </row>
    <row r="87" spans="1:9" ht="12" customHeight="1">
      <c r="A87" s="760" t="s">
        <v>3180</v>
      </c>
      <c r="B87" s="825"/>
      <c r="C87" s="1281" t="s">
        <v>1771</v>
      </c>
      <c r="D87" s="1286"/>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Sterling Bank</v>
      </c>
      <c r="I92" s="697"/>
    </row>
    <row r="93" spans="1:9" ht="12" customHeight="1">
      <c r="C93" s="829"/>
      <c r="D93" s="697"/>
      <c r="E93" s="815" t="s">
        <v>1797</v>
      </c>
      <c r="F93" s="4118"/>
      <c r="G93" s="4118"/>
      <c r="H93" s="4118"/>
      <c r="I93" s="697"/>
    </row>
    <row r="94" spans="1:9" ht="12" customHeight="1">
      <c r="C94" s="815"/>
      <c r="D94" s="697"/>
      <c r="E94" s="815" t="s">
        <v>1982</v>
      </c>
      <c r="F94" s="4119"/>
      <c r="G94" s="4119"/>
      <c r="H94" s="4119"/>
      <c r="I94" s="697"/>
    </row>
    <row r="95" spans="1:9" ht="12" customHeight="1">
      <c r="C95" s="815"/>
      <c r="D95" s="697"/>
      <c r="E95" s="815" t="s">
        <v>1800</v>
      </c>
      <c r="F95" s="4120"/>
      <c r="G95" s="4120"/>
      <c r="H95" s="4120"/>
      <c r="I95" s="697"/>
    </row>
    <row r="96" spans="1:9" ht="12" customHeight="1">
      <c r="B96" s="805"/>
      <c r="C96" s="818" t="s">
        <v>3330</v>
      </c>
      <c r="D96" s="697" t="s">
        <v>3185</v>
      </c>
      <c r="E96" s="815" t="str">
        <f>'Part III-Sources of Funds'!E38</f>
        <v>Sterling Bank</v>
      </c>
      <c r="I96" s="697"/>
    </row>
    <row r="97" spans="1:10" ht="12" customHeight="1">
      <c r="C97" s="815"/>
      <c r="D97" s="697"/>
      <c r="E97" s="815" t="s">
        <v>1797</v>
      </c>
      <c r="F97" s="4118"/>
      <c r="G97" s="4118"/>
      <c r="H97" s="4118"/>
      <c r="I97" s="697"/>
    </row>
    <row r="98" spans="1:10" ht="12" customHeight="1">
      <c r="C98" s="815"/>
      <c r="D98" s="697"/>
      <c r="E98" s="815" t="s">
        <v>1982</v>
      </c>
      <c r="F98" s="4119"/>
      <c r="G98" s="4119"/>
      <c r="H98" s="4119"/>
      <c r="I98" s="697"/>
    </row>
    <row r="99" spans="1:10" ht="12" customHeight="1">
      <c r="C99" s="815"/>
      <c r="D99" s="697"/>
      <c r="E99" s="815" t="s">
        <v>1800</v>
      </c>
      <c r="F99" s="4120"/>
      <c r="G99" s="4120"/>
      <c r="H99" s="4120"/>
      <c r="I99" s="697"/>
    </row>
    <row r="100" spans="1:10" ht="3" customHeight="1">
      <c r="D100" s="826"/>
      <c r="G100" s="697"/>
      <c r="H100" s="697"/>
      <c r="I100" s="697"/>
    </row>
    <row r="101" spans="1:10" ht="12" customHeight="1">
      <c r="A101" s="760" t="s">
        <v>3186</v>
      </c>
      <c r="D101" s="1872">
        <f>'Part IX Scoring Criteria'!O333</f>
        <v>0</v>
      </c>
      <c r="E101" s="697" t="s">
        <v>3166</v>
      </c>
      <c r="G101" s="760">
        <f>'Part IX Scoring Criteria'!O329</f>
        <v>4</v>
      </c>
      <c r="H101" s="760" t="s">
        <v>3514</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5" t="s">
        <v>1771</v>
      </c>
      <c r="D106" s="4121"/>
      <c r="E106" s="4121"/>
      <c r="F106" s="4121"/>
      <c r="G106" s="4121"/>
      <c r="H106" s="4121"/>
      <c r="I106" s="4121"/>
      <c r="J106" s="4122"/>
    </row>
    <row r="107" spans="1:10" ht="3" customHeight="1">
      <c r="C107" s="815"/>
      <c r="D107" s="697"/>
      <c r="I107" s="697"/>
    </row>
    <row r="108" spans="1:10" ht="12" customHeight="1">
      <c r="A108" s="760" t="s">
        <v>3188</v>
      </c>
      <c r="C108" s="1872" t="s">
        <v>1771</v>
      </c>
    </row>
    <row r="109" spans="1:10" ht="3" customHeight="1">
      <c r="C109" s="815"/>
      <c r="E109" s="697"/>
      <c r="F109" s="697"/>
      <c r="I109" s="697"/>
    </row>
    <row r="110" spans="1:10" ht="12" customHeight="1">
      <c r="A110" s="760" t="s">
        <v>3189</v>
      </c>
      <c r="C110" s="1872" t="s">
        <v>1771</v>
      </c>
      <c r="I110" s="697"/>
    </row>
    <row r="111" spans="1:10" ht="3" customHeight="1">
      <c r="D111" s="808"/>
      <c r="I111" s="697"/>
    </row>
    <row r="112" spans="1:10" ht="12" customHeight="1">
      <c r="A112" s="760" t="s">
        <v>3190</v>
      </c>
      <c r="D112" s="821">
        <v>24</v>
      </c>
      <c r="E112" s="697" t="s">
        <v>3191</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1" t="s">
        <v>1771</v>
      </c>
      <c r="D118" s="829"/>
      <c r="I118" s="697"/>
    </row>
    <row r="119" spans="1:10" ht="12" customHeight="1">
      <c r="C119" s="697" t="s">
        <v>3195</v>
      </c>
      <c r="D119" s="819"/>
      <c r="E119" s="4125" t="s">
        <v>4258</v>
      </c>
      <c r="F119" s="4125"/>
      <c r="G119" s="4125"/>
      <c r="H119" s="4125"/>
      <c r="I119" s="4125"/>
      <c r="J119" s="4125"/>
    </row>
    <row r="120" spans="1:10" ht="12" customHeight="1">
      <c r="C120" s="697" t="s">
        <v>3196</v>
      </c>
      <c r="D120" s="1287"/>
      <c r="E120" s="4125"/>
      <c r="F120" s="4125"/>
      <c r="G120" s="4125"/>
      <c r="H120" s="4125"/>
      <c r="I120" s="4125"/>
      <c r="J120" s="4125"/>
    </row>
    <row r="121" spans="1:10" ht="12" customHeight="1">
      <c r="C121" s="697" t="s">
        <v>3197</v>
      </c>
      <c r="D121" s="1287"/>
      <c r="E121" s="4125"/>
      <c r="F121" s="4125"/>
      <c r="G121" s="4125"/>
      <c r="H121" s="4125"/>
      <c r="I121" s="4125"/>
      <c r="J121" s="4125"/>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Main Street Homes,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786018</v>
      </c>
      <c r="G133" s="697"/>
      <c r="I133" s="697"/>
    </row>
    <row r="134" spans="1:10" ht="3" customHeight="1">
      <c r="C134" s="697"/>
      <c r="G134" s="697"/>
      <c r="I134" s="697"/>
    </row>
    <row r="135" spans="1:10" ht="12" customHeight="1">
      <c r="A135" s="760" t="s">
        <v>3205</v>
      </c>
      <c r="C135" s="1872" t="s">
        <v>3206</v>
      </c>
      <c r="G135" s="697"/>
      <c r="I135" s="697"/>
    </row>
    <row r="136" spans="1:10" ht="3" customHeight="1">
      <c r="C136" s="803"/>
      <c r="G136" s="697"/>
      <c r="I136" s="697"/>
    </row>
    <row r="137" spans="1:10" ht="12" customHeight="1">
      <c r="A137" s="760" t="s">
        <v>3207</v>
      </c>
      <c r="C137" s="803" t="str">
        <f>'Preview term'!E19</f>
        <v>Fairway Management Co., Inc</v>
      </c>
      <c r="G137" s="697"/>
      <c r="I137" s="697"/>
      <c r="J137" s="832"/>
    </row>
    <row r="138" spans="1:10" ht="3" customHeight="1">
      <c r="C138" s="803"/>
      <c r="G138" s="697"/>
      <c r="I138" s="697"/>
    </row>
    <row r="139" spans="1:10" ht="12" customHeight="1">
      <c r="A139" s="760" t="s">
        <v>3208</v>
      </c>
      <c r="C139" s="804" t="str">
        <f>C8</f>
        <v>Brennan Place, LP</v>
      </c>
      <c r="G139" s="697"/>
      <c r="I139" s="802"/>
      <c r="J139" s="833"/>
    </row>
    <row r="140" spans="1:10" ht="3" customHeight="1">
      <c r="C140" s="804"/>
      <c r="G140" s="697"/>
      <c r="I140" s="802"/>
      <c r="J140" s="833"/>
    </row>
    <row r="141" spans="1:10" ht="12" customHeight="1">
      <c r="A141" s="760" t="s">
        <v>3209</v>
      </c>
      <c r="C141" s="804" t="str">
        <f>C18</f>
        <v>6825 Halcyon Park Drive</v>
      </c>
      <c r="G141" s="697"/>
      <c r="I141" s="802"/>
      <c r="J141" s="833"/>
    </row>
    <row r="142" spans="1:10">
      <c r="C142" s="804" t="str">
        <f>C19</f>
        <v>Montgomery, AL 36117</v>
      </c>
      <c r="G142" s="697"/>
      <c r="I142" s="802"/>
      <c r="J142" s="833"/>
    </row>
    <row r="143" spans="1:10" ht="3" customHeight="1">
      <c r="C143" s="834"/>
      <c r="G143" s="697"/>
      <c r="I143" s="802"/>
      <c r="J143" s="833"/>
    </row>
    <row r="144" spans="1:10" ht="12" customHeight="1">
      <c r="A144" s="760" t="s">
        <v>3210</v>
      </c>
      <c r="C144" s="804" t="str">
        <f>Overview!H10</f>
        <v>Affordable Equity Partners, Inc</v>
      </c>
      <c r="G144" s="697"/>
      <c r="I144" s="802"/>
      <c r="J144" s="832"/>
    </row>
    <row r="145" spans="1:10" ht="3" customHeight="1">
      <c r="C145" s="804"/>
      <c r="G145" s="697"/>
      <c r="I145" s="802"/>
      <c r="J145" s="833"/>
    </row>
    <row r="146" spans="1:10" ht="12" customHeight="1">
      <c r="A146" s="760" t="s">
        <v>3211</v>
      </c>
      <c r="C146" s="804" t="str">
        <f>Overview!K10</f>
        <v>Affordable Equity Partners, Inc</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3516</v>
      </c>
      <c r="D154" s="697"/>
      <c r="G154" s="697"/>
      <c r="H154" s="697"/>
      <c r="I154" s="697"/>
    </row>
    <row r="155" spans="1:10" ht="3" customHeight="1">
      <c r="D155" s="697"/>
      <c r="E155" s="697"/>
      <c r="G155" s="697"/>
    </row>
    <row r="156" spans="1:10" ht="12" customHeight="1">
      <c r="A156" s="760" t="s">
        <v>3216</v>
      </c>
      <c r="D156" s="1872">
        <v>20</v>
      </c>
      <c r="E156" s="697" t="s">
        <v>2409</v>
      </c>
    </row>
    <row r="157" spans="1:10" ht="3" customHeight="1">
      <c r="D157" s="697"/>
      <c r="E157" s="697"/>
      <c r="G157" s="697"/>
    </row>
    <row r="158" spans="1:10" ht="12" customHeight="1">
      <c r="A158" s="760" t="s">
        <v>3217</v>
      </c>
      <c r="C158" s="1281" t="s">
        <v>1771</v>
      </c>
      <c r="D158" s="697" t="s">
        <v>3563</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3517</v>
      </c>
      <c r="E164" s="4123"/>
      <c r="F164" s="4123"/>
      <c r="G164" s="4123"/>
      <c r="I164" s="697"/>
    </row>
    <row r="165" spans="1:13" ht="3" customHeight="1">
      <c r="E165" s="697"/>
      <c r="G165" s="697"/>
      <c r="I165" s="697"/>
    </row>
    <row r="166" spans="1:13" ht="12" customHeight="1">
      <c r="A166" s="760" t="s">
        <v>3220</v>
      </c>
      <c r="C166" s="760" t="s">
        <v>3221</v>
      </c>
      <c r="E166" s="836">
        <f>'Preview term'!F71</f>
        <v>239141</v>
      </c>
      <c r="G166" s="697"/>
      <c r="I166" s="697"/>
    </row>
    <row r="167" spans="1:13" ht="12" customHeight="1">
      <c r="C167" s="760" t="s">
        <v>3517</v>
      </c>
      <c r="E167" s="4123"/>
      <c r="F167" s="4123"/>
      <c r="G167" s="4123"/>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18000</v>
      </c>
      <c r="F172" s="802" t="s">
        <v>3225</v>
      </c>
      <c r="J172" s="833"/>
      <c r="K172" s="833"/>
      <c r="L172" s="833"/>
      <c r="M172" s="833"/>
    </row>
    <row r="173" spans="1:13">
      <c r="E173" s="836">
        <f>E172/12</f>
        <v>1500</v>
      </c>
      <c r="F173" s="697" t="s">
        <v>3077</v>
      </c>
    </row>
    <row r="174" spans="1:13" ht="12" customHeight="1">
      <c r="C174" s="760" t="s">
        <v>3518</v>
      </c>
      <c r="E174" s="4123"/>
      <c r="F174" s="4123"/>
      <c r="G174" s="4123"/>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4123"/>
      <c r="G179" s="4123"/>
      <c r="H179" s="4123"/>
      <c r="I179" s="4123"/>
      <c r="J179" s="4123"/>
    </row>
    <row r="180" spans="1:10" ht="12" customHeight="1">
      <c r="C180" s="760" t="s">
        <v>3519</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89630</v>
      </c>
      <c r="G183" s="697"/>
      <c r="I183" s="697"/>
    </row>
    <row r="184" spans="1:10" ht="12" customHeight="1">
      <c r="C184" s="760" t="s">
        <v>3517</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3517</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7" t="s">
        <v>1771</v>
      </c>
      <c r="E195" s="697"/>
      <c r="F195" s="697"/>
      <c r="I195" s="697"/>
    </row>
    <row r="196" spans="1:10" ht="3" customHeight="1">
      <c r="G196" s="697"/>
      <c r="H196" s="697"/>
      <c r="I196" s="697"/>
    </row>
    <row r="197" spans="1:10">
      <c r="A197" s="809" t="s">
        <v>3521</v>
      </c>
      <c r="B197" s="809"/>
      <c r="C197" s="809"/>
      <c r="D197" s="809"/>
      <c r="E197" s="814" t="s">
        <v>3520</v>
      </c>
      <c r="F197" s="4124">
        <f>'Part VIII-Threshold Criteria'!E400</f>
        <v>0</v>
      </c>
      <c r="G197" s="4124"/>
      <c r="H197" s="4124"/>
      <c r="I197" s="4124"/>
      <c r="J197" s="4124"/>
    </row>
    <row r="198" spans="1:10" ht="9" customHeight="1">
      <c r="G198" s="697"/>
      <c r="H198" s="697"/>
      <c r="I198" s="697"/>
    </row>
    <row r="199" spans="1:10" ht="12" customHeight="1">
      <c r="A199" s="838" t="s">
        <v>3319</v>
      </c>
      <c r="G199" s="697"/>
      <c r="H199" s="697"/>
      <c r="I199" s="822"/>
    </row>
    <row r="200" spans="1:10" ht="25.5" hidden="1" customHeight="1">
      <c r="A200" s="4126" t="str">
        <f>'Subsidy Layering Memo'!A98</f>
        <v>Include any reserve requirements; explain any reserves far in excess of 6 month ODR, 3 mo lease up, 1 year RR, 6 mo T&amp;I standards.</v>
      </c>
      <c r="B200" s="4126"/>
      <c r="C200" s="4126"/>
      <c r="D200" s="4126"/>
      <c r="E200" s="4126"/>
      <c r="F200" s="4126"/>
      <c r="G200" s="4126"/>
      <c r="H200" s="4126"/>
      <c r="I200" s="4126"/>
      <c r="J200" s="4126"/>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16" t="s">
        <v>2942</v>
      </c>
      <c r="B204" s="4116"/>
      <c r="C204" s="4116"/>
      <c r="D204" s="4116"/>
      <c r="E204" s="4116"/>
      <c r="F204" s="4116"/>
      <c r="G204" s="4116"/>
      <c r="H204" s="4116"/>
      <c r="I204" s="4116"/>
      <c r="J204" s="4116"/>
    </row>
    <row r="205" spans="1:10">
      <c r="A205" s="697" t="s">
        <v>2943</v>
      </c>
      <c r="G205" s="697"/>
      <c r="H205" s="697"/>
      <c r="I205" s="697"/>
    </row>
    <row r="206" spans="1:10" ht="38.25" customHeight="1">
      <c r="A206" s="4116" t="str">
        <f>'Subsidy Layering Memo'!A37&amp;".  "&amp;'Subsidy Layering Memo'!A38</f>
        <v xml:space="preserve">.  </v>
      </c>
      <c r="B206" s="4117"/>
      <c r="C206" s="4117"/>
      <c r="D206" s="4117"/>
      <c r="E206" s="4117"/>
      <c r="F206" s="4117"/>
      <c r="G206" s="4117"/>
      <c r="H206" s="4117"/>
      <c r="I206" s="4117"/>
      <c r="J206" s="4117"/>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3236</v>
      </c>
      <c r="H1" s="805" t="str">
        <f>Overview!C8</f>
        <v>Brennan Place</v>
      </c>
    </row>
    <row r="2" spans="1:11">
      <c r="A2" s="697" t="s">
        <v>3237</v>
      </c>
      <c r="H2" s="760" t="str">
        <f>Overview!E8</f>
        <v>2019-042</v>
      </c>
    </row>
    <row r="3" spans="1:11" ht="3" customHeight="1"/>
    <row r="4" spans="1:11" ht="51.75" customHeight="1">
      <c r="A4" s="4117" t="s">
        <v>3336</v>
      </c>
      <c r="B4" s="4117"/>
      <c r="C4" s="4117"/>
      <c r="D4" s="4117"/>
      <c r="E4" s="4117"/>
      <c r="F4" s="4117"/>
      <c r="G4" s="4117"/>
      <c r="H4" s="4117"/>
      <c r="J4" s="1300">
        <f>SUM('Part VII-Pro Forma'!B14:B16)/12</f>
        <v>45046.168199999993</v>
      </c>
      <c r="K4" s="1299" t="s">
        <v>4465</v>
      </c>
    </row>
    <row r="5" spans="1:11" ht="1.5" customHeight="1">
      <c r="C5" s="839"/>
      <c r="D5" s="839"/>
      <c r="E5" s="839"/>
      <c r="F5" s="839"/>
      <c r="G5" s="839"/>
      <c r="H5" s="839"/>
    </row>
    <row r="6" spans="1:11" ht="12.75" customHeight="1">
      <c r="B6" s="840" t="s">
        <v>2435</v>
      </c>
      <c r="C6" s="4117" t="s">
        <v>3238</v>
      </c>
      <c r="D6" s="4117"/>
      <c r="E6" s="4117"/>
      <c r="F6" s="4117"/>
      <c r="G6" s="4117"/>
      <c r="H6" s="4117"/>
    </row>
    <row r="7" spans="1:11" ht="12.75" customHeight="1">
      <c r="B7" s="840" t="s">
        <v>2436</v>
      </c>
      <c r="C7" s="4117" t="s">
        <v>3239</v>
      </c>
      <c r="D7" s="4117"/>
      <c r="E7" s="4117"/>
      <c r="F7" s="4117"/>
      <c r="G7" s="4117"/>
      <c r="H7" s="4117"/>
    </row>
    <row r="8" spans="1:11" ht="3" customHeight="1"/>
    <row r="9" spans="1:11">
      <c r="A9" s="760" t="s">
        <v>3240</v>
      </c>
    </row>
    <row r="10" spans="1:11" ht="1.5" customHeight="1"/>
    <row r="11" spans="1:11" ht="26.25" customHeight="1">
      <c r="A11" s="841" t="s">
        <v>1983</v>
      </c>
      <c r="B11" s="4136" t="s">
        <v>3333</v>
      </c>
      <c r="C11" s="4136"/>
      <c r="D11" s="4136"/>
      <c r="E11" s="4136"/>
      <c r="F11" s="4136"/>
      <c r="G11" s="4137">
        <f>'Part III-Sources of Funds'!I49+'Part III-Sources of Funds'!I50</f>
        <v>12398300</v>
      </c>
      <c r="H11" s="4137"/>
    </row>
    <row r="12" spans="1:11" ht="1.5" customHeight="1">
      <c r="G12" s="809"/>
      <c r="H12" s="809"/>
    </row>
    <row r="13" spans="1:11" ht="26.25" customHeight="1">
      <c r="A13" s="841" t="s">
        <v>1985</v>
      </c>
      <c r="B13" s="4136" t="s">
        <v>3334</v>
      </c>
      <c r="C13" s="4136"/>
      <c r="D13" s="4136"/>
      <c r="E13" s="4136"/>
      <c r="F13" s="4136"/>
      <c r="G13" s="4138" t="s">
        <v>3166</v>
      </c>
      <c r="H13" s="4138"/>
    </row>
    <row r="14" spans="1:11" ht="12" hidden="1" customHeight="1">
      <c r="A14" s="841"/>
      <c r="B14" s="4131"/>
      <c r="C14" s="4131"/>
      <c r="D14" s="4131"/>
      <c r="E14" s="4131"/>
      <c r="F14" s="4131"/>
      <c r="G14" s="4131"/>
      <c r="H14" s="4131"/>
    </row>
    <row r="15" spans="1:11" ht="1.5" customHeight="1"/>
    <row r="16" spans="1:11" ht="12" customHeight="1">
      <c r="A16" s="841" t="s">
        <v>749</v>
      </c>
      <c r="B16" s="760" t="s">
        <v>3338</v>
      </c>
      <c r="F16" s="833"/>
      <c r="G16" s="4114" t="s">
        <v>2992</v>
      </c>
      <c r="H16" s="4114"/>
    </row>
    <row r="17" spans="1:8" ht="1.5" customHeight="1">
      <c r="G17" s="815"/>
    </row>
    <row r="18" spans="1:8" ht="12" customHeight="1">
      <c r="A18" s="841" t="s">
        <v>2115</v>
      </c>
      <c r="B18" s="809" t="s">
        <v>3335</v>
      </c>
      <c r="C18" s="841"/>
      <c r="D18" s="841"/>
      <c r="E18" s="841"/>
      <c r="G18" s="4131" t="s">
        <v>2824</v>
      </c>
      <c r="H18" s="4131"/>
    </row>
    <row r="19" spans="1:8" ht="12" hidden="1" customHeight="1">
      <c r="B19" s="4131"/>
      <c r="C19" s="4131"/>
      <c r="D19" s="4131"/>
      <c r="E19" s="4131"/>
      <c r="F19" s="4131"/>
      <c r="G19" s="4131"/>
      <c r="H19" s="4131"/>
    </row>
    <row r="20" spans="1:8" ht="13.5" customHeight="1"/>
    <row r="21" spans="1:8" ht="12" customHeight="1">
      <c r="A21" s="697" t="s">
        <v>3241</v>
      </c>
    </row>
    <row r="22" spans="1:8" ht="3" customHeight="1"/>
    <row r="23" spans="1:8" ht="26.25" customHeight="1">
      <c r="A23" s="4134" t="s">
        <v>3337</v>
      </c>
      <c r="B23" s="4134"/>
      <c r="C23" s="4134"/>
      <c r="D23" s="4134"/>
      <c r="E23" s="4134"/>
      <c r="F23" s="4134"/>
      <c r="G23" s="4134"/>
      <c r="H23" s="4134"/>
    </row>
    <row r="24" spans="1:8" ht="26.25" customHeight="1">
      <c r="A24" s="4135" t="s">
        <v>3242</v>
      </c>
      <c r="B24" s="4135"/>
      <c r="C24" s="4135"/>
      <c r="D24" s="4135"/>
      <c r="E24" s="4135"/>
      <c r="F24" s="4135"/>
      <c r="G24" s="4135"/>
      <c r="H24" s="4135"/>
    </row>
    <row r="25" spans="1:8" ht="9" customHeight="1">
      <c r="A25" s="782"/>
    </row>
    <row r="26" spans="1:8">
      <c r="A26" s="815" t="s">
        <v>3339</v>
      </c>
      <c r="B26" s="842"/>
      <c r="C26" s="815" t="s">
        <v>3340</v>
      </c>
      <c r="D26" s="843" t="s">
        <v>3527</v>
      </c>
    </row>
    <row r="27" spans="1:8" ht="6" customHeight="1"/>
    <row r="28" spans="1:8" ht="12.75" customHeight="1">
      <c r="C28" s="809" t="s">
        <v>3243</v>
      </c>
      <c r="D28" s="844" t="s">
        <v>1986</v>
      </c>
      <c r="E28" s="845"/>
      <c r="F28" s="4117" t="s">
        <v>3244</v>
      </c>
      <c r="G28" s="4117"/>
      <c r="H28" s="4117"/>
    </row>
    <row r="29" spans="1:8" ht="12.75" customHeight="1">
      <c r="C29" s="846" t="s">
        <v>1353</v>
      </c>
      <c r="D29" s="844" t="s">
        <v>1988</v>
      </c>
      <c r="E29" s="4117" t="s">
        <v>3344</v>
      </c>
      <c r="F29" s="4117"/>
      <c r="G29" s="4117"/>
      <c r="H29" s="4117"/>
    </row>
    <row r="30" spans="1:8" ht="12.75" customHeight="1">
      <c r="E30" s="4117" t="s">
        <v>3523</v>
      </c>
      <c r="F30" s="4117"/>
      <c r="G30" s="4117"/>
      <c r="H30" s="4117"/>
    </row>
    <row r="31" spans="1:8" ht="12.75" customHeight="1">
      <c r="D31" s="847" t="s">
        <v>3343</v>
      </c>
      <c r="E31" s="4117" t="s">
        <v>3524</v>
      </c>
      <c r="F31" s="4117"/>
      <c r="G31" s="4117"/>
      <c r="H31" s="4117"/>
    </row>
    <row r="32" spans="1:8" ht="3" customHeight="1">
      <c r="D32" s="844"/>
      <c r="E32" s="1871"/>
      <c r="F32" s="1871"/>
      <c r="G32" s="1871"/>
      <c r="H32" s="1871"/>
    </row>
    <row r="33" spans="1:11">
      <c r="A33" s="815" t="s">
        <v>3339</v>
      </c>
      <c r="B33" s="842"/>
      <c r="C33" s="815" t="s">
        <v>3341</v>
      </c>
      <c r="D33" s="843" t="s">
        <v>3528</v>
      </c>
    </row>
    <row r="34" spans="1:11" ht="4.5" customHeight="1"/>
    <row r="35" spans="1:11" ht="12.75" customHeight="1">
      <c r="C35" s="809" t="s">
        <v>3243</v>
      </c>
      <c r="D35" s="844" t="s">
        <v>1986</v>
      </c>
      <c r="E35" s="845"/>
      <c r="F35" s="4117" t="s">
        <v>3244</v>
      </c>
      <c r="G35" s="4117"/>
      <c r="H35" s="4117"/>
    </row>
    <row r="36" spans="1:11" ht="12.75" customHeight="1">
      <c r="C36" s="846" t="s">
        <v>1353</v>
      </c>
      <c r="D36" s="844" t="s">
        <v>1988</v>
      </c>
      <c r="E36" s="4117" t="s">
        <v>3345</v>
      </c>
      <c r="F36" s="4117"/>
      <c r="G36" s="4117"/>
      <c r="H36" s="4117"/>
    </row>
    <row r="37" spans="1:11" ht="12.75" customHeight="1">
      <c r="E37" s="4117" t="s">
        <v>3523</v>
      </c>
      <c r="F37" s="4117"/>
      <c r="G37" s="4117"/>
      <c r="H37" s="4117"/>
    </row>
    <row r="38" spans="1:11" ht="12.75" customHeight="1">
      <c r="D38" s="847" t="s">
        <v>3343</v>
      </c>
      <c r="E38" s="4117" t="s">
        <v>3524</v>
      </c>
      <c r="F38" s="4117"/>
      <c r="G38" s="4117"/>
      <c r="H38" s="4117"/>
    </row>
    <row r="39" spans="1:11" ht="3" customHeight="1">
      <c r="D39" s="844"/>
      <c r="E39" s="1871"/>
      <c r="F39" s="1871"/>
      <c r="G39" s="1871"/>
      <c r="H39" s="1871"/>
    </row>
    <row r="40" spans="1:11">
      <c r="A40" s="815" t="s">
        <v>3339</v>
      </c>
      <c r="B40" s="842"/>
      <c r="C40" s="815" t="s">
        <v>3342</v>
      </c>
      <c r="D40" s="843" t="s">
        <v>3529</v>
      </c>
    </row>
    <row r="41" spans="1:11" ht="4.5" customHeight="1"/>
    <row r="42" spans="1:11" ht="12.75" customHeight="1">
      <c r="C42" s="809" t="s">
        <v>3243</v>
      </c>
      <c r="D42" s="844" t="s">
        <v>1986</v>
      </c>
      <c r="E42" s="845"/>
      <c r="F42" s="4117" t="s">
        <v>3244</v>
      </c>
      <c r="G42" s="4117"/>
      <c r="H42" s="4117"/>
      <c r="K42" s="760" t="s">
        <v>243</v>
      </c>
    </row>
    <row r="43" spans="1:11" ht="12.75" customHeight="1">
      <c r="C43" s="846" t="s">
        <v>1353</v>
      </c>
      <c r="D43" s="844" t="s">
        <v>1988</v>
      </c>
      <c r="E43" s="4117" t="s">
        <v>3345</v>
      </c>
      <c r="F43" s="4117"/>
      <c r="G43" s="4117"/>
      <c r="H43" s="4117"/>
    </row>
    <row r="44" spans="1:11" ht="12.75" customHeight="1">
      <c r="E44" s="4117" t="s">
        <v>3523</v>
      </c>
      <c r="F44" s="4117"/>
      <c r="G44" s="4117"/>
      <c r="H44" s="4117"/>
    </row>
    <row r="45" spans="1:11" ht="12.75" customHeight="1">
      <c r="D45" s="847" t="s">
        <v>3343</v>
      </c>
      <c r="E45" s="4117" t="s">
        <v>3524</v>
      </c>
      <c r="F45" s="4117"/>
      <c r="G45" s="4117"/>
      <c r="H45" s="4117"/>
    </row>
    <row r="46" spans="1:11" ht="9" customHeight="1"/>
    <row r="47" spans="1:11" ht="7.5" customHeight="1">
      <c r="E47" s="4117"/>
      <c r="F47" s="4117"/>
      <c r="G47" s="4117"/>
      <c r="H47" s="4117"/>
    </row>
    <row r="48" spans="1:11" ht="24.75" customHeight="1">
      <c r="A48" s="4133" t="s">
        <v>4233</v>
      </c>
      <c r="B48" s="4133"/>
      <c r="C48" s="4133"/>
      <c r="D48" s="4133"/>
      <c r="E48" s="4133"/>
      <c r="F48" s="4133"/>
      <c r="G48" s="4133"/>
      <c r="H48" s="4133"/>
    </row>
    <row r="49" spans="1:11" ht="9" customHeight="1"/>
    <row r="50" spans="1:11" ht="26.25" customHeight="1">
      <c r="A50" s="4134" t="s">
        <v>3525</v>
      </c>
      <c r="B50" s="4134"/>
      <c r="C50" s="4134"/>
      <c r="D50" s="4134"/>
      <c r="E50" s="4134"/>
      <c r="F50" s="4134"/>
      <c r="G50" s="4134"/>
      <c r="H50" s="4134"/>
    </row>
    <row r="51" spans="1:11" ht="9" customHeight="1">
      <c r="A51" s="782"/>
    </row>
    <row r="52" spans="1:11">
      <c r="A52" s="815" t="s">
        <v>3339</v>
      </c>
      <c r="B52" s="842"/>
      <c r="C52" s="815" t="s">
        <v>3340</v>
      </c>
      <c r="D52" s="843" t="s">
        <v>3526</v>
      </c>
    </row>
    <row r="53" spans="1:11" ht="4.5" customHeight="1"/>
    <row r="54" spans="1:11" ht="12.75" customHeight="1">
      <c r="C54" s="809" t="s">
        <v>3243</v>
      </c>
      <c r="D54" s="844" t="s">
        <v>1986</v>
      </c>
      <c r="E54" s="845"/>
      <c r="F54" s="4117" t="s">
        <v>3244</v>
      </c>
      <c r="G54" s="4117"/>
      <c r="H54" s="4117"/>
    </row>
    <row r="55" spans="1:11" ht="12.75" customHeight="1">
      <c r="C55" s="846" t="s">
        <v>1353</v>
      </c>
      <c r="D55" s="844" t="s">
        <v>1988</v>
      </c>
      <c r="E55" s="4117" t="s">
        <v>3532</v>
      </c>
      <c r="F55" s="4117"/>
      <c r="G55" s="4117"/>
      <c r="H55" s="4117"/>
    </row>
    <row r="56" spans="1:11" ht="3" customHeight="1">
      <c r="D56" s="844"/>
      <c r="E56" s="1871"/>
      <c r="F56" s="1871"/>
      <c r="G56" s="1871"/>
      <c r="H56" s="1871"/>
    </row>
    <row r="57" spans="1:11">
      <c r="A57" s="815" t="s">
        <v>3339</v>
      </c>
      <c r="B57" s="842"/>
      <c r="C57" s="815" t="s">
        <v>3341</v>
      </c>
      <c r="D57" s="843" t="s">
        <v>3530</v>
      </c>
    </row>
    <row r="58" spans="1:11" ht="4.5" customHeight="1"/>
    <row r="59" spans="1:11">
      <c r="C59" s="809" t="s">
        <v>3243</v>
      </c>
      <c r="D59" s="844" t="s">
        <v>1986</v>
      </c>
      <c r="E59" s="845"/>
      <c r="F59" s="4117" t="s">
        <v>3244</v>
      </c>
      <c r="G59" s="4117"/>
      <c r="H59" s="4117"/>
    </row>
    <row r="60" spans="1:11" ht="12.75" customHeight="1">
      <c r="C60" s="846" t="s">
        <v>1353</v>
      </c>
      <c r="D60" s="844" t="s">
        <v>1988</v>
      </c>
      <c r="E60" s="4117" t="s">
        <v>3532</v>
      </c>
      <c r="F60" s="4117"/>
      <c r="G60" s="4117"/>
      <c r="H60" s="4117"/>
    </row>
    <row r="61" spans="1:11" ht="3" customHeight="1">
      <c r="D61" s="844"/>
      <c r="E61" s="1871"/>
      <c r="F61" s="1871"/>
      <c r="G61" s="1871"/>
      <c r="H61" s="1871"/>
    </row>
    <row r="62" spans="1:11">
      <c r="A62" s="815" t="s">
        <v>3339</v>
      </c>
      <c r="B62" s="842"/>
      <c r="C62" s="815" t="s">
        <v>3342</v>
      </c>
      <c r="D62" s="843" t="s">
        <v>3531</v>
      </c>
    </row>
    <row r="63" spans="1:11" ht="4.5" customHeight="1"/>
    <row r="64" spans="1:11">
      <c r="C64" s="809" t="s">
        <v>3243</v>
      </c>
      <c r="D64" s="844" t="s">
        <v>1986</v>
      </c>
      <c r="E64" s="845"/>
      <c r="F64" s="4117" t="s">
        <v>3244</v>
      </c>
      <c r="G64" s="4117"/>
      <c r="H64" s="4117"/>
      <c r="K64" s="760" t="s">
        <v>243</v>
      </c>
    </row>
    <row r="65" spans="3:8" ht="12.75" customHeight="1">
      <c r="C65" s="846" t="s">
        <v>1353</v>
      </c>
      <c r="D65" s="844" t="s">
        <v>1988</v>
      </c>
      <c r="E65" s="4117" t="s">
        <v>3532</v>
      </c>
      <c r="F65" s="4117"/>
      <c r="G65" s="4117"/>
      <c r="H65" s="4117"/>
    </row>
    <row r="66" spans="3:8" ht="7.5" customHeight="1">
      <c r="E66" s="4117"/>
      <c r="F66" s="4117"/>
      <c r="G66" s="4117"/>
      <c r="H66" s="411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54" t="s">
        <v>4272</v>
      </c>
      <c r="C1" s="4154"/>
      <c r="D1" s="4154"/>
      <c r="E1" s="4154"/>
      <c r="F1" s="4154"/>
      <c r="G1" s="4154"/>
      <c r="H1" s="4154"/>
      <c r="I1" s="4154"/>
    </row>
    <row r="2" spans="2:13" ht="13.8">
      <c r="B2" s="1891" t="s">
        <v>4260</v>
      </c>
      <c r="C2" s="808"/>
      <c r="D2" s="808"/>
      <c r="E2" s="808"/>
      <c r="F2" s="808"/>
      <c r="G2" s="808"/>
      <c r="H2" s="808"/>
      <c r="I2" s="808"/>
    </row>
    <row r="3" spans="2:13" ht="13.8">
      <c r="B3" s="1892" t="s">
        <v>4267</v>
      </c>
      <c r="C3" s="808"/>
      <c r="D3" s="808"/>
      <c r="E3" s="808"/>
      <c r="F3" s="808"/>
      <c r="G3" s="808"/>
      <c r="H3" s="808"/>
      <c r="I3" s="808"/>
    </row>
    <row r="4" spans="2:13">
      <c r="B4" s="4155" t="s">
        <v>3245</v>
      </c>
      <c r="C4" s="4155"/>
      <c r="D4" s="4155"/>
      <c r="E4" s="4161" t="s">
        <v>3246</v>
      </c>
      <c r="F4" s="4163"/>
      <c r="G4" s="4161" t="s">
        <v>617</v>
      </c>
      <c r="H4" s="4162"/>
      <c r="I4" s="4163"/>
      <c r="J4" s="1885" t="s">
        <v>3090</v>
      </c>
      <c r="K4" s="1885"/>
      <c r="L4" s="1893"/>
      <c r="M4" s="1893"/>
    </row>
    <row r="5" spans="2:13">
      <c r="B5" s="4156" t="str">
        <f>'Closing term sheet'!C8</f>
        <v>Brennan Place, LP</v>
      </c>
      <c r="C5" s="4157"/>
      <c r="D5" s="4157"/>
      <c r="E5" s="4167"/>
      <c r="F5" s="4168"/>
      <c r="G5" s="4164" t="str">
        <f>'Closing term sheet'!C28</f>
        <v>Brennan Place</v>
      </c>
      <c r="H5" s="4165"/>
      <c r="I5" s="4166"/>
      <c r="K5" s="760"/>
    </row>
    <row r="6" spans="2:13" ht="4.5" customHeight="1">
      <c r="D6" s="1894"/>
      <c r="E6" s="1894"/>
      <c r="F6" s="1894"/>
      <c r="G6" s="1894"/>
      <c r="H6" s="1894"/>
      <c r="I6" s="1894"/>
      <c r="K6" s="760"/>
    </row>
    <row r="7" spans="2:13">
      <c r="B7" s="4158" t="s">
        <v>3247</v>
      </c>
      <c r="C7" s="4158"/>
      <c r="D7" s="1895"/>
      <c r="E7" s="1895"/>
      <c r="F7" s="1895"/>
      <c r="G7" s="1895"/>
      <c r="H7" s="4159">
        <f>'Preview term'!E9</f>
        <v>0</v>
      </c>
      <c r="I7" s="4160"/>
    </row>
    <row r="8" spans="2:13" ht="4.5" customHeight="1">
      <c r="B8" s="1895"/>
      <c r="C8" s="1895"/>
      <c r="D8" s="1895"/>
      <c r="E8" s="1895"/>
      <c r="F8" s="1895"/>
      <c r="G8" s="1895"/>
      <c r="H8" s="1895"/>
      <c r="I8" s="1895"/>
      <c r="J8" s="1895"/>
    </row>
    <row r="9" spans="2:13">
      <c r="B9" s="1896" t="s">
        <v>3248</v>
      </c>
      <c r="C9" s="1896"/>
      <c r="D9" s="1895"/>
      <c r="E9" s="817" t="s">
        <v>4262</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4259</v>
      </c>
      <c r="C11" s="1895"/>
      <c r="D11" s="1899"/>
      <c r="E11" s="1895"/>
      <c r="F11" s="1895"/>
      <c r="G11" s="1895"/>
      <c r="H11" s="1895"/>
      <c r="I11" s="1895"/>
    </row>
    <row r="12" spans="2:13">
      <c r="B12" s="1900" t="s">
        <v>3249</v>
      </c>
      <c r="C12" s="1901"/>
      <c r="D12" s="1901"/>
      <c r="E12" s="1901"/>
      <c r="F12" s="1901"/>
      <c r="G12" s="1901"/>
      <c r="H12" s="1901"/>
      <c r="I12" s="1902" t="s">
        <v>1771</v>
      </c>
    </row>
    <row r="13" spans="2:13">
      <c r="B13" s="1903"/>
      <c r="C13" s="1904"/>
      <c r="D13" s="1895"/>
      <c r="E13" s="817" t="s">
        <v>3250</v>
      </c>
      <c r="F13" s="1895"/>
      <c r="G13" s="1895"/>
      <c r="H13" s="1895"/>
      <c r="I13" s="1905"/>
    </row>
    <row r="14" spans="2:13" ht="7.5" customHeight="1">
      <c r="B14" s="1906"/>
      <c r="C14" s="1895"/>
      <c r="D14" s="1895"/>
      <c r="E14" s="1895"/>
      <c r="F14" s="1899"/>
      <c r="G14" s="1895"/>
      <c r="H14" s="1895"/>
      <c r="I14" s="1905"/>
    </row>
    <row r="15" spans="2:13">
      <c r="B15" s="1906" t="s">
        <v>3346</v>
      </c>
      <c r="C15" s="1895"/>
      <c r="D15" s="1895"/>
      <c r="E15" s="1895"/>
      <c r="F15" s="837"/>
      <c r="G15" s="1895"/>
      <c r="H15" s="1895"/>
      <c r="I15" s="1907"/>
    </row>
    <row r="16" spans="2:13">
      <c r="B16" s="1908" t="s">
        <v>4263</v>
      </c>
      <c r="C16" s="1895"/>
      <c r="D16" s="1895"/>
      <c r="E16" s="1909" t="s">
        <v>3441</v>
      </c>
      <c r="F16" s="1895"/>
      <c r="G16" s="1895"/>
      <c r="H16" s="1895"/>
      <c r="I16" s="1907"/>
    </row>
    <row r="17" spans="2:9" ht="7.5" customHeight="1">
      <c r="B17" s="1903"/>
      <c r="C17" s="1895"/>
      <c r="D17" s="1895"/>
      <c r="E17" s="1895"/>
      <c r="F17" s="1895"/>
      <c r="G17" s="1895"/>
      <c r="H17" s="1895"/>
      <c r="I17" s="1905"/>
    </row>
    <row r="18" spans="2:9">
      <c r="B18" s="1906" t="s">
        <v>3251</v>
      </c>
      <c r="C18" s="1895"/>
      <c r="D18" s="1895"/>
      <c r="E18" s="1895"/>
      <c r="F18" s="1895"/>
      <c r="G18" s="1895"/>
      <c r="H18" s="1895"/>
      <c r="I18" s="1910" t="s">
        <v>1771</v>
      </c>
    </row>
    <row r="19" spans="2:9">
      <c r="B19" s="1911" t="s">
        <v>4264</v>
      </c>
      <c r="C19" s="1895"/>
      <c r="D19" s="1895"/>
      <c r="E19" s="1895"/>
      <c r="F19" s="1895"/>
      <c r="G19" s="1895"/>
      <c r="H19" s="1895"/>
      <c r="I19" s="1912"/>
    </row>
    <row r="20" spans="2:9" ht="7.5" customHeight="1">
      <c r="B20" s="1906"/>
      <c r="C20" s="1895"/>
      <c r="D20" s="1895"/>
      <c r="E20" s="1895"/>
      <c r="F20" s="1895"/>
      <c r="G20" s="1895"/>
      <c r="H20" s="1895"/>
      <c r="I20" s="1912"/>
    </row>
    <row r="21" spans="2:9">
      <c r="B21" s="1906" t="s">
        <v>4261</v>
      </c>
      <c r="C21" s="1895"/>
      <c r="D21" s="1895"/>
      <c r="E21" s="1895"/>
      <c r="F21" s="1895"/>
      <c r="G21" s="1895"/>
      <c r="H21" s="1895"/>
      <c r="I21" s="1907"/>
    </row>
    <row r="22" spans="2:9">
      <c r="B22" s="1911" t="s">
        <v>4265</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4266</v>
      </c>
      <c r="C25" s="1895"/>
      <c r="D25" s="1895"/>
      <c r="E25" s="1895"/>
      <c r="F25" s="1895"/>
      <c r="G25" s="1895"/>
      <c r="H25" s="1895"/>
      <c r="I25" s="1895"/>
    </row>
    <row r="26" spans="2:9" ht="3" customHeight="1">
      <c r="B26" s="1916"/>
      <c r="C26" s="1901"/>
      <c r="D26" s="1901"/>
      <c r="E26" s="1901"/>
      <c r="F26" s="1901"/>
      <c r="G26" s="1901"/>
      <c r="H26" s="1901"/>
      <c r="I26" s="1917"/>
    </row>
    <row r="27" spans="2:9">
      <c r="B27" s="1906" t="s">
        <v>3252</v>
      </c>
      <c r="C27" s="1895"/>
      <c r="D27" s="1918">
        <v>2</v>
      </c>
      <c r="F27" s="1895"/>
      <c r="G27" s="837" t="s">
        <v>3253</v>
      </c>
      <c r="H27" s="1895"/>
      <c r="I27" s="1919">
        <v>2</v>
      </c>
    </row>
    <row r="28" spans="2:9">
      <c r="B28" s="1903"/>
      <c r="C28" s="1909" t="s">
        <v>3254</v>
      </c>
      <c r="D28" s="1920"/>
      <c r="E28" s="1920"/>
      <c r="F28" s="1920"/>
      <c r="H28" s="1920" t="s">
        <v>3255</v>
      </c>
      <c r="I28" s="1905"/>
    </row>
    <row r="29" spans="2:9">
      <c r="B29" s="1903"/>
      <c r="C29" s="1909" t="s">
        <v>3256</v>
      </c>
      <c r="D29" s="1920"/>
      <c r="E29" s="1920"/>
      <c r="F29" s="1920"/>
      <c r="H29" s="1920" t="s">
        <v>3257</v>
      </c>
      <c r="I29" s="1905"/>
    </row>
    <row r="30" spans="2:9">
      <c r="B30" s="1903"/>
      <c r="C30" s="1909" t="s">
        <v>3258</v>
      </c>
      <c r="D30" s="1920"/>
      <c r="E30" s="1920"/>
      <c r="F30" s="1920"/>
      <c r="H30" s="1920" t="s">
        <v>3259</v>
      </c>
      <c r="I30" s="1905"/>
    </row>
    <row r="31" spans="2:9" ht="3" customHeight="1">
      <c r="B31" s="1913"/>
      <c r="C31" s="1914"/>
      <c r="D31" s="1914"/>
      <c r="E31" s="1914"/>
      <c r="F31" s="1914"/>
      <c r="G31" s="1914"/>
      <c r="H31" s="1914"/>
      <c r="I31" s="1915"/>
    </row>
    <row r="32" spans="2:9" ht="7.5" customHeight="1"/>
    <row r="33" spans="2:9" ht="15" customHeight="1">
      <c r="B33" s="756" t="s">
        <v>4268</v>
      </c>
    </row>
    <row r="34" spans="2:9" ht="3" customHeight="1">
      <c r="B34" s="1916"/>
      <c r="C34" s="1901"/>
      <c r="D34" s="1901"/>
      <c r="E34" s="1901"/>
      <c r="F34" s="1901"/>
      <c r="G34" s="1901"/>
      <c r="H34" s="1901"/>
      <c r="I34" s="1917"/>
    </row>
    <row r="35" spans="2:9">
      <c r="B35" s="1906" t="s">
        <v>4271</v>
      </c>
      <c r="C35" s="1895"/>
      <c r="D35" s="1895"/>
      <c r="F35" s="1921"/>
      <c r="H35" s="4139" t="s">
        <v>4280</v>
      </c>
      <c r="I35" s="4140"/>
    </row>
    <row r="36" spans="2:9">
      <c r="B36" s="1922" t="s">
        <v>4279</v>
      </c>
      <c r="C36" s="1920"/>
      <c r="D36" s="1920"/>
      <c r="E36" s="1895"/>
      <c r="F36" s="2229"/>
      <c r="G36" s="1923"/>
      <c r="H36" s="4139"/>
      <c r="I36" s="4140"/>
    </row>
    <row r="37" spans="2:9">
      <c r="B37" s="1922" t="s">
        <v>4277</v>
      </c>
      <c r="D37" s="1920"/>
      <c r="E37" s="1895"/>
      <c r="F37" s="2230"/>
      <c r="G37" s="1923"/>
      <c r="H37" s="4139"/>
      <c r="I37" s="4140"/>
    </row>
    <row r="38" spans="2:9">
      <c r="B38" s="1922" t="s">
        <v>4278</v>
      </c>
      <c r="D38" s="1895"/>
      <c r="E38" s="1895"/>
      <c r="F38" s="2230"/>
      <c r="G38" s="1923"/>
      <c r="H38" s="1923"/>
      <c r="I38" s="1924"/>
    </row>
    <row r="39" spans="2:9" ht="12.75" customHeight="1">
      <c r="B39" s="1922" t="s">
        <v>4276</v>
      </c>
      <c r="C39" s="1895"/>
      <c r="D39" s="1895"/>
      <c r="E39" s="1895"/>
      <c r="F39" s="2230"/>
      <c r="G39" s="1923"/>
      <c r="H39" s="1923"/>
      <c r="I39" s="1924"/>
    </row>
    <row r="40" spans="2:9">
      <c r="B40" s="1925" t="s">
        <v>4275</v>
      </c>
      <c r="C40" s="1926"/>
      <c r="D40" s="1927"/>
      <c r="E40" s="1928"/>
      <c r="F40" s="2230"/>
      <c r="G40" s="1928"/>
      <c r="H40" s="2228"/>
      <c r="I40" s="1905"/>
    </row>
    <row r="41" spans="2:9">
      <c r="B41" s="1925" t="s">
        <v>4274</v>
      </c>
      <c r="C41" s="1926"/>
      <c r="D41" s="1927"/>
      <c r="E41" s="1895"/>
      <c r="F41" s="2230"/>
      <c r="G41" s="1895"/>
      <c r="H41" s="1895"/>
      <c r="I41" s="1905"/>
    </row>
    <row r="42" spans="2:9">
      <c r="B42" s="1929" t="s">
        <v>4273</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4270</v>
      </c>
    </row>
    <row r="46" spans="2:9" ht="3" customHeight="1">
      <c r="B46" s="1916"/>
      <c r="C46" s="1901"/>
      <c r="D46" s="1901"/>
      <c r="E46" s="1901"/>
      <c r="F46" s="1901"/>
      <c r="G46" s="1901"/>
      <c r="H46" s="1901"/>
      <c r="I46" s="1917"/>
    </row>
    <row r="47" spans="2:9" ht="19.2">
      <c r="B47" s="1906" t="s">
        <v>4269</v>
      </c>
      <c r="C47" s="1895"/>
      <c r="D47" s="1931"/>
      <c r="E47" s="1932" t="str">
        <f>Overview!H7</f>
        <v>New Construction</v>
      </c>
      <c r="F47" s="784" t="s">
        <v>4281</v>
      </c>
      <c r="H47" s="1895"/>
      <c r="I47" s="1905"/>
    </row>
    <row r="48" spans="2:9">
      <c r="B48" s="1911" t="s">
        <v>3260</v>
      </c>
      <c r="C48" s="1920"/>
      <c r="D48" s="1920" t="s">
        <v>3261</v>
      </c>
      <c r="E48" s="1895"/>
      <c r="F48" s="4148" t="str">
        <f>'Closing term sheet'!$C$30</f>
        <v>Brennan Road</v>
      </c>
      <c r="G48" s="4149"/>
      <c r="H48" s="4149"/>
      <c r="I48" s="4150"/>
    </row>
    <row r="49" spans="2:9">
      <c r="B49" s="1911" t="s">
        <v>3262</v>
      </c>
      <c r="D49" s="1920" t="s">
        <v>3263</v>
      </c>
      <c r="E49" s="1895"/>
      <c r="F49" s="4151"/>
      <c r="G49" s="4152"/>
      <c r="H49" s="4152"/>
      <c r="I49" s="4153"/>
    </row>
    <row r="50" spans="2:9">
      <c r="B50" s="1911" t="s">
        <v>3264</v>
      </c>
      <c r="D50" s="1895"/>
      <c r="E50" s="1895"/>
      <c r="F50" s="1933"/>
      <c r="G50" s="1934"/>
      <c r="H50" s="1934"/>
      <c r="I50" s="1935"/>
    </row>
    <row r="51" spans="2:9" ht="7.5" customHeight="1">
      <c r="B51" s="1903"/>
      <c r="C51" s="1895"/>
      <c r="D51" s="1895"/>
      <c r="E51" s="1895"/>
      <c r="F51" s="1895"/>
      <c r="G51" s="1895"/>
      <c r="H51" s="1895"/>
      <c r="I51" s="1905"/>
    </row>
    <row r="52" spans="2:9">
      <c r="B52" s="1936" t="s">
        <v>4282</v>
      </c>
      <c r="C52" s="4171" t="str">
        <f>'Part I-Project Information'!F38</f>
        <v>Columbus</v>
      </c>
      <c r="D52" s="4172"/>
      <c r="E52" s="1937" t="s">
        <v>4283</v>
      </c>
      <c r="F52" s="1897" t="s">
        <v>848</v>
      </c>
      <c r="G52" s="1937" t="s">
        <v>4284</v>
      </c>
      <c r="H52" s="1938">
        <f>'Part I-Project Information'!J38</f>
        <v>319032054</v>
      </c>
      <c r="I52" s="1905"/>
    </row>
    <row r="53" spans="2:9">
      <c r="B53" s="1936" t="s">
        <v>4446</v>
      </c>
      <c r="D53" s="1939" t="e">
        <f>VLOOKUP("='Part I-Project Information'!$J$39",'DCA Underwriting Assumptions'!$G$158:$O$317,9)</f>
        <v>#N/A</v>
      </c>
      <c r="I53" s="1905"/>
    </row>
    <row r="54" spans="2:9">
      <c r="B54" s="1936" t="s">
        <v>4447</v>
      </c>
      <c r="D54" s="1895"/>
      <c r="E54" s="1895"/>
      <c r="F54" s="1895"/>
      <c r="G54" s="1895"/>
      <c r="I54" s="1905"/>
    </row>
    <row r="55" spans="2:9">
      <c r="B55" s="1929" t="s">
        <v>4448</v>
      </c>
      <c r="D55" s="1940">
        <f>'Closing term sheet'!$D$33</f>
        <v>63</v>
      </c>
      <c r="E55" s="1941"/>
      <c r="F55" s="817" t="s">
        <v>3265</v>
      </c>
      <c r="G55" s="1895"/>
      <c r="H55" s="1895"/>
      <c r="I55" s="1905"/>
    </row>
    <row r="56" spans="2:9">
      <c r="B56" s="1929" t="s">
        <v>4450</v>
      </c>
      <c r="D56" s="1942">
        <f>'Closing term sheet'!$D$62</f>
        <v>9895671</v>
      </c>
      <c r="E56" s="1943"/>
      <c r="F56" s="817" t="s">
        <v>3266</v>
      </c>
      <c r="G56" s="1895"/>
      <c r="H56" s="1895"/>
      <c r="I56" s="1905"/>
    </row>
    <row r="57" spans="2:9">
      <c r="B57" s="1922" t="s">
        <v>4449</v>
      </c>
      <c r="D57" s="1944"/>
      <c r="F57" s="817" t="s">
        <v>3267</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76" t="s">
        <v>3268</v>
      </c>
      <c r="C61" s="4177"/>
      <c r="D61" s="4177"/>
      <c r="E61" s="4177"/>
      <c r="F61" s="4177"/>
      <c r="G61" s="4177"/>
      <c r="H61" s="4177"/>
      <c r="I61" s="4178"/>
    </row>
    <row r="62" spans="2:9" ht="7.5" customHeight="1">
      <c r="B62" s="4173"/>
      <c r="C62" s="4174"/>
      <c r="D62" s="4174"/>
      <c r="E62" s="1895"/>
      <c r="F62" s="1895"/>
      <c r="G62" s="1945"/>
      <c r="H62" s="1895"/>
      <c r="I62" s="1905"/>
    </row>
    <row r="63" spans="2:9">
      <c r="B63" s="1946" t="s">
        <v>3270</v>
      </c>
      <c r="C63" s="1895"/>
      <c r="D63" s="1940">
        <v>4</v>
      </c>
      <c r="F63" s="1895"/>
      <c r="G63" s="4158" t="s">
        <v>3269</v>
      </c>
      <c r="H63" s="4158"/>
      <c r="I63" s="4175"/>
    </row>
    <row r="64" spans="2:9">
      <c r="B64" s="1903"/>
      <c r="C64" s="1920" t="s">
        <v>3273</v>
      </c>
      <c r="D64" s="1920" t="s">
        <v>3274</v>
      </c>
      <c r="F64" s="1895"/>
      <c r="G64" s="829" t="s">
        <v>3271</v>
      </c>
      <c r="H64" s="1895"/>
      <c r="I64" s="1947">
        <f>'Closing term sheet'!$D$35</f>
        <v>72</v>
      </c>
    </row>
    <row r="65" spans="2:9">
      <c r="B65" s="1903"/>
      <c r="C65" s="1920" t="s">
        <v>3275</v>
      </c>
      <c r="D65" s="1920" t="s">
        <v>3276</v>
      </c>
      <c r="F65" s="1895"/>
      <c r="G65" s="1948" t="s">
        <v>3272</v>
      </c>
      <c r="H65" s="1895"/>
      <c r="I65" s="1947">
        <f>C42</f>
        <v>0</v>
      </c>
    </row>
    <row r="66" spans="2:9">
      <c r="B66" s="1911"/>
      <c r="C66" s="1920" t="s">
        <v>3277</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3278</v>
      </c>
      <c r="C70" s="1895"/>
      <c r="D70" s="1895"/>
      <c r="E70" s="1895"/>
      <c r="F70" s="1895"/>
      <c r="G70" s="1895"/>
      <c r="H70" s="1895"/>
      <c r="I70" s="1905"/>
    </row>
    <row r="71" spans="2:9" ht="7.5" customHeight="1">
      <c r="B71" s="1903"/>
      <c r="C71" s="1895"/>
      <c r="D71" s="1895"/>
      <c r="E71" s="1895"/>
      <c r="F71" s="1895"/>
      <c r="G71" s="1895"/>
      <c r="H71" s="1895"/>
      <c r="I71" s="1905"/>
    </row>
    <row r="72" spans="2:9">
      <c r="B72" s="1906" t="s">
        <v>3279</v>
      </c>
      <c r="D72" s="1895"/>
      <c r="E72" s="1895"/>
      <c r="F72" s="1895"/>
      <c r="G72" s="1895"/>
      <c r="H72" s="1895"/>
      <c r="I72" s="1931"/>
    </row>
    <row r="73" spans="2:9" ht="7.5" customHeight="1">
      <c r="B73" s="1903"/>
      <c r="C73" s="1895"/>
      <c r="D73" s="1895"/>
      <c r="E73" s="1895"/>
      <c r="F73" s="1895"/>
      <c r="G73" s="1895"/>
      <c r="H73" s="1895"/>
      <c r="I73" s="1905"/>
    </row>
    <row r="74" spans="2:9">
      <c r="B74" s="1903" t="s">
        <v>3280</v>
      </c>
      <c r="D74" s="1895"/>
      <c r="E74" s="1895"/>
      <c r="F74" s="1895" t="s">
        <v>3347</v>
      </c>
      <c r="G74" s="1895"/>
      <c r="H74" s="1895"/>
      <c r="I74" s="1950"/>
    </row>
    <row r="75" spans="2:9">
      <c r="B75" s="1903"/>
      <c r="E75" s="1895"/>
      <c r="F75" s="1895" t="s">
        <v>3348</v>
      </c>
      <c r="G75" s="1895"/>
      <c r="H75" s="1895"/>
      <c r="I75" s="1950"/>
    </row>
    <row r="76" spans="2:9">
      <c r="B76" s="1903"/>
      <c r="E76" s="1895"/>
      <c r="F76" s="1895" t="s">
        <v>3349</v>
      </c>
      <c r="G76" s="1895"/>
      <c r="H76" s="1895"/>
      <c r="I76" s="1950"/>
    </row>
    <row r="77" spans="2:9">
      <c r="B77" s="1903"/>
      <c r="E77" s="1895"/>
      <c r="F77" s="837" t="s">
        <v>3350</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76" t="s">
        <v>3281</v>
      </c>
      <c r="C81" s="4177"/>
      <c r="D81" s="4177"/>
      <c r="E81" s="4177"/>
      <c r="F81" s="4177"/>
      <c r="G81" s="4177"/>
      <c r="H81" s="4177"/>
      <c r="I81" s="4178"/>
    </row>
    <row r="82" spans="2:9">
      <c r="B82" s="1903"/>
      <c r="C82" s="1895"/>
      <c r="D82" s="1895"/>
      <c r="E82" s="1895"/>
      <c r="F82" s="1895"/>
      <c r="G82" s="1895"/>
      <c r="H82" s="1895"/>
      <c r="I82" s="1905"/>
    </row>
    <row r="83" spans="2:9">
      <c r="B83" s="1906" t="s">
        <v>3282</v>
      </c>
      <c r="C83" s="1895"/>
      <c r="D83" s="1895"/>
      <c r="E83" s="1895"/>
      <c r="F83" s="1895"/>
      <c r="G83" s="1895"/>
      <c r="H83" s="1895"/>
      <c r="I83" s="1905"/>
    </row>
    <row r="84" spans="2:9">
      <c r="B84" s="1903"/>
      <c r="C84" s="837" t="s">
        <v>3283</v>
      </c>
      <c r="D84" s="1895"/>
      <c r="E84" s="1895"/>
      <c r="F84" s="4144">
        <f>'Closing term sheet'!D62</f>
        <v>9895671</v>
      </c>
      <c r="G84" s="4144"/>
      <c r="H84" s="1895"/>
      <c r="I84" s="1905"/>
    </row>
    <row r="85" spans="2:9">
      <c r="B85" s="1903"/>
      <c r="C85" s="837" t="s">
        <v>3284</v>
      </c>
      <c r="D85" s="1895"/>
      <c r="E85" s="1895"/>
      <c r="F85" s="4170">
        <f>'Part III-Sources of Funds'!I45+'Part III-Sources of Funds'!L45</f>
        <v>77655.163911006748</v>
      </c>
      <c r="G85" s="4170"/>
      <c r="H85" s="1895"/>
      <c r="I85" s="1905"/>
    </row>
    <row r="86" spans="2:9">
      <c r="B86" s="1903"/>
      <c r="C86" s="837" t="s">
        <v>3285</v>
      </c>
      <c r="D86" s="1895"/>
      <c r="E86" s="1895"/>
      <c r="F86" s="4169"/>
      <c r="G86" s="4169"/>
      <c r="H86" s="1895"/>
      <c r="I86" s="1905"/>
    </row>
    <row r="87" spans="2:9">
      <c r="B87" s="1903"/>
      <c r="C87" s="1920" t="s">
        <v>3286</v>
      </c>
      <c r="D87" s="1895"/>
      <c r="E87" s="1895"/>
      <c r="F87" s="4170">
        <v>11000</v>
      </c>
      <c r="G87" s="4170"/>
      <c r="H87" s="1895"/>
      <c r="I87" s="1905"/>
    </row>
    <row r="88" spans="2:9">
      <c r="B88" s="1903"/>
      <c r="C88" s="837" t="s">
        <v>3287</v>
      </c>
      <c r="D88" s="1895"/>
      <c r="E88" s="1895"/>
      <c r="F88" s="4147"/>
      <c r="G88" s="4147"/>
      <c r="H88" s="1895"/>
      <c r="I88" s="1905"/>
    </row>
    <row r="89" spans="2:9">
      <c r="B89" s="1903"/>
      <c r="C89" s="817" t="s">
        <v>3288</v>
      </c>
      <c r="D89" s="1895"/>
      <c r="E89" s="1895"/>
      <c r="F89" s="4142">
        <f>SUM(F84:G88)</f>
        <v>9984326.1639110073</v>
      </c>
      <c r="G89" s="4142"/>
      <c r="H89" s="1895"/>
      <c r="I89" s="1905"/>
    </row>
    <row r="90" spans="2:9">
      <c r="B90" s="1903"/>
      <c r="C90" s="1895"/>
      <c r="D90" s="1895"/>
      <c r="E90" s="1895"/>
      <c r="F90" s="4143"/>
      <c r="G90" s="4143"/>
      <c r="H90" s="1895"/>
      <c r="I90" s="1905"/>
    </row>
    <row r="91" spans="2:9">
      <c r="B91" s="1906" t="s">
        <v>3289</v>
      </c>
      <c r="C91" s="1895"/>
      <c r="D91" s="1895"/>
      <c r="E91" s="1895"/>
      <c r="F91" s="1895"/>
      <c r="G91" s="1895"/>
      <c r="H91" s="1895"/>
      <c r="I91" s="1905"/>
    </row>
    <row r="92" spans="2:9">
      <c r="B92" s="1903"/>
      <c r="C92" s="837" t="s">
        <v>3290</v>
      </c>
      <c r="D92" s="1895"/>
      <c r="E92" s="1895"/>
      <c r="F92" s="4144"/>
      <c r="G92" s="4144"/>
      <c r="H92" s="1895"/>
      <c r="I92" s="1905"/>
    </row>
    <row r="93" spans="2:9">
      <c r="B93" s="1903"/>
      <c r="C93" s="837" t="s">
        <v>3291</v>
      </c>
      <c r="D93" s="1895"/>
      <c r="E93" s="1895"/>
      <c r="F93" s="4145"/>
      <c r="G93" s="4145"/>
      <c r="H93" s="1895"/>
      <c r="I93" s="1905"/>
    </row>
    <row r="94" spans="2:9">
      <c r="B94" s="1903"/>
      <c r="C94" s="837" t="s">
        <v>3292</v>
      </c>
      <c r="D94" s="1895"/>
      <c r="E94" s="1895"/>
      <c r="F94" s="4146" t="s">
        <v>3166</v>
      </c>
      <c r="G94" s="4141"/>
      <c r="H94" s="1895"/>
      <c r="I94" s="1905"/>
    </row>
    <row r="95" spans="2:9">
      <c r="B95" s="1903"/>
      <c r="C95" s="817" t="s">
        <v>3293</v>
      </c>
      <c r="D95" s="1895"/>
      <c r="E95" s="1895"/>
      <c r="F95" s="4142">
        <f>+SUM(F92:G94)</f>
        <v>0</v>
      </c>
      <c r="G95" s="4142"/>
      <c r="H95" s="1895"/>
      <c r="I95" s="1905"/>
    </row>
    <row r="96" spans="2:9">
      <c r="B96" s="1903"/>
      <c r="C96" s="1895"/>
      <c r="D96" s="1895"/>
      <c r="E96" s="1895"/>
      <c r="F96" s="1895"/>
      <c r="G96" s="1895"/>
      <c r="H96" s="1895"/>
      <c r="I96" s="1905"/>
    </row>
    <row r="97" spans="2:9">
      <c r="B97" s="1906" t="s">
        <v>3294</v>
      </c>
      <c r="C97" s="1895"/>
      <c r="D97" s="1895"/>
      <c r="E97" s="1895"/>
      <c r="F97" s="1895"/>
      <c r="G97" s="1895"/>
      <c r="H97" s="1895"/>
      <c r="I97" s="1905"/>
    </row>
    <row r="98" spans="2:9">
      <c r="B98" s="1903"/>
      <c r="C98" s="837" t="s">
        <v>3295</v>
      </c>
      <c r="D98" s="1895"/>
      <c r="E98" s="1895"/>
      <c r="F98" s="4144"/>
      <c r="G98" s="4144"/>
      <c r="H98" s="1895"/>
      <c r="I98" s="1905"/>
    </row>
    <row r="99" spans="2:9">
      <c r="B99" s="1903"/>
      <c r="C99" s="837" t="s">
        <v>3296</v>
      </c>
      <c r="D99" s="1895"/>
      <c r="E99" s="1895"/>
      <c r="F99" s="4145"/>
      <c r="G99" s="4145"/>
      <c r="H99" s="1895"/>
      <c r="I99" s="1905"/>
    </row>
    <row r="100" spans="2:9">
      <c r="B100" s="1903"/>
      <c r="C100" s="837" t="s">
        <v>3297</v>
      </c>
      <c r="D100" s="1895"/>
      <c r="E100" s="1895"/>
      <c r="F100" s="4147"/>
      <c r="G100" s="4147"/>
      <c r="H100" s="1895"/>
      <c r="I100" s="1905"/>
    </row>
    <row r="101" spans="2:9">
      <c r="B101" s="1903"/>
      <c r="C101" s="817" t="s">
        <v>3298</v>
      </c>
      <c r="D101" s="1895"/>
      <c r="E101" s="1895"/>
      <c r="F101" s="4142">
        <f>+SUM(F98:G100)</f>
        <v>0</v>
      </c>
      <c r="G101" s="4142"/>
      <c r="H101" s="1895"/>
      <c r="I101" s="1905"/>
    </row>
    <row r="102" spans="2:9">
      <c r="B102" s="1903"/>
      <c r="C102" s="1895"/>
      <c r="D102" s="1895"/>
      <c r="E102" s="1895"/>
      <c r="F102" s="1895"/>
      <c r="G102" s="1895"/>
      <c r="H102" s="1895"/>
      <c r="I102" s="1905"/>
    </row>
    <row r="103" spans="2:9">
      <c r="B103" s="1946" t="s">
        <v>3299</v>
      </c>
      <c r="C103" s="837"/>
      <c r="D103" s="1895"/>
      <c r="E103" s="1895"/>
      <c r="F103" s="4141">
        <f>'Part III-Sources of Funds'!I46+'Part III-Sources of Funds'!I47</f>
        <v>0</v>
      </c>
      <c r="G103" s="4141"/>
      <c r="H103" s="1895"/>
      <c r="I103" s="1905"/>
    </row>
    <row r="104" spans="2:9">
      <c r="B104" s="1903"/>
      <c r="C104" s="1895"/>
      <c r="D104" s="1895"/>
      <c r="E104" s="1895"/>
      <c r="F104" s="1895"/>
      <c r="G104" s="1895"/>
      <c r="H104" s="1895"/>
      <c r="I104" s="1951" t="s">
        <v>3300</v>
      </c>
    </row>
    <row r="105" spans="2:9">
      <c r="B105" s="1906" t="s">
        <v>3301</v>
      </c>
      <c r="C105" s="1895"/>
      <c r="D105" s="1895"/>
      <c r="E105" s="1895"/>
      <c r="F105" s="4141">
        <f>+F103+F101+F95+F89</f>
        <v>9984326.1639110073</v>
      </c>
      <c r="G105" s="4141"/>
      <c r="H105" s="1895"/>
      <c r="I105" s="1905"/>
    </row>
    <row r="106" spans="2:9">
      <c r="B106" s="1913"/>
      <c r="C106" s="1914"/>
      <c r="D106" s="1914"/>
      <c r="E106" s="1914"/>
      <c r="F106" s="1914"/>
      <c r="G106" s="1914"/>
      <c r="H106" s="1914"/>
      <c r="I106" s="1915"/>
    </row>
    <row r="108" spans="2:9">
      <c r="C108" s="1952" t="s">
        <v>2989</v>
      </c>
    </row>
    <row r="109" spans="2:9">
      <c r="C109" s="1952"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abSelected="1" zoomScaleNormal="100" workbookViewId="0">
      <selection sqref="A1:XFD1048576"/>
    </sheetView>
  </sheetViews>
  <sheetFormatPr defaultColWidth="8.6640625" defaultRowHeight="15.6"/>
  <cols>
    <col min="1" max="1" width="2.33203125" style="2754" customWidth="1"/>
    <col min="2" max="13" width="7.6640625" style="2754" customWidth="1"/>
    <col min="14" max="15" width="5.6640625" style="2754" customWidth="1"/>
    <col min="16" max="16384" width="8.6640625" style="2754"/>
  </cols>
  <sheetData>
    <row r="1" spans="1:26" ht="18">
      <c r="N1" s="2755" t="s">
        <v>1498</v>
      </c>
      <c r="O1" s="2755"/>
      <c r="P1" s="2755"/>
      <c r="Q1" s="2755"/>
      <c r="R1" s="2755"/>
      <c r="S1" s="2755"/>
      <c r="T1" s="2755"/>
      <c r="U1" s="2755"/>
      <c r="V1" s="2755"/>
      <c r="W1" s="2755"/>
      <c r="X1" s="2755"/>
      <c r="Y1" s="2755"/>
      <c r="Z1" s="2755"/>
    </row>
    <row r="2" spans="1:26">
      <c r="N2" s="2756" t="s">
        <v>1499</v>
      </c>
      <c r="O2" s="2756"/>
      <c r="P2" s="2756"/>
      <c r="Q2" s="2756"/>
      <c r="R2" s="2756"/>
      <c r="S2" s="2756"/>
      <c r="T2" s="2756"/>
      <c r="U2" s="2756"/>
      <c r="V2" s="2756"/>
      <c r="W2" s="2756"/>
      <c r="X2" s="2756"/>
      <c r="Y2" s="2756"/>
      <c r="Z2" s="2756"/>
    </row>
    <row r="3" spans="1:26">
      <c r="N3" s="2757" t="s">
        <v>1500</v>
      </c>
      <c r="O3" s="2757"/>
      <c r="P3" s="2757"/>
      <c r="Q3" s="2757"/>
      <c r="R3" s="2757"/>
      <c r="S3" s="2757"/>
      <c r="T3" s="2757"/>
      <c r="U3" s="2757"/>
      <c r="V3" s="2757"/>
      <c r="W3" s="2757"/>
      <c r="X3" s="2757"/>
      <c r="Y3" s="2757"/>
      <c r="Z3" s="2757"/>
    </row>
    <row r="4" spans="1:26">
      <c r="B4" s="2758"/>
      <c r="C4" s="2758"/>
      <c r="D4" s="2758"/>
      <c r="E4" s="2758"/>
      <c r="F4" s="2758"/>
      <c r="G4" s="2758"/>
      <c r="H4" s="2758"/>
      <c r="I4" s="2758"/>
      <c r="J4" s="2758"/>
      <c r="K4" s="2758"/>
      <c r="L4" s="2758"/>
      <c r="M4" s="2758"/>
      <c r="N4" s="2759" t="s">
        <v>702</v>
      </c>
    </row>
    <row r="5" spans="1:26" ht="59.25" customHeight="1">
      <c r="A5" s="4186" t="s">
        <v>2750</v>
      </c>
      <c r="B5" s="4186"/>
      <c r="C5" s="4186"/>
      <c r="D5" s="4186"/>
      <c r="E5" s="4186"/>
      <c r="F5" s="4186"/>
      <c r="G5" s="4186"/>
      <c r="H5" s="4186"/>
      <c r="I5" s="4186"/>
      <c r="J5" s="4186"/>
      <c r="K5" s="4186"/>
      <c r="L5" s="4186"/>
      <c r="M5" s="4186"/>
    </row>
    <row r="6" spans="1:26" ht="11.7" customHeight="1">
      <c r="A6" s="2758"/>
      <c r="B6" s="2758"/>
      <c r="C6" s="2758"/>
      <c r="D6" s="2758"/>
      <c r="E6" s="2758"/>
      <c r="F6" s="2758"/>
      <c r="G6" s="2758"/>
      <c r="H6" s="2758"/>
      <c r="I6" s="2758"/>
      <c r="J6" s="2758"/>
      <c r="K6" s="2758"/>
      <c r="L6" s="2758"/>
      <c r="M6" s="2758"/>
    </row>
    <row r="7" spans="1:26">
      <c r="A7" s="2758" t="s">
        <v>707</v>
      </c>
      <c r="B7" s="2758"/>
      <c r="C7" s="2758"/>
      <c r="D7" s="2758"/>
      <c r="E7" s="2758"/>
      <c r="F7" s="2758"/>
      <c r="G7" s="2758"/>
      <c r="H7" s="2758"/>
      <c r="I7" s="2758"/>
      <c r="J7" s="2758"/>
      <c r="K7" s="2758"/>
      <c r="L7" s="2758"/>
      <c r="M7" s="2758"/>
    </row>
    <row r="8" spans="1:26" ht="11.7" customHeight="1">
      <c r="A8" s="2758"/>
      <c r="B8" s="2758"/>
      <c r="C8" s="2758"/>
      <c r="D8" s="2758"/>
      <c r="E8" s="2758"/>
      <c r="F8" s="2758"/>
      <c r="G8" s="2758"/>
      <c r="H8" s="2758"/>
      <c r="I8" s="2758"/>
      <c r="J8" s="2758"/>
      <c r="K8" s="2758"/>
      <c r="L8" s="2758"/>
      <c r="M8" s="2758"/>
    </row>
    <row r="9" spans="1:26">
      <c r="A9" s="4183" t="s">
        <v>1906</v>
      </c>
      <c r="B9" s="4183"/>
      <c r="C9" s="4183"/>
      <c r="D9" s="4183"/>
      <c r="E9" s="4183"/>
      <c r="F9" s="4183"/>
      <c r="G9" s="4183"/>
      <c r="H9" s="4183"/>
      <c r="I9" s="4183"/>
      <c r="J9" s="4183"/>
      <c r="K9" s="4183"/>
      <c r="L9" s="4183"/>
      <c r="M9" s="4183"/>
    </row>
    <row r="10" spans="1:26" ht="6.75" customHeight="1">
      <c r="A10" s="4183"/>
      <c r="B10" s="4183"/>
      <c r="C10" s="4183"/>
      <c r="D10" s="4183"/>
      <c r="E10" s="4183"/>
      <c r="F10" s="4183"/>
      <c r="G10" s="4183"/>
      <c r="H10" s="4183"/>
      <c r="I10" s="4183"/>
      <c r="J10" s="4183"/>
      <c r="K10" s="4183"/>
      <c r="L10" s="4183"/>
      <c r="M10" s="4183"/>
    </row>
    <row r="11" spans="1:26" ht="44.25" customHeight="1">
      <c r="A11" s="4187" t="s">
        <v>4931</v>
      </c>
      <c r="B11" s="4187"/>
      <c r="C11" s="4187"/>
      <c r="D11" s="4187"/>
      <c r="E11" s="4187"/>
      <c r="F11" s="4187"/>
      <c r="G11" s="4187"/>
      <c r="H11" s="4187"/>
      <c r="I11" s="4187"/>
      <c r="J11" s="4187"/>
      <c r="K11" s="4187"/>
      <c r="L11" s="4187"/>
      <c r="M11" s="4187"/>
    </row>
    <row r="12" spans="1:26" ht="3" customHeight="1">
      <c r="A12" s="4183"/>
      <c r="B12" s="4183"/>
      <c r="C12" s="4183"/>
      <c r="D12" s="4183"/>
      <c r="E12" s="4183"/>
      <c r="F12" s="4183"/>
      <c r="G12" s="4183"/>
      <c r="H12" s="4183"/>
      <c r="I12" s="4183"/>
      <c r="J12" s="4183"/>
      <c r="K12" s="4183"/>
      <c r="L12" s="4183"/>
      <c r="M12" s="4183"/>
    </row>
    <row r="13" spans="1:26" ht="96" customHeight="1">
      <c r="A13" s="2760" t="s">
        <v>1737</v>
      </c>
      <c r="B13" s="4184" t="s">
        <v>3674</v>
      </c>
      <c r="C13" s="4184"/>
      <c r="D13" s="4184"/>
      <c r="E13" s="4184"/>
      <c r="F13" s="4184"/>
      <c r="G13" s="4184"/>
      <c r="H13" s="4184"/>
      <c r="I13" s="4184"/>
      <c r="J13" s="4184"/>
      <c r="K13" s="4184"/>
      <c r="L13" s="4184"/>
      <c r="M13" s="4184"/>
    </row>
    <row r="14" spans="1:26" ht="47.25" customHeight="1">
      <c r="A14" s="2760" t="s">
        <v>1738</v>
      </c>
      <c r="B14" s="4184" t="s">
        <v>3675</v>
      </c>
      <c r="C14" s="4184"/>
      <c r="D14" s="4184"/>
      <c r="E14" s="4184"/>
      <c r="F14" s="4184"/>
      <c r="G14" s="4184"/>
      <c r="H14" s="4184"/>
      <c r="I14" s="4184"/>
      <c r="J14" s="4184"/>
      <c r="K14" s="4184"/>
      <c r="L14" s="4184"/>
      <c r="M14" s="4184"/>
    </row>
    <row r="15" spans="1:26" ht="117" customHeight="1">
      <c r="A15" s="2760" t="s">
        <v>1739</v>
      </c>
      <c r="B15" s="4184" t="s">
        <v>3676</v>
      </c>
      <c r="C15" s="4184"/>
      <c r="D15" s="4184"/>
      <c r="E15" s="4184"/>
      <c r="F15" s="4184"/>
      <c r="G15" s="4184"/>
      <c r="H15" s="4184"/>
      <c r="I15" s="4184"/>
      <c r="J15" s="4184"/>
      <c r="K15" s="4184"/>
      <c r="L15" s="4184"/>
      <c r="M15" s="4184"/>
    </row>
    <row r="16" spans="1:26" ht="147" customHeight="1">
      <c r="A16" s="2760" t="s">
        <v>2365</v>
      </c>
      <c r="B16" s="4184" t="s">
        <v>3456</v>
      </c>
      <c r="C16" s="4184"/>
      <c r="D16" s="4184"/>
      <c r="E16" s="4184"/>
      <c r="F16" s="4184"/>
      <c r="G16" s="4184"/>
      <c r="H16" s="4184"/>
      <c r="I16" s="4184"/>
      <c r="J16" s="4184"/>
      <c r="K16" s="4184"/>
      <c r="L16" s="4184"/>
      <c r="M16" s="4184"/>
    </row>
    <row r="17" spans="1:13" ht="48.75" customHeight="1">
      <c r="A17" s="2760" t="s">
        <v>1549</v>
      </c>
      <c r="B17" s="4184" t="s">
        <v>683</v>
      </c>
      <c r="C17" s="4184"/>
      <c r="D17" s="4184"/>
      <c r="E17" s="4184"/>
      <c r="F17" s="4184"/>
      <c r="G17" s="4184"/>
      <c r="H17" s="4184"/>
      <c r="I17" s="4184"/>
      <c r="J17" s="4184"/>
      <c r="K17" s="4184"/>
      <c r="L17" s="4184"/>
      <c r="M17" s="4184"/>
    </row>
    <row r="18" spans="1:13" ht="165" customHeight="1">
      <c r="A18" s="2760" t="s">
        <v>1550</v>
      </c>
      <c r="B18" s="4184" t="s">
        <v>3455</v>
      </c>
      <c r="C18" s="4184"/>
      <c r="D18" s="4184"/>
      <c r="E18" s="4184"/>
      <c r="F18" s="4184"/>
      <c r="G18" s="4184"/>
      <c r="H18" s="4184"/>
      <c r="I18" s="4184"/>
      <c r="J18" s="4184"/>
      <c r="K18" s="4184"/>
      <c r="L18" s="4184"/>
      <c r="M18" s="4184"/>
    </row>
    <row r="19" spans="1:13" ht="48.75" customHeight="1">
      <c r="A19" s="2760" t="s">
        <v>98</v>
      </c>
      <c r="B19" s="4185" t="s">
        <v>3677</v>
      </c>
      <c r="C19" s="4185"/>
      <c r="D19" s="4185"/>
      <c r="E19" s="4185"/>
      <c r="F19" s="4185"/>
      <c r="G19" s="4185"/>
      <c r="H19" s="4185"/>
      <c r="I19" s="4185"/>
      <c r="J19" s="4185"/>
      <c r="K19" s="4185"/>
      <c r="L19" s="4185"/>
      <c r="M19" s="4185"/>
    </row>
    <row r="20" spans="1:13" ht="50.25" customHeight="1">
      <c r="A20" s="2760" t="s">
        <v>511</v>
      </c>
      <c r="B20" s="4184" t="s">
        <v>3458</v>
      </c>
      <c r="C20" s="4184"/>
      <c r="D20" s="4184"/>
      <c r="E20" s="4184"/>
      <c r="F20" s="4184"/>
      <c r="G20" s="4184"/>
      <c r="H20" s="4184"/>
      <c r="I20" s="4184"/>
      <c r="J20" s="4184"/>
      <c r="K20" s="4184"/>
      <c r="L20" s="4184"/>
      <c r="M20" s="4184"/>
    </row>
    <row r="21" spans="1:13" ht="31.5" customHeight="1">
      <c r="A21" s="2760" t="s">
        <v>512</v>
      </c>
      <c r="B21" s="4184" t="s">
        <v>3486</v>
      </c>
      <c r="C21" s="4184"/>
      <c r="D21" s="4184"/>
      <c r="E21" s="4184"/>
      <c r="F21" s="4184"/>
      <c r="G21" s="4184"/>
      <c r="H21" s="4184"/>
      <c r="I21" s="4184"/>
      <c r="J21" s="4184"/>
      <c r="K21" s="4184"/>
      <c r="L21" s="4184"/>
      <c r="M21" s="4184"/>
    </row>
    <row r="22" spans="1:13" ht="1.5" customHeight="1">
      <c r="A22" s="4183"/>
      <c r="B22" s="4183"/>
      <c r="C22" s="4183"/>
      <c r="D22" s="4183"/>
      <c r="E22" s="4183"/>
      <c r="F22" s="4183"/>
      <c r="G22" s="4183"/>
      <c r="H22" s="4183"/>
      <c r="I22" s="4183"/>
      <c r="J22" s="4183"/>
      <c r="K22" s="4183"/>
      <c r="L22" s="4183"/>
      <c r="M22" s="4183"/>
    </row>
    <row r="23" spans="1:13" ht="3" customHeight="1">
      <c r="A23" s="4183"/>
      <c r="B23" s="4183"/>
      <c r="C23" s="4183"/>
      <c r="D23" s="4183"/>
      <c r="E23" s="4183"/>
      <c r="F23" s="4183"/>
      <c r="G23" s="4183"/>
      <c r="H23" s="4183"/>
      <c r="I23" s="4183"/>
      <c r="J23" s="4183"/>
      <c r="K23" s="4183"/>
      <c r="L23" s="4183"/>
      <c r="M23" s="4183"/>
    </row>
    <row r="24" spans="1:13" ht="13.5" customHeight="1">
      <c r="A24" s="4183" t="s">
        <v>1465</v>
      </c>
      <c r="B24" s="4183"/>
      <c r="C24" s="4183"/>
      <c r="D24" s="4183"/>
      <c r="E24" s="4183"/>
      <c r="F24" s="4183"/>
      <c r="G24" s="4183"/>
      <c r="H24" s="4183"/>
      <c r="I24" s="4183"/>
      <c r="J24" s="4183"/>
      <c r="K24" s="4183"/>
      <c r="L24" s="4183"/>
      <c r="M24" s="4183"/>
    </row>
    <row r="25" spans="1:13" ht="32.25" customHeight="1">
      <c r="A25" s="2760" t="s">
        <v>1466</v>
      </c>
      <c r="B25" s="4184" t="s">
        <v>3487</v>
      </c>
      <c r="C25" s="4184"/>
      <c r="D25" s="4184"/>
      <c r="E25" s="4184"/>
      <c r="F25" s="4184"/>
      <c r="G25" s="4184"/>
      <c r="H25" s="4184"/>
      <c r="I25" s="4184"/>
      <c r="J25" s="4184"/>
      <c r="K25" s="4184"/>
      <c r="L25" s="4184"/>
      <c r="M25" s="4184"/>
    </row>
    <row r="26" spans="1:13" ht="31.5" customHeight="1">
      <c r="A26" s="2760" t="s">
        <v>1466</v>
      </c>
      <c r="B26" s="4184" t="s">
        <v>3488</v>
      </c>
      <c r="C26" s="4184"/>
      <c r="D26" s="4184"/>
      <c r="E26" s="4184"/>
      <c r="F26" s="4184"/>
      <c r="G26" s="4184"/>
      <c r="H26" s="4184"/>
      <c r="I26" s="4184"/>
      <c r="J26" s="4184"/>
      <c r="K26" s="4184"/>
      <c r="L26" s="4184"/>
      <c r="M26" s="4184"/>
    </row>
    <row r="27" spans="1:13" ht="78.75" customHeight="1">
      <c r="A27" s="2760" t="s">
        <v>1466</v>
      </c>
      <c r="B27" s="4184" t="s">
        <v>2751</v>
      </c>
      <c r="C27" s="4184"/>
      <c r="D27" s="4184"/>
      <c r="E27" s="4184"/>
      <c r="F27" s="4184"/>
      <c r="G27" s="4184"/>
      <c r="H27" s="4184"/>
      <c r="I27" s="4184"/>
      <c r="J27" s="4184"/>
      <c r="K27" s="4184"/>
      <c r="L27" s="4184"/>
      <c r="M27" s="4184"/>
    </row>
    <row r="28" spans="1:13" ht="7.5" customHeight="1">
      <c r="A28" s="4183"/>
      <c r="B28" s="4183"/>
      <c r="C28" s="4183"/>
      <c r="D28" s="4183"/>
      <c r="E28" s="4183"/>
      <c r="F28" s="4183"/>
      <c r="G28" s="4183"/>
      <c r="H28" s="4183"/>
      <c r="I28" s="4183"/>
      <c r="J28" s="4183"/>
      <c r="K28" s="4183"/>
      <c r="L28" s="4183"/>
      <c r="M28" s="4183"/>
    </row>
    <row r="29" spans="1:13" ht="43.5" customHeight="1">
      <c r="A29" s="4184" t="s">
        <v>946</v>
      </c>
      <c r="B29" s="4184"/>
      <c r="C29" s="4184"/>
      <c r="D29" s="4184"/>
      <c r="E29" s="4184"/>
      <c r="F29" s="4184"/>
      <c r="G29" s="4184"/>
      <c r="H29" s="4184"/>
      <c r="I29" s="4184"/>
      <c r="J29" s="4184"/>
      <c r="K29" s="4184"/>
      <c r="L29" s="4184"/>
      <c r="M29" s="4184"/>
    </row>
    <row r="30" spans="1:13" ht="3" customHeight="1">
      <c r="A30" s="4183"/>
      <c r="B30" s="4183"/>
      <c r="C30" s="4183"/>
      <c r="D30" s="4183"/>
      <c r="E30" s="4183"/>
      <c r="F30" s="4183"/>
      <c r="G30" s="4183"/>
      <c r="H30" s="4183"/>
      <c r="I30" s="4183"/>
      <c r="J30" s="4183"/>
      <c r="K30" s="4183"/>
      <c r="L30" s="4183"/>
      <c r="M30" s="4183"/>
    </row>
    <row r="31" spans="1:13" ht="32.25" customHeight="1">
      <c r="A31" s="4184" t="s">
        <v>2752</v>
      </c>
      <c r="B31" s="4184"/>
      <c r="C31" s="4184"/>
      <c r="D31" s="4184"/>
      <c r="E31" s="4184"/>
      <c r="F31" s="4184"/>
      <c r="G31" s="4184"/>
      <c r="H31" s="4184"/>
      <c r="I31" s="4184"/>
      <c r="J31" s="4184"/>
      <c r="K31" s="4184"/>
      <c r="L31" s="4184"/>
      <c r="M31" s="4184"/>
    </row>
    <row r="32" spans="1:13" ht="4.5" customHeight="1">
      <c r="A32" s="4183"/>
      <c r="B32" s="4183"/>
      <c r="C32" s="4183"/>
      <c r="D32" s="4183"/>
      <c r="E32" s="4183"/>
      <c r="F32" s="4183"/>
      <c r="G32" s="4183"/>
      <c r="H32" s="4183"/>
      <c r="I32" s="4183"/>
      <c r="J32" s="4183"/>
      <c r="K32" s="4183"/>
      <c r="L32" s="4183"/>
      <c r="M32" s="4183"/>
    </row>
    <row r="33" spans="1:13">
      <c r="A33" s="4183" t="s">
        <v>922</v>
      </c>
      <c r="B33" s="4183"/>
      <c r="C33" s="4183"/>
      <c r="D33" s="4183"/>
      <c r="E33" s="4183"/>
      <c r="F33" s="4183"/>
      <c r="G33" s="4183"/>
      <c r="H33" s="4183"/>
      <c r="I33" s="4183"/>
      <c r="J33" s="4183"/>
      <c r="K33" s="4183"/>
      <c r="L33" s="4183"/>
      <c r="M33" s="4183"/>
    </row>
    <row r="34" spans="1:13" ht="6" customHeight="1">
      <c r="A34" s="2761"/>
      <c r="B34" s="2761"/>
      <c r="C34" s="2761"/>
      <c r="D34" s="2761"/>
      <c r="E34" s="2761"/>
      <c r="F34" s="2761"/>
      <c r="G34" s="2761"/>
      <c r="H34" s="2761"/>
      <c r="I34" s="2761"/>
      <c r="J34" s="2761"/>
      <c r="K34" s="2761"/>
      <c r="L34" s="2761"/>
      <c r="M34" s="2761"/>
    </row>
    <row r="35" spans="1:13">
      <c r="A35" s="4179"/>
      <c r="B35" s="4179"/>
      <c r="C35" s="4179"/>
      <c r="D35" s="4179"/>
      <c r="E35" s="4179"/>
      <c r="F35" s="4179"/>
      <c r="G35" s="2762"/>
      <c r="H35" s="4179"/>
      <c r="I35" s="4179"/>
      <c r="J35" s="4179"/>
      <c r="K35" s="4179"/>
      <c r="L35" s="4179"/>
      <c r="M35" s="4179"/>
    </row>
    <row r="36" spans="1:13" ht="12" customHeight="1">
      <c r="A36" s="4181" t="s">
        <v>923</v>
      </c>
      <c r="B36" s="4181"/>
      <c r="C36" s="4181"/>
      <c r="D36" s="4181"/>
      <c r="E36" s="4181"/>
      <c r="F36" s="4181"/>
      <c r="G36" s="2762"/>
      <c r="H36" s="4181" t="s">
        <v>1980</v>
      </c>
      <c r="I36" s="4181"/>
      <c r="J36" s="4181"/>
      <c r="K36" s="4181"/>
      <c r="L36" s="4181"/>
      <c r="M36" s="4181"/>
    </row>
    <row r="37" spans="1:13" ht="6" customHeight="1">
      <c r="A37" s="2762"/>
      <c r="B37" s="2762"/>
      <c r="C37" s="2762"/>
      <c r="D37" s="2762"/>
      <c r="E37" s="2762"/>
      <c r="F37" s="2762"/>
      <c r="G37" s="2762"/>
      <c r="H37" s="2762"/>
      <c r="I37" s="2762"/>
      <c r="J37" s="2762"/>
      <c r="K37" s="2762"/>
      <c r="L37" s="2762"/>
      <c r="M37" s="2762"/>
    </row>
    <row r="38" spans="1:13">
      <c r="A38" s="4179"/>
      <c r="B38" s="4179"/>
      <c r="C38" s="4179"/>
      <c r="D38" s="4179"/>
      <c r="E38" s="4179"/>
      <c r="F38" s="4179"/>
      <c r="G38" s="2762"/>
      <c r="H38" s="4180"/>
      <c r="I38" s="4180"/>
      <c r="J38" s="4180"/>
      <c r="K38" s="4180"/>
      <c r="L38" s="4180"/>
      <c r="M38" s="4180"/>
    </row>
    <row r="39" spans="1:13" ht="12" customHeight="1">
      <c r="A39" s="4181" t="s">
        <v>924</v>
      </c>
      <c r="B39" s="4181"/>
      <c r="C39" s="4181"/>
      <c r="D39" s="4181"/>
      <c r="E39" s="4181"/>
      <c r="F39" s="4181"/>
      <c r="G39" s="2762"/>
      <c r="H39" s="4181" t="s">
        <v>925</v>
      </c>
      <c r="I39" s="4181"/>
      <c r="J39" s="4181"/>
      <c r="K39" s="4181"/>
      <c r="L39" s="4181"/>
      <c r="M39" s="4181"/>
    </row>
    <row r="40" spans="1:13" ht="3" customHeight="1">
      <c r="A40" s="2763"/>
      <c r="B40" s="2763"/>
      <c r="C40" s="2763"/>
      <c r="D40" s="2763"/>
      <c r="E40" s="2763"/>
      <c r="F40" s="2763"/>
      <c r="G40" s="2762"/>
      <c r="H40" s="2763"/>
      <c r="I40" s="2763"/>
      <c r="J40" s="2763"/>
      <c r="K40" s="2763"/>
      <c r="L40" s="2763"/>
      <c r="M40" s="2763"/>
    </row>
    <row r="41" spans="1:13" ht="11.7" customHeight="1">
      <c r="A41" s="2758"/>
      <c r="B41" s="2758"/>
      <c r="C41" s="2758"/>
      <c r="D41" s="2758"/>
      <c r="E41" s="2758"/>
      <c r="F41" s="2758"/>
      <c r="G41" s="2758"/>
      <c r="H41" s="4182" t="s">
        <v>926</v>
      </c>
      <c r="I41" s="4182"/>
      <c r="J41" s="4182"/>
      <c r="K41" s="4182"/>
      <c r="L41" s="4182"/>
      <c r="M41" s="4182"/>
    </row>
    <row r="42" spans="1:13" ht="11.7" customHeight="1">
      <c r="A42" s="2758"/>
      <c r="B42" s="2758"/>
      <c r="C42" s="2758"/>
      <c r="D42" s="2758"/>
      <c r="E42" s="2758"/>
      <c r="F42" s="2758"/>
      <c r="G42" s="2758"/>
    </row>
    <row r="43" spans="1:13" ht="11.7" customHeight="1">
      <c r="A43" s="2758"/>
      <c r="B43" s="2758"/>
      <c r="C43" s="2758"/>
      <c r="D43" s="2758"/>
      <c r="E43" s="2758"/>
      <c r="F43" s="2758"/>
      <c r="G43" s="2758"/>
      <c r="H43" s="2758"/>
      <c r="I43" s="2758"/>
      <c r="J43" s="2758"/>
      <c r="K43" s="2758"/>
      <c r="L43" s="2758"/>
      <c r="M43" s="2758"/>
    </row>
    <row r="44" spans="1:13" ht="11.7" customHeight="1">
      <c r="A44" s="2758"/>
      <c r="B44" s="2758"/>
      <c r="C44" s="2758"/>
      <c r="D44" s="2758"/>
      <c r="E44" s="2758"/>
      <c r="F44" s="2758"/>
      <c r="G44" s="2758"/>
      <c r="H44" s="2758"/>
      <c r="I44" s="2758"/>
      <c r="J44" s="2758"/>
      <c r="K44" s="2758"/>
      <c r="L44" s="2758"/>
      <c r="M44" s="2758"/>
    </row>
    <row r="45" spans="1:13" ht="11.7" customHeight="1"/>
    <row r="46" spans="1:13" ht="11.7" customHeight="1"/>
    <row r="47" spans="1:13" ht="11.7" customHeight="1"/>
    <row r="48" spans="1:13" ht="11.7" customHeight="1"/>
    <row r="49" ht="11.7" customHeight="1"/>
  </sheetData>
  <sheetProtection algorithmName="SHA-512" hashValue="iE75KjUvedPQqMaNWGpNKEZD6nERo+uxHn/XsEP6eAak4QC+DHcYfAHacxPHAGCLIYQe/wj2oWvVKc36So1xcw==" saltValue="naE4GszedAXdalz0hMOlv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197" t="s">
        <v>721</v>
      </c>
      <c r="B2" s="4198"/>
      <c r="C2" s="4198"/>
      <c r="D2" s="4198"/>
      <c r="E2" s="4198"/>
      <c r="F2" s="4198"/>
      <c r="G2" s="4198"/>
      <c r="H2" s="4198"/>
      <c r="I2" s="4198"/>
      <c r="J2" s="4198"/>
      <c r="K2" s="4198"/>
      <c r="L2" s="4198"/>
      <c r="M2" s="4198"/>
      <c r="N2" s="4198"/>
      <c r="O2" s="4198"/>
      <c r="P2" s="4198"/>
      <c r="Q2" s="4198"/>
      <c r="R2" s="4199"/>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200" t="s">
        <v>3358</v>
      </c>
      <c r="G13" s="4201"/>
      <c r="H13" s="4201"/>
      <c r="I13" s="4201"/>
      <c r="J13" s="4202"/>
      <c r="K13" s="281"/>
      <c r="L13" s="566" t="s">
        <v>3579</v>
      </c>
      <c r="M13" s="281"/>
      <c r="N13" s="4200" t="s">
        <v>3358</v>
      </c>
      <c r="O13" s="4201"/>
      <c r="P13" s="4201"/>
      <c r="Q13" s="4201"/>
      <c r="R13" s="4202"/>
      <c r="S13" s="292"/>
      <c r="T13" s="168"/>
      <c r="U13" s="168"/>
      <c r="V13" s="987"/>
      <c r="W13" s="987"/>
      <c r="X13" s="987"/>
      <c r="AA13" s="512"/>
      <c r="AB13" s="512"/>
    </row>
    <row r="14" spans="1:28" s="271" customFormat="1" ht="11.7" customHeight="1">
      <c r="A14" s="170"/>
      <c r="D14" s="567" t="s">
        <v>2613</v>
      </c>
      <c r="E14" s="567" t="s">
        <v>1296</v>
      </c>
      <c r="F14" s="568">
        <v>0</v>
      </c>
      <c r="G14" s="569">
        <v>1</v>
      </c>
      <c r="H14" s="1057">
        <v>2</v>
      </c>
      <c r="I14" s="1057">
        <v>3</v>
      </c>
      <c r="J14" s="570" t="s">
        <v>3355</v>
      </c>
      <c r="L14" s="567" t="s">
        <v>2613</v>
      </c>
      <c r="M14" s="567" t="s">
        <v>1296</v>
      </c>
      <c r="N14" s="568">
        <v>0</v>
      </c>
      <c r="O14" s="569">
        <v>1</v>
      </c>
      <c r="P14" s="1057">
        <v>2</v>
      </c>
      <c r="Q14" s="1057">
        <v>3</v>
      </c>
      <c r="R14" s="570" t="s">
        <v>3355</v>
      </c>
      <c r="S14" s="292"/>
      <c r="T14" s="168"/>
      <c r="U14" s="168"/>
      <c r="V14" s="987"/>
      <c r="W14" s="987"/>
      <c r="X14" s="987"/>
      <c r="AA14" s="512"/>
      <c r="AB14" s="512"/>
    </row>
    <row r="15" spans="1:28" s="271" customFormat="1" ht="11.7" customHeight="1">
      <c r="A15" s="170"/>
      <c r="C15" s="312"/>
      <c r="D15" s="1007" t="s">
        <v>1782</v>
      </c>
      <c r="E15" s="1007" t="s">
        <v>3357</v>
      </c>
      <c r="F15" s="1008">
        <v>137262</v>
      </c>
      <c r="G15" s="1008">
        <v>177349</v>
      </c>
      <c r="H15" s="1008">
        <v>212078</v>
      </c>
      <c r="I15" s="1008">
        <v>252716</v>
      </c>
      <c r="J15" s="1008">
        <v>297120</v>
      </c>
      <c r="L15" s="292" t="s">
        <v>1782</v>
      </c>
      <c r="M15" s="292" t="s">
        <v>3357</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3354</v>
      </c>
      <c r="F16" s="1008">
        <v>107293</v>
      </c>
      <c r="G16" s="1008">
        <v>150210</v>
      </c>
      <c r="H16" s="1008">
        <v>193128</v>
      </c>
      <c r="I16" s="1008">
        <v>257504</v>
      </c>
      <c r="J16" s="1008">
        <v>321879</v>
      </c>
      <c r="L16" s="292" t="s">
        <v>1782</v>
      </c>
      <c r="M16" s="292" t="s">
        <v>3354</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3352</v>
      </c>
      <c r="F17" s="1008">
        <v>121714</v>
      </c>
      <c r="G17" s="1008">
        <v>158836</v>
      </c>
      <c r="H17" s="1008">
        <v>192451</v>
      </c>
      <c r="I17" s="1008">
        <v>234909</v>
      </c>
      <c r="J17" s="1008">
        <v>278528</v>
      </c>
      <c r="L17" s="292" t="s">
        <v>1782</v>
      </c>
      <c r="M17" s="292" t="s">
        <v>3352</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3353</v>
      </c>
      <c r="F18" s="1008">
        <v>107065</v>
      </c>
      <c r="G18" s="1008">
        <v>146199</v>
      </c>
      <c r="H18" s="1008">
        <v>185055</v>
      </c>
      <c r="I18" s="1008">
        <v>243836</v>
      </c>
      <c r="J18" s="1008">
        <v>302233</v>
      </c>
      <c r="L18" s="292" t="s">
        <v>1782</v>
      </c>
      <c r="M18" s="292" t="s">
        <v>3353</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3357</v>
      </c>
      <c r="F19" s="1000">
        <v>135505</v>
      </c>
      <c r="G19" s="1000">
        <v>175180</v>
      </c>
      <c r="H19" s="1000">
        <v>209551</v>
      </c>
      <c r="I19" s="1000">
        <v>249808</v>
      </c>
      <c r="J19" s="1000">
        <v>293789</v>
      </c>
      <c r="L19" s="292" t="s">
        <v>166</v>
      </c>
      <c r="M19" s="292" t="s">
        <v>3357</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3354</v>
      </c>
      <c r="F20" s="1000">
        <v>105897</v>
      </c>
      <c r="G20" s="1000">
        <v>148256</v>
      </c>
      <c r="H20" s="1000">
        <v>190615</v>
      </c>
      <c r="I20" s="1000">
        <v>254153</v>
      </c>
      <c r="J20" s="1000">
        <v>317691</v>
      </c>
      <c r="L20" s="292" t="s">
        <v>166</v>
      </c>
      <c r="M20" s="292" t="s">
        <v>3354</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3352</v>
      </c>
      <c r="F21" s="1000">
        <v>119770</v>
      </c>
      <c r="G21" s="1000">
        <v>156444</v>
      </c>
      <c r="H21" s="1000">
        <v>189688</v>
      </c>
      <c r="I21" s="1000">
        <v>231786</v>
      </c>
      <c r="J21" s="1000">
        <v>274973</v>
      </c>
      <c r="L21" s="292" t="s">
        <v>166</v>
      </c>
      <c r="M21" s="292" t="s">
        <v>3352</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3353</v>
      </c>
      <c r="F22" s="1000">
        <v>104962</v>
      </c>
      <c r="G22" s="1000">
        <v>143211</v>
      </c>
      <c r="H22" s="1000">
        <v>181178</v>
      </c>
      <c r="I22" s="1000">
        <v>238632</v>
      </c>
      <c r="J22" s="1000">
        <v>295697</v>
      </c>
      <c r="L22" s="292" t="s">
        <v>166</v>
      </c>
      <c r="M22" s="292" t="s">
        <v>3353</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3357</v>
      </c>
      <c r="F23" s="998">
        <v>147803</v>
      </c>
      <c r="G23" s="998">
        <v>191097</v>
      </c>
      <c r="H23" s="998">
        <v>228604</v>
      </c>
      <c r="I23" s="998">
        <v>272539</v>
      </c>
      <c r="J23" s="998">
        <v>320539</v>
      </c>
      <c r="L23" s="565" t="s">
        <v>1205</v>
      </c>
      <c r="M23" s="565" t="s">
        <v>3357</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3354</v>
      </c>
      <c r="F24" s="998">
        <v>115504</v>
      </c>
      <c r="G24" s="998">
        <v>161705</v>
      </c>
      <c r="H24" s="998">
        <v>207907</v>
      </c>
      <c r="I24" s="998">
        <v>277209</v>
      </c>
      <c r="J24" s="998">
        <v>346512</v>
      </c>
      <c r="L24" s="565" t="s">
        <v>1205</v>
      </c>
      <c r="M24" s="565" t="s">
        <v>3354</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3352</v>
      </c>
      <c r="F25" s="998">
        <v>130569</v>
      </c>
      <c r="G25" s="998">
        <v>170576</v>
      </c>
      <c r="H25" s="998">
        <v>206849</v>
      </c>
      <c r="I25" s="998">
        <v>252801</v>
      </c>
      <c r="J25" s="998">
        <v>299931</v>
      </c>
      <c r="L25" s="565" t="s">
        <v>1205</v>
      </c>
      <c r="M25" s="565" t="s">
        <v>3352</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3353</v>
      </c>
      <c r="F26" s="998">
        <v>114354</v>
      </c>
      <c r="G26" s="998">
        <v>156004</v>
      </c>
      <c r="H26" s="998">
        <v>197346</v>
      </c>
      <c r="I26" s="998">
        <v>259909</v>
      </c>
      <c r="J26" s="998">
        <v>322047</v>
      </c>
      <c r="L26" s="565" t="s">
        <v>1205</v>
      </c>
      <c r="M26" s="565" t="s">
        <v>3353</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3357</v>
      </c>
      <c r="F27" s="1002">
        <v>137432</v>
      </c>
      <c r="G27" s="1002">
        <v>177418</v>
      </c>
      <c r="H27" s="1002">
        <v>212058</v>
      </c>
      <c r="I27" s="1002">
        <v>252539</v>
      </c>
      <c r="J27" s="1002">
        <v>296777</v>
      </c>
      <c r="L27" s="565" t="s">
        <v>1330</v>
      </c>
      <c r="M27" s="565" t="s">
        <v>3357</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3354</v>
      </c>
      <c r="F28" s="1002">
        <v>107460</v>
      </c>
      <c r="G28" s="1002">
        <v>150444</v>
      </c>
      <c r="H28" s="1002">
        <v>193428</v>
      </c>
      <c r="I28" s="1002">
        <v>257905</v>
      </c>
      <c r="J28" s="1002">
        <v>322381</v>
      </c>
      <c r="L28" s="565" t="s">
        <v>1330</v>
      </c>
      <c r="M28" s="565" t="s">
        <v>3354</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3352</v>
      </c>
      <c r="F29" s="1002">
        <v>122447</v>
      </c>
      <c r="G29" s="1002">
        <v>159574</v>
      </c>
      <c r="H29" s="1002">
        <v>193140</v>
      </c>
      <c r="I29" s="1002">
        <v>235376</v>
      </c>
      <c r="J29" s="1002">
        <v>278857</v>
      </c>
      <c r="L29" s="565" t="s">
        <v>1330</v>
      </c>
      <c r="M29" s="565" t="s">
        <v>3352</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3353</v>
      </c>
      <c r="F30" s="1002">
        <v>108299</v>
      </c>
      <c r="G30" s="1002">
        <v>148060</v>
      </c>
      <c r="H30" s="1002">
        <v>187554</v>
      </c>
      <c r="I30" s="1002">
        <v>247273</v>
      </c>
      <c r="J30" s="1002">
        <v>306622</v>
      </c>
      <c r="L30" s="565" t="s">
        <v>1330</v>
      </c>
      <c r="M30" s="565" t="s">
        <v>3353</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3357</v>
      </c>
      <c r="F31" s="855">
        <v>144345</v>
      </c>
      <c r="G31" s="855">
        <v>186781</v>
      </c>
      <c r="H31" s="855">
        <v>223544</v>
      </c>
      <c r="I31" s="855">
        <v>266662</v>
      </c>
      <c r="J31" s="855">
        <v>313764</v>
      </c>
      <c r="L31" s="1026" t="s">
        <v>1521</v>
      </c>
      <c r="M31" s="565" t="s">
        <v>3357</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3354</v>
      </c>
      <c r="F32" s="855">
        <v>112768</v>
      </c>
      <c r="G32" s="855">
        <v>157875</v>
      </c>
      <c r="H32" s="855">
        <v>202982</v>
      </c>
      <c r="I32" s="855">
        <v>270642</v>
      </c>
      <c r="J32" s="855">
        <v>338303</v>
      </c>
      <c r="L32" s="1026" t="s">
        <v>1521</v>
      </c>
      <c r="M32" s="565" t="s">
        <v>3354</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3352</v>
      </c>
      <c r="F33" s="855">
        <v>126924</v>
      </c>
      <c r="G33" s="855">
        <v>166037</v>
      </c>
      <c r="H33" s="855">
        <v>201553</v>
      </c>
      <c r="I33" s="855">
        <v>246710</v>
      </c>
      <c r="J33" s="855">
        <v>292932</v>
      </c>
      <c r="L33" s="1026" t="s">
        <v>1521</v>
      </c>
      <c r="M33" s="565" t="s">
        <v>3352</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3353</v>
      </c>
      <c r="F34" s="855">
        <v>110561</v>
      </c>
      <c r="G34" s="855">
        <v>150648</v>
      </c>
      <c r="H34" s="855">
        <v>190425</v>
      </c>
      <c r="I34" s="855">
        <v>250646</v>
      </c>
      <c r="J34" s="855">
        <v>310437</v>
      </c>
      <c r="L34" s="1026" t="s">
        <v>1521</v>
      </c>
      <c r="M34" s="565" t="s">
        <v>3353</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3357</v>
      </c>
      <c r="F35" s="1004">
        <v>136468</v>
      </c>
      <c r="G35" s="1004">
        <v>176299</v>
      </c>
      <c r="H35" s="1004">
        <v>210804</v>
      </c>
      <c r="I35" s="1004">
        <v>251173</v>
      </c>
      <c r="J35" s="1004">
        <v>295283</v>
      </c>
      <c r="L35" s="292" t="s">
        <v>161</v>
      </c>
      <c r="M35" s="292" t="s">
        <v>3357</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3354</v>
      </c>
      <c r="F36" s="1004">
        <v>106679</v>
      </c>
      <c r="G36" s="1004">
        <v>149350</v>
      </c>
      <c r="H36" s="1004">
        <v>192022</v>
      </c>
      <c r="I36" s="1004">
        <v>256029</v>
      </c>
      <c r="J36" s="1004">
        <v>320036</v>
      </c>
      <c r="L36" s="292" t="s">
        <v>161</v>
      </c>
      <c r="M36" s="292" t="s">
        <v>3354</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3352</v>
      </c>
      <c r="F37" s="1004">
        <v>121108</v>
      </c>
      <c r="G37" s="1004">
        <v>158009</v>
      </c>
      <c r="H37" s="1004">
        <v>191414</v>
      </c>
      <c r="I37" s="1004">
        <v>233581</v>
      </c>
      <c r="J37" s="1004">
        <v>276915</v>
      </c>
      <c r="L37" s="292" t="s">
        <v>161</v>
      </c>
      <c r="M37" s="292" t="s">
        <v>3352</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3353</v>
      </c>
      <c r="F38" s="1004">
        <v>106630</v>
      </c>
      <c r="G38" s="1004">
        <v>145635</v>
      </c>
      <c r="H38" s="1004">
        <v>184366</v>
      </c>
      <c r="I38" s="1004">
        <v>242953</v>
      </c>
      <c r="J38" s="1004">
        <v>301159</v>
      </c>
      <c r="L38" s="292" t="s">
        <v>161</v>
      </c>
      <c r="M38" s="292" t="s">
        <v>3353</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3357</v>
      </c>
      <c r="F39" s="1006">
        <v>138055</v>
      </c>
      <c r="G39" s="1006">
        <v>178400</v>
      </c>
      <c r="H39" s="1006">
        <v>213351</v>
      </c>
      <c r="I39" s="1006">
        <v>254259</v>
      </c>
      <c r="J39" s="1006">
        <v>298956</v>
      </c>
      <c r="L39" s="565" t="s">
        <v>1320</v>
      </c>
      <c r="M39" s="565" t="s">
        <v>3357</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3354</v>
      </c>
      <c r="F40" s="1006">
        <v>107908</v>
      </c>
      <c r="G40" s="1006">
        <v>151071</v>
      </c>
      <c r="H40" s="1006">
        <v>194234</v>
      </c>
      <c r="I40" s="1006">
        <v>258978</v>
      </c>
      <c r="J40" s="1006">
        <v>323723</v>
      </c>
      <c r="L40" s="565" t="s">
        <v>1320</v>
      </c>
      <c r="M40" s="565" t="s">
        <v>3354</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3352</v>
      </c>
      <c r="F41" s="1006">
        <v>122320</v>
      </c>
      <c r="G41" s="1006">
        <v>159663</v>
      </c>
      <c r="H41" s="1006">
        <v>193488</v>
      </c>
      <c r="I41" s="1006">
        <v>236238</v>
      </c>
      <c r="J41" s="1006">
        <v>280140</v>
      </c>
      <c r="L41" s="565" t="s">
        <v>1320</v>
      </c>
      <c r="M41" s="565" t="s">
        <v>3352</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3353</v>
      </c>
      <c r="F42" s="1006">
        <v>107499</v>
      </c>
      <c r="G42" s="1006">
        <v>146762</v>
      </c>
      <c r="H42" s="1006">
        <v>185744</v>
      </c>
      <c r="I42" s="1006">
        <v>244720</v>
      </c>
      <c r="J42" s="1006">
        <v>303307</v>
      </c>
      <c r="L42" s="565" t="s">
        <v>1320</v>
      </c>
      <c r="M42" s="565" t="s">
        <v>3353</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3357</v>
      </c>
      <c r="F43" s="998">
        <v>141285</v>
      </c>
      <c r="G43" s="998">
        <v>182625</v>
      </c>
      <c r="H43" s="998">
        <v>218438</v>
      </c>
      <c r="I43" s="998">
        <v>260372</v>
      </c>
      <c r="J43" s="998">
        <v>306189</v>
      </c>
      <c r="L43" s="565" t="s">
        <v>1326</v>
      </c>
      <c r="M43" s="565" t="s">
        <v>3357</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3354</v>
      </c>
      <c r="F44" s="998">
        <v>110421</v>
      </c>
      <c r="G44" s="998">
        <v>154590</v>
      </c>
      <c r="H44" s="998">
        <v>198758</v>
      </c>
      <c r="I44" s="998">
        <v>265011</v>
      </c>
      <c r="J44" s="998">
        <v>331263</v>
      </c>
      <c r="L44" s="565" t="s">
        <v>1326</v>
      </c>
      <c r="M44" s="565" t="s">
        <v>3354</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3352</v>
      </c>
      <c r="F45" s="998">
        <v>124989</v>
      </c>
      <c r="G45" s="998">
        <v>163219</v>
      </c>
      <c r="H45" s="998">
        <v>197865</v>
      </c>
      <c r="I45" s="998">
        <v>241707</v>
      </c>
      <c r="J45" s="998">
        <v>286701</v>
      </c>
      <c r="L45" s="565" t="s">
        <v>1326</v>
      </c>
      <c r="M45" s="565" t="s">
        <v>3352</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3353</v>
      </c>
      <c r="F46" s="998">
        <v>109647</v>
      </c>
      <c r="G46" s="998">
        <v>149636</v>
      </c>
      <c r="H46" s="998">
        <v>189334</v>
      </c>
      <c r="I46" s="998">
        <v>249402</v>
      </c>
      <c r="J46" s="998">
        <v>309066</v>
      </c>
      <c r="L46" s="565" t="s">
        <v>1326</v>
      </c>
      <c r="M46" s="565" t="s">
        <v>3353</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3357</v>
      </c>
      <c r="F47" s="1002">
        <v>129610</v>
      </c>
      <c r="G47" s="1002">
        <v>167690</v>
      </c>
      <c r="H47" s="1002">
        <v>200679</v>
      </c>
      <c r="I47" s="1002">
        <v>239361</v>
      </c>
      <c r="J47" s="1002">
        <v>281618</v>
      </c>
      <c r="L47" s="565" t="s">
        <v>1696</v>
      </c>
      <c r="M47" s="565" t="s">
        <v>3357</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3354</v>
      </c>
      <c r="F48" s="1002">
        <v>101262</v>
      </c>
      <c r="G48" s="1002">
        <v>141766</v>
      </c>
      <c r="H48" s="1002">
        <v>182271</v>
      </c>
      <c r="I48" s="1002">
        <v>243028</v>
      </c>
      <c r="J48" s="1002">
        <v>303785</v>
      </c>
      <c r="L48" s="565" t="s">
        <v>1696</v>
      </c>
      <c r="M48" s="565" t="s">
        <v>3354</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3352</v>
      </c>
      <c r="F49" s="1002">
        <v>114063</v>
      </c>
      <c r="G49" s="1002">
        <v>149176</v>
      </c>
      <c r="H49" s="1002">
        <v>181052</v>
      </c>
      <c r="I49" s="1002">
        <v>221554</v>
      </c>
      <c r="J49" s="1002">
        <v>263026</v>
      </c>
      <c r="L49" s="565" t="s">
        <v>1696</v>
      </c>
      <c r="M49" s="565" t="s">
        <v>3352</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3353</v>
      </c>
      <c r="F50" s="1002">
        <v>99454</v>
      </c>
      <c r="G50" s="1002">
        <v>135544</v>
      </c>
      <c r="H50" s="1002">
        <v>171357</v>
      </c>
      <c r="I50" s="1002">
        <v>225572</v>
      </c>
      <c r="J50" s="1002">
        <v>279402</v>
      </c>
      <c r="L50" s="565" t="s">
        <v>1696</v>
      </c>
      <c r="M50" s="565" t="s">
        <v>3353</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7"/>
      <c r="W53" s="987"/>
      <c r="X53" s="987"/>
      <c r="AA53" s="512"/>
      <c r="AB53" s="512"/>
    </row>
    <row r="54" spans="1:28" s="271" customFormat="1" ht="11.7"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3939</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3860</v>
      </c>
      <c r="K70" s="170"/>
      <c r="L70" s="170"/>
      <c r="M70" s="170"/>
      <c r="N70" s="170"/>
      <c r="O70" s="170"/>
      <c r="P70" s="168"/>
      <c r="Q70" s="1059">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3940</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3940</v>
      </c>
      <c r="K72" s="170"/>
      <c r="L72" s="170"/>
      <c r="M72" s="170"/>
      <c r="N72" s="170"/>
      <c r="O72" s="170"/>
      <c r="P72" s="168"/>
      <c r="Q72" s="1058" t="s">
        <v>970</v>
      </c>
      <c r="R72" s="1058">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3941</v>
      </c>
      <c r="K73" s="170"/>
      <c r="L73" s="170"/>
      <c r="M73" s="170"/>
      <c r="N73" s="170"/>
      <c r="O73" s="170"/>
      <c r="P73" s="168"/>
      <c r="Q73" s="282" t="s">
        <v>1733</v>
      </c>
      <c r="R73" s="1058">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3941</v>
      </c>
      <c r="K74" s="170"/>
      <c r="L74" s="170"/>
      <c r="M74" s="170"/>
      <c r="N74" s="170"/>
      <c r="O74" s="170"/>
      <c r="P74" s="168"/>
      <c r="Q74" s="282" t="s">
        <v>1733</v>
      </c>
      <c r="R74" s="1058">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3941</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3842</v>
      </c>
      <c r="C77" s="170"/>
      <c r="D77" s="170"/>
      <c r="E77" s="168"/>
      <c r="F77" s="172" t="s">
        <v>3478</v>
      </c>
      <c r="G77" s="170"/>
      <c r="H77" s="168"/>
      <c r="I77" s="168"/>
      <c r="J77" s="170" t="s">
        <v>1200</v>
      </c>
      <c r="K77" s="170"/>
      <c r="L77" s="170"/>
      <c r="M77" s="170"/>
      <c r="N77" s="170"/>
      <c r="O77" s="170"/>
      <c r="P77" s="168"/>
      <c r="Q77" s="4189">
        <v>1000</v>
      </c>
      <c r="R77" s="4190"/>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89">
        <v>500</v>
      </c>
      <c r="R78" s="4190"/>
      <c r="S78" s="283"/>
      <c r="T78" s="283"/>
      <c r="U78" s="283"/>
      <c r="AA78" s="512"/>
      <c r="AB78" s="512"/>
    </row>
    <row r="79" spans="1:28" s="271" customFormat="1" ht="11.7" customHeight="1">
      <c r="A79" s="170"/>
      <c r="B79" s="170"/>
      <c r="C79" s="170"/>
      <c r="D79" s="170"/>
      <c r="E79" s="168"/>
      <c r="F79" s="172" t="s">
        <v>3949</v>
      </c>
      <c r="G79" s="170"/>
      <c r="H79" s="168"/>
      <c r="I79" s="168"/>
      <c r="J79" s="172" t="s">
        <v>3945</v>
      </c>
      <c r="K79" s="170"/>
      <c r="L79" s="170"/>
      <c r="M79" s="170"/>
      <c r="N79" s="170"/>
      <c r="O79" s="170"/>
      <c r="P79" s="168"/>
      <c r="Q79" s="4189">
        <v>1500</v>
      </c>
      <c r="R79" s="4190"/>
      <c r="S79" s="283"/>
      <c r="T79" s="283"/>
      <c r="U79" s="283"/>
      <c r="AA79" s="512"/>
      <c r="AB79" s="512"/>
    </row>
    <row r="80" spans="1:28" s="271" customFormat="1" ht="11.7" customHeight="1">
      <c r="A80" s="170"/>
      <c r="B80" s="170"/>
      <c r="C80" s="170"/>
      <c r="D80" s="170"/>
      <c r="E80" s="168"/>
      <c r="G80" s="170"/>
      <c r="H80" s="168"/>
      <c r="I80" s="168"/>
      <c r="J80" s="172" t="s">
        <v>3946</v>
      </c>
      <c r="K80" s="170"/>
      <c r="L80" s="170"/>
      <c r="M80" s="170"/>
      <c r="N80" s="170"/>
      <c r="O80" s="170"/>
      <c r="P80" s="168"/>
      <c r="Q80" s="4189">
        <v>1500</v>
      </c>
      <c r="R80" s="4190"/>
      <c r="S80" s="283"/>
      <c r="T80" s="283"/>
      <c r="U80" s="283"/>
      <c r="AA80" s="512"/>
      <c r="AB80" s="512"/>
    </row>
    <row r="81" spans="1:28" s="271" customFormat="1" ht="11.7" customHeight="1">
      <c r="A81" s="170"/>
      <c r="B81" s="170"/>
      <c r="C81" s="170"/>
      <c r="D81" s="170"/>
      <c r="E81" s="168"/>
      <c r="G81" s="170"/>
      <c r="H81" s="168"/>
      <c r="I81" s="168"/>
      <c r="J81" s="172" t="s">
        <v>3947</v>
      </c>
      <c r="K81" s="170"/>
      <c r="L81" s="170"/>
      <c r="M81" s="170"/>
      <c r="N81" s="170"/>
      <c r="O81" s="170"/>
      <c r="P81" s="168"/>
      <c r="Q81" s="4189">
        <v>1500</v>
      </c>
      <c r="R81" s="4190"/>
      <c r="S81" s="283"/>
      <c r="T81" s="283"/>
      <c r="U81" s="283"/>
      <c r="AA81" s="512"/>
      <c r="AB81" s="512"/>
    </row>
    <row r="82" spans="1:28" s="271" customFormat="1" ht="11.7" customHeight="1">
      <c r="A82" s="170"/>
      <c r="B82" s="170"/>
      <c r="C82" s="170"/>
      <c r="D82" s="170"/>
      <c r="E82" s="168"/>
      <c r="G82" s="170"/>
      <c r="H82" s="168"/>
      <c r="I82" s="168"/>
      <c r="J82" s="172" t="s">
        <v>3948</v>
      </c>
      <c r="K82" s="170"/>
      <c r="L82" s="170"/>
      <c r="M82" s="170"/>
      <c r="N82" s="170"/>
      <c r="O82" s="170"/>
      <c r="P82" s="168"/>
      <c r="Q82" s="4189">
        <v>1500</v>
      </c>
      <c r="R82" s="4190"/>
      <c r="S82" s="283"/>
      <c r="T82" s="283"/>
      <c r="U82" s="283"/>
      <c r="AA82" s="512"/>
      <c r="AB82" s="512"/>
    </row>
    <row r="83" spans="1:28" s="271" customFormat="1" ht="11.7" customHeight="1">
      <c r="A83" s="170"/>
      <c r="B83" s="170"/>
      <c r="C83" s="170"/>
      <c r="D83" s="170"/>
      <c r="E83" s="168"/>
      <c r="F83" s="172" t="s">
        <v>4730</v>
      </c>
      <c r="G83" s="170"/>
      <c r="H83" s="168"/>
      <c r="I83" s="168"/>
      <c r="J83" s="170" t="s">
        <v>1200</v>
      </c>
      <c r="K83" s="170"/>
      <c r="L83" s="170"/>
      <c r="M83" s="170"/>
      <c r="N83" s="170"/>
      <c r="O83" s="170"/>
      <c r="P83" s="168"/>
      <c r="Q83" s="4189">
        <v>6500</v>
      </c>
      <c r="R83" s="4190"/>
      <c r="S83" s="283"/>
      <c r="T83" s="283"/>
      <c r="U83" s="283"/>
      <c r="AA83" s="512"/>
      <c r="AB83" s="512"/>
    </row>
    <row r="84" spans="1:28" s="271" customFormat="1" ht="11.7" customHeight="1">
      <c r="A84" s="170"/>
      <c r="B84" s="170"/>
      <c r="C84" s="170"/>
      <c r="D84" s="170"/>
      <c r="E84" s="168"/>
      <c r="F84" s="172" t="s">
        <v>4730</v>
      </c>
      <c r="G84" s="170"/>
      <c r="H84" s="168"/>
      <c r="I84" s="168"/>
      <c r="J84" s="170" t="s">
        <v>1201</v>
      </c>
      <c r="K84" s="170"/>
      <c r="L84" s="170"/>
      <c r="M84" s="170"/>
      <c r="N84" s="170"/>
      <c r="O84" s="170"/>
      <c r="P84" s="168"/>
      <c r="Q84" s="4189">
        <v>5500</v>
      </c>
      <c r="R84" s="4190"/>
      <c r="S84" s="283"/>
      <c r="T84" s="283"/>
      <c r="U84" s="283"/>
      <c r="AA84" s="512"/>
      <c r="AB84" s="512"/>
    </row>
    <row r="85" spans="1:28" s="271" customFormat="1" ht="11.7" customHeight="1">
      <c r="A85" s="170"/>
      <c r="B85" s="170"/>
      <c r="C85" s="170"/>
      <c r="D85" s="170"/>
      <c r="E85" s="168"/>
      <c r="F85" s="172" t="s">
        <v>3438</v>
      </c>
      <c r="G85" s="170"/>
      <c r="H85" s="168"/>
      <c r="I85" s="168"/>
      <c r="J85" s="170"/>
      <c r="K85" s="170"/>
      <c r="L85" s="170"/>
      <c r="M85" s="170"/>
      <c r="N85" s="170"/>
      <c r="O85" s="170"/>
      <c r="P85" s="168"/>
      <c r="Q85" s="4189">
        <v>5000</v>
      </c>
      <c r="R85" s="4190"/>
      <c r="S85" s="283"/>
      <c r="T85" s="283"/>
      <c r="U85" s="283"/>
      <c r="AA85" s="512"/>
      <c r="AB85" s="512"/>
    </row>
    <row r="86" spans="1:28" s="271" customFormat="1" ht="11.7" customHeight="1">
      <c r="A86" s="170"/>
      <c r="B86" s="170"/>
      <c r="C86" s="170"/>
      <c r="D86" s="170"/>
      <c r="E86" s="168"/>
      <c r="F86" s="172"/>
      <c r="G86" s="170" t="s">
        <v>4728</v>
      </c>
      <c r="H86" s="168"/>
      <c r="I86" s="168"/>
      <c r="J86" s="170" t="s">
        <v>4729</v>
      </c>
      <c r="K86" s="170"/>
      <c r="L86" s="170"/>
      <c r="M86" s="170"/>
      <c r="N86" s="170"/>
      <c r="O86" s="170"/>
      <c r="P86" s="168"/>
      <c r="Q86" s="4189">
        <v>500</v>
      </c>
      <c r="R86" s="4190"/>
      <c r="S86" s="283"/>
      <c r="T86" s="283"/>
      <c r="U86" s="283"/>
      <c r="AA86" s="512"/>
      <c r="AB86" s="512"/>
    </row>
    <row r="87" spans="1:28" s="271" customFormat="1" ht="11.7" customHeight="1">
      <c r="A87" s="170"/>
      <c r="B87" s="170"/>
      <c r="C87" s="170"/>
      <c r="D87" s="170"/>
      <c r="E87" s="168"/>
      <c r="F87" s="172" t="s">
        <v>3943</v>
      </c>
      <c r="G87" s="170"/>
      <c r="H87" s="168"/>
      <c r="I87" s="168"/>
      <c r="J87" s="170"/>
      <c r="K87" s="170"/>
      <c r="L87" s="170"/>
      <c r="M87" s="170"/>
      <c r="N87" s="170"/>
      <c r="O87" s="170"/>
      <c r="P87" s="168"/>
      <c r="Q87" s="4189">
        <v>1500</v>
      </c>
      <c r="R87" s="4190"/>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191">
        <v>0.08</v>
      </c>
      <c r="R88" s="4191"/>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191">
        <v>0.08</v>
      </c>
      <c r="R89" s="4191"/>
      <c r="S89" s="283"/>
      <c r="T89" s="283"/>
      <c r="U89" s="283"/>
      <c r="AA89" s="512"/>
      <c r="AB89" s="512"/>
    </row>
    <row r="90" spans="1:28" s="271" customFormat="1" ht="11.7" customHeight="1">
      <c r="A90" s="170"/>
      <c r="C90" s="170"/>
      <c r="D90" s="168"/>
      <c r="E90" s="168"/>
      <c r="F90" s="172" t="s">
        <v>4731</v>
      </c>
      <c r="H90" s="170"/>
      <c r="I90" s="168"/>
      <c r="J90" s="170"/>
      <c r="K90" s="170"/>
      <c r="L90" s="170"/>
      <c r="M90" s="170"/>
      <c r="N90" s="170"/>
      <c r="O90" s="170"/>
      <c r="P90" s="168"/>
      <c r="Q90" s="4189">
        <v>3000</v>
      </c>
      <c r="R90" s="4190"/>
      <c r="S90" s="283"/>
      <c r="T90" s="283"/>
      <c r="U90" s="283"/>
      <c r="AA90" s="512"/>
      <c r="AB90" s="512"/>
    </row>
    <row r="91" spans="1:28" s="271" customFormat="1" ht="11.7" customHeight="1">
      <c r="A91" s="170"/>
      <c r="C91" s="170"/>
      <c r="D91" s="168"/>
      <c r="E91" s="168"/>
      <c r="F91" s="172" t="s">
        <v>3859</v>
      </c>
      <c r="H91" s="170"/>
      <c r="I91" s="168"/>
      <c r="J91" s="170"/>
      <c r="K91" s="170"/>
      <c r="L91" s="170"/>
      <c r="M91" s="170"/>
      <c r="N91" s="170"/>
      <c r="O91" s="170"/>
      <c r="P91" s="168"/>
      <c r="Q91" s="4189">
        <v>1500</v>
      </c>
      <c r="R91" s="4190"/>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89">
        <v>800</v>
      </c>
      <c r="R92" s="4190"/>
      <c r="S92" s="283"/>
      <c r="T92" s="283"/>
      <c r="U92" s="283"/>
      <c r="AA92" s="512"/>
      <c r="AB92" s="512"/>
    </row>
    <row r="93" spans="1:28" s="271" customFormat="1" ht="11.7" customHeight="1">
      <c r="A93" s="170"/>
      <c r="C93" s="170"/>
      <c r="D93" s="168"/>
      <c r="E93" s="168"/>
      <c r="F93" s="170"/>
      <c r="H93" s="170"/>
      <c r="I93" s="170" t="s">
        <v>4732</v>
      </c>
      <c r="J93" s="170" t="s">
        <v>1530</v>
      </c>
      <c r="K93" s="170"/>
      <c r="L93" s="170"/>
      <c r="M93" s="170"/>
      <c r="N93" s="170"/>
      <c r="O93" s="170"/>
      <c r="P93" s="168"/>
      <c r="Q93" s="4189">
        <v>1000</v>
      </c>
      <c r="R93" s="4190"/>
      <c r="S93" s="283"/>
      <c r="T93" s="283"/>
      <c r="U93" s="283"/>
      <c r="AA93" s="512"/>
      <c r="AB93" s="512"/>
    </row>
    <row r="94" spans="1:28" s="271" customFormat="1" ht="11.7" customHeight="1">
      <c r="A94" s="170"/>
      <c r="B94" s="170"/>
      <c r="C94" s="170"/>
      <c r="D94" s="168"/>
      <c r="E94" s="168"/>
      <c r="H94" s="172" t="s">
        <v>2682</v>
      </c>
      <c r="I94" s="294"/>
      <c r="J94" s="172" t="s">
        <v>1530</v>
      </c>
      <c r="K94" s="172" t="s">
        <v>3876</v>
      </c>
      <c r="L94" s="172"/>
      <c r="M94" s="172"/>
      <c r="N94" s="172"/>
      <c r="O94" s="172"/>
      <c r="P94" s="294"/>
      <c r="Q94" s="4189">
        <v>800</v>
      </c>
      <c r="R94" s="4190"/>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4189">
        <v>1500</v>
      </c>
      <c r="R95" s="4190"/>
      <c r="S95" s="283"/>
      <c r="T95" s="283"/>
      <c r="U95" s="283"/>
      <c r="AA95" s="512"/>
      <c r="AB95" s="512"/>
    </row>
    <row r="96" spans="1:28" s="271" customFormat="1" ht="11.7" customHeight="1">
      <c r="A96" s="170"/>
      <c r="B96" s="170"/>
      <c r="C96" s="170"/>
      <c r="D96" s="168"/>
      <c r="E96" s="168"/>
      <c r="F96" s="170" t="s">
        <v>4193</v>
      </c>
      <c r="I96" s="168"/>
      <c r="J96" s="170" t="s">
        <v>4734</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4733</v>
      </c>
      <c r="I97" s="168"/>
      <c r="J97" s="170" t="s">
        <v>1763</v>
      </c>
      <c r="K97" s="170"/>
      <c r="L97" s="170"/>
      <c r="M97" s="170"/>
      <c r="N97" s="170"/>
      <c r="O97" s="170"/>
      <c r="P97" s="168"/>
      <c r="Q97" s="4189">
        <v>3000</v>
      </c>
      <c r="R97" s="4190"/>
      <c r="S97" s="283"/>
      <c r="T97" s="283"/>
      <c r="U97" s="283"/>
      <c r="AA97" s="512"/>
      <c r="AB97" s="512"/>
    </row>
    <row r="98" spans="1:28" s="271" customFormat="1" ht="11.7" customHeight="1">
      <c r="A98" s="170"/>
      <c r="B98" s="172"/>
      <c r="C98" s="170"/>
      <c r="D98" s="168"/>
      <c r="E98" s="168"/>
      <c r="F98" s="170" t="s">
        <v>3439</v>
      </c>
      <c r="I98" s="168"/>
      <c r="J98" s="170" t="s">
        <v>3440</v>
      </c>
      <c r="K98" s="170"/>
      <c r="L98" s="170" t="s">
        <v>2821</v>
      </c>
      <c r="M98" s="170"/>
      <c r="N98" s="170"/>
      <c r="O98" s="170"/>
      <c r="P98" s="168"/>
      <c r="Q98" s="4189">
        <v>75</v>
      </c>
      <c r="R98" s="4190"/>
      <c r="S98" s="283"/>
      <c r="T98" s="283"/>
      <c r="U98" s="283"/>
      <c r="AA98" s="512"/>
      <c r="AB98" s="512"/>
    </row>
    <row r="99" spans="1:28" s="271" customFormat="1" ht="13.8">
      <c r="A99" s="170"/>
      <c r="B99" s="170" t="s">
        <v>1862</v>
      </c>
      <c r="C99" s="170"/>
      <c r="D99" s="1109" t="s">
        <v>3942</v>
      </c>
      <c r="E99" s="168"/>
      <c r="F99" s="170"/>
      <c r="G99" s="170"/>
      <c r="H99" s="170"/>
      <c r="I99" s="168"/>
      <c r="J99" s="170" t="s">
        <v>1730</v>
      </c>
      <c r="K99" s="170"/>
      <c r="L99" s="170"/>
      <c r="M99" s="170"/>
      <c r="N99" s="170"/>
      <c r="O99" s="170"/>
      <c r="P99" s="168"/>
      <c r="Q99" s="4194">
        <v>1800000</v>
      </c>
      <c r="R99" s="4195"/>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194">
        <v>3500000</v>
      </c>
      <c r="R100" s="4195"/>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92">
        <v>0.15</v>
      </c>
      <c r="R101" s="4193"/>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192">
        <v>0.15</v>
      </c>
      <c r="R102" s="4193"/>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2">
        <v>0.15</v>
      </c>
      <c r="R103" s="4193"/>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2">
        <v>0.15</v>
      </c>
      <c r="R104" s="4193"/>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2">
        <v>0.15</v>
      </c>
      <c r="R105" s="4193"/>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92">
        <v>0.15</v>
      </c>
      <c r="R106" s="4193"/>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92" t="s">
        <v>2373</v>
      </c>
      <c r="R107" s="4193"/>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3479</v>
      </c>
      <c r="C113" s="170"/>
      <c r="D113" s="168"/>
      <c r="E113" s="170"/>
      <c r="F113" s="170"/>
      <c r="G113" s="170"/>
      <c r="H113" s="168"/>
      <c r="I113" s="168"/>
      <c r="J113" s="170" t="s">
        <v>1763</v>
      </c>
      <c r="K113" s="170"/>
      <c r="L113" s="170"/>
      <c r="M113" s="170"/>
      <c r="N113" s="170"/>
      <c r="O113" s="170"/>
      <c r="P113" s="168"/>
      <c r="Q113" s="4189">
        <v>3000</v>
      </c>
      <c r="R113" s="4190"/>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191">
        <v>0.02</v>
      </c>
      <c r="R121" s="4191"/>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191">
        <v>7.0000000000000007E-2</v>
      </c>
      <c r="R122" s="4191"/>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191">
        <v>7.0000000000000007E-2</v>
      </c>
      <c r="R123" s="4191"/>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191">
        <v>0.03</v>
      </c>
      <c r="R124" s="4191"/>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191">
        <v>0.03</v>
      </c>
      <c r="R125" s="4191"/>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191">
        <v>0</v>
      </c>
      <c r="R126" s="4191"/>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91">
        <v>0.1</v>
      </c>
      <c r="R128" s="4191"/>
      <c r="S128" s="168"/>
      <c r="T128" s="168"/>
      <c r="U128" s="168"/>
      <c r="V128" s="936"/>
      <c r="W128" s="936"/>
      <c r="X128" s="171"/>
      <c r="AA128" s="512"/>
      <c r="AB128" s="512"/>
    </row>
    <row r="129" spans="1:28" s="271" customFormat="1" ht="11.7" customHeight="1">
      <c r="A129" s="276"/>
      <c r="B129" s="170"/>
      <c r="C129" s="170"/>
      <c r="D129" s="168"/>
      <c r="E129" s="168"/>
      <c r="F129" s="170"/>
      <c r="G129" s="170"/>
      <c r="H129" s="170" t="s">
        <v>3892</v>
      </c>
      <c r="I129" s="168"/>
      <c r="J129" s="170" t="s">
        <v>3893</v>
      </c>
      <c r="K129" s="170"/>
      <c r="L129" s="170"/>
      <c r="M129" s="170"/>
      <c r="N129" s="170"/>
      <c r="O129" s="170"/>
      <c r="P129" s="168"/>
      <c r="Q129" s="4188">
        <v>1000000</v>
      </c>
      <c r="R129" s="4188"/>
      <c r="S129" s="168"/>
      <c r="T129" s="168"/>
      <c r="U129" s="168"/>
      <c r="V129" s="936"/>
      <c r="W129" s="936"/>
      <c r="X129" s="171"/>
      <c r="AA129" s="512"/>
      <c r="AB129" s="512"/>
    </row>
    <row r="130" spans="1:28" s="271" customFormat="1" ht="11.7" customHeight="1">
      <c r="A130" s="170"/>
      <c r="B130" s="170"/>
      <c r="C130" s="170"/>
      <c r="D130" s="168"/>
      <c r="E130" s="168"/>
      <c r="F130" s="170"/>
      <c r="G130" s="170"/>
      <c r="H130" s="170" t="s">
        <v>3886</v>
      </c>
      <c r="I130" s="168"/>
      <c r="J130" s="170" t="s">
        <v>3894</v>
      </c>
      <c r="K130" s="170"/>
      <c r="L130" s="170"/>
      <c r="M130" s="170"/>
      <c r="N130" s="170"/>
      <c r="O130" s="170"/>
      <c r="P130" s="168"/>
      <c r="Q130" s="4188">
        <v>1500000</v>
      </c>
      <c r="R130" s="4188"/>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3895</v>
      </c>
      <c r="K131" s="170"/>
      <c r="L131" s="170"/>
      <c r="M131" s="170"/>
      <c r="N131" s="170"/>
      <c r="O131" s="170"/>
      <c r="P131" s="168"/>
      <c r="Q131" s="4188">
        <v>375000</v>
      </c>
      <c r="R131" s="4188"/>
      <c r="S131" s="277"/>
      <c r="T131" s="277"/>
      <c r="U131" s="168"/>
      <c r="V131" s="987"/>
      <c r="W131" s="987"/>
      <c r="X131" s="987"/>
      <c r="AA131" s="512"/>
      <c r="AB131" s="512"/>
    </row>
    <row r="132" spans="1:28" s="271" customFormat="1" ht="11.7" customHeight="1">
      <c r="A132" s="170"/>
      <c r="B132" s="170"/>
      <c r="C132" s="170"/>
      <c r="D132" s="168"/>
      <c r="E132" s="168"/>
      <c r="F132" s="170"/>
      <c r="G132" s="170"/>
      <c r="H132" s="170" t="s">
        <v>4726</v>
      </c>
      <c r="I132" s="168"/>
      <c r="J132" s="170"/>
      <c r="K132" s="170"/>
      <c r="L132" s="170"/>
      <c r="M132" s="170"/>
      <c r="N132" s="170"/>
      <c r="O132" s="170"/>
      <c r="P132" s="168"/>
      <c r="Q132" s="4188"/>
      <c r="R132" s="4188"/>
      <c r="S132" s="277"/>
      <c r="T132" s="277"/>
      <c r="U132" s="168"/>
      <c r="V132" s="987"/>
      <c r="W132" s="987"/>
      <c r="X132" s="987"/>
      <c r="AA132" s="512"/>
      <c r="AB132" s="512"/>
    </row>
    <row r="133" spans="1:28" s="271" customFormat="1" ht="11.7" customHeight="1">
      <c r="A133" s="170"/>
      <c r="B133" s="170"/>
      <c r="C133" s="170"/>
      <c r="D133" s="168"/>
      <c r="E133" s="168"/>
      <c r="F133" s="170" t="s">
        <v>2409</v>
      </c>
      <c r="G133" s="170"/>
      <c r="H133" s="170" t="s">
        <v>2679</v>
      </c>
      <c r="I133" s="168"/>
      <c r="J133" s="170" t="s">
        <v>3938</v>
      </c>
      <c r="K133" s="170"/>
      <c r="L133" s="170"/>
      <c r="M133" s="170"/>
      <c r="N133" s="170"/>
      <c r="O133" s="170"/>
      <c r="P133" s="168"/>
      <c r="Q133" s="4188">
        <v>4000000</v>
      </c>
      <c r="R133" s="4188"/>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2818</v>
      </c>
      <c r="F136" s="170" t="s">
        <v>2599</v>
      </c>
      <c r="G136" s="170"/>
      <c r="H136" s="168"/>
      <c r="I136" s="168"/>
      <c r="J136" s="170" t="s">
        <v>4727</v>
      </c>
      <c r="K136" s="170"/>
      <c r="L136" s="170"/>
      <c r="M136" s="170"/>
      <c r="N136" s="170"/>
      <c r="O136" s="170"/>
      <c r="P136" s="168"/>
      <c r="Q136" s="4191">
        <v>0.35</v>
      </c>
      <c r="R136" s="4191"/>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91" t="s">
        <v>2820</v>
      </c>
      <c r="R137" s="4191"/>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1">
        <v>0.05</v>
      </c>
      <c r="R139" s="4191"/>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1">
        <v>0.4</v>
      </c>
      <c r="R140" s="4191"/>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1">
        <v>0.02</v>
      </c>
      <c r="R141" s="4191"/>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6" t="s">
        <v>4173</v>
      </c>
      <c r="E154" s="283"/>
      <c r="F154" s="283"/>
    </row>
    <row r="155" spans="2:30" ht="10.5" customHeight="1">
      <c r="C155" s="4196"/>
      <c r="E155" s="283"/>
      <c r="F155" s="283"/>
    </row>
    <row r="156" spans="2:30" ht="10.5" customHeight="1">
      <c r="C156" s="4196"/>
      <c r="D156" s="1219" t="s">
        <v>4721</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3884</v>
      </c>
      <c r="O157" s="551" t="s">
        <v>4285</v>
      </c>
      <c r="P157" s="549" t="s">
        <v>2402</v>
      </c>
      <c r="Q157" s="549"/>
      <c r="R157" s="170"/>
      <c r="S157" s="389"/>
      <c r="T157" s="2052"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4286</v>
      </c>
      <c r="P158" s="554" t="s">
        <v>1522</v>
      </c>
      <c r="Q158" s="292"/>
      <c r="R158" s="170"/>
      <c r="S158" s="389"/>
      <c r="T158" s="501" t="s">
        <v>2403</v>
      </c>
      <c r="U158" s="501" t="s">
        <v>1951</v>
      </c>
      <c r="W158" s="431" t="s">
        <v>2403</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4287</v>
      </c>
      <c r="P159" s="554" t="s">
        <v>1524</v>
      </c>
      <c r="Q159" s="292"/>
      <c r="R159" s="170"/>
      <c r="S159" s="389"/>
      <c r="T159" s="501" t="s">
        <v>1523</v>
      </c>
      <c r="U159" s="501" t="s">
        <v>2486</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4288</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4289</v>
      </c>
      <c r="P161" s="554" t="s">
        <v>2080</v>
      </c>
      <c r="Q161" s="292"/>
      <c r="R161" s="170"/>
      <c r="S161" s="389"/>
      <c r="T161" s="501" t="s">
        <v>463</v>
      </c>
      <c r="U161" s="501" t="s">
        <v>2529</v>
      </c>
      <c r="W161" s="431" t="s">
        <v>2081</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4290</v>
      </c>
      <c r="P162" s="554" t="s">
        <v>2082</v>
      </c>
      <c r="Q162" s="292"/>
      <c r="R162" s="170"/>
      <c r="S162" s="389"/>
      <c r="T162" s="501" t="s">
        <v>2081</v>
      </c>
      <c r="U162" s="501" t="s">
        <v>332</v>
      </c>
      <c r="W162" s="431" t="s">
        <v>2085</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4291</v>
      </c>
      <c r="P163" s="554" t="s">
        <v>2084</v>
      </c>
      <c r="Q163" s="292"/>
      <c r="R163" s="170"/>
      <c r="S163" s="389"/>
      <c r="T163" s="501" t="s">
        <v>2083</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4292</v>
      </c>
      <c r="P164" s="554" t="s">
        <v>2086</v>
      </c>
      <c r="Q164" s="292"/>
      <c r="R164" s="170"/>
      <c r="S164" s="389"/>
      <c r="T164" s="501" t="s">
        <v>2085</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4293</v>
      </c>
      <c r="P165" s="554" t="s">
        <v>2088</v>
      </c>
      <c r="Q165" s="292"/>
      <c r="R165" s="170"/>
      <c r="S165" s="389"/>
      <c r="T165" s="501" t="s">
        <v>2087</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4294</v>
      </c>
      <c r="P166" s="554" t="s">
        <v>1962</v>
      </c>
      <c r="Q166" s="520"/>
      <c r="R166" s="170"/>
      <c r="S166" s="389"/>
      <c r="T166" s="501" t="s">
        <v>1782</v>
      </c>
      <c r="U166" s="501" t="s">
        <v>955</v>
      </c>
      <c r="W166" s="431" t="s">
        <v>1848</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4295</v>
      </c>
      <c r="P167" s="554" t="s">
        <v>180</v>
      </c>
      <c r="Q167" s="520"/>
      <c r="R167" s="283"/>
      <c r="S167" s="389"/>
      <c r="T167" s="501" t="s">
        <v>1963</v>
      </c>
      <c r="U167" s="501" t="s">
        <v>429</v>
      </c>
      <c r="W167" s="431" t="s">
        <v>2548</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4296</v>
      </c>
      <c r="P168" s="554" t="s">
        <v>182</v>
      </c>
      <c r="Q168" s="520"/>
      <c r="R168" s="170"/>
      <c r="S168" s="389"/>
      <c r="T168" s="501" t="s">
        <v>181</v>
      </c>
      <c r="U168" s="501" t="s">
        <v>1456</v>
      </c>
      <c r="W168" s="431" t="s">
        <v>2554</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4297</v>
      </c>
      <c r="P169" s="554" t="s">
        <v>443</v>
      </c>
      <c r="Q169" s="292"/>
      <c r="R169" s="170"/>
      <c r="S169" s="389"/>
      <c r="T169" s="501" t="s">
        <v>183</v>
      </c>
      <c r="U169" s="501" t="s">
        <v>2399</v>
      </c>
      <c r="W169" s="431" t="s">
        <v>2559</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4298</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4299</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4300</v>
      </c>
      <c r="P172" s="554" t="s">
        <v>449</v>
      </c>
      <c r="Q172" s="292"/>
      <c r="R172" s="170"/>
      <c r="S172" s="389"/>
      <c r="T172" s="501" t="s">
        <v>448</v>
      </c>
      <c r="U172" s="501" t="s">
        <v>184</v>
      </c>
      <c r="W172" s="431" t="s">
        <v>2071</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4301</v>
      </c>
      <c r="P173" s="554" t="s">
        <v>2262</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4302</v>
      </c>
      <c r="P174" s="554" t="s">
        <v>2264</v>
      </c>
      <c r="Q174" s="292"/>
      <c r="R174" s="170"/>
      <c r="S174" s="389"/>
      <c r="T174" s="501" t="s">
        <v>2263</v>
      </c>
      <c r="U174" s="501" t="s">
        <v>2487</v>
      </c>
      <c r="W174" s="431" t="s">
        <v>2074</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4303</v>
      </c>
      <c r="P175" s="554" t="s">
        <v>368</v>
      </c>
      <c r="Q175" s="292"/>
      <c r="R175" s="170"/>
      <c r="S175" s="389"/>
      <c r="T175" s="501" t="s">
        <v>1848</v>
      </c>
      <c r="U175" s="501" t="s">
        <v>2177</v>
      </c>
      <c r="W175" s="431" t="s">
        <v>2107</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4304</v>
      </c>
      <c r="P176" s="554" t="s">
        <v>370</v>
      </c>
      <c r="Q176" s="292"/>
      <c r="R176" s="170"/>
      <c r="S176" s="389"/>
      <c r="T176" s="501" t="s">
        <v>369</v>
      </c>
      <c r="U176" s="501" t="s">
        <v>2177</v>
      </c>
      <c r="W176" s="431" t="s">
        <v>2111</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4305</v>
      </c>
      <c r="P177" s="554" t="s">
        <v>2545</v>
      </c>
      <c r="Q177" s="292"/>
      <c r="R177" s="170"/>
      <c r="S177" s="389"/>
      <c r="T177" s="501" t="s">
        <v>1210</v>
      </c>
      <c r="U177" s="501" t="s">
        <v>2528</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4306</v>
      </c>
      <c r="P178" s="554" t="s">
        <v>2547</v>
      </c>
      <c r="Q178" s="292"/>
      <c r="R178" s="170"/>
      <c r="S178" s="389"/>
      <c r="T178" s="501" t="s">
        <v>2546</v>
      </c>
      <c r="U178" s="501" t="s">
        <v>2533</v>
      </c>
      <c r="W178" s="431" t="s">
        <v>1007</v>
      </c>
      <c r="X178" s="431" t="s">
        <v>3388</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4307</v>
      </c>
      <c r="P179" s="554" t="s">
        <v>2549</v>
      </c>
      <c r="Q179" s="292"/>
      <c r="R179" s="170"/>
      <c r="S179" s="389"/>
      <c r="T179" s="501" t="s">
        <v>2548</v>
      </c>
      <c r="U179" s="501" t="s">
        <v>1097</v>
      </c>
      <c r="W179" s="431" t="s">
        <v>2445</v>
      </c>
      <c r="X179" s="431" t="s">
        <v>3388</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4308</v>
      </c>
      <c r="P180" s="554" t="s">
        <v>2551</v>
      </c>
      <c r="Q180" s="292"/>
      <c r="R180" s="170"/>
      <c r="S180" s="389"/>
      <c r="T180" s="501" t="s">
        <v>2550</v>
      </c>
      <c r="U180" s="501" t="s">
        <v>323</v>
      </c>
      <c r="W180" s="431" t="s">
        <v>2447</v>
      </c>
      <c r="X180" s="431" t="s">
        <v>3388</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4309</v>
      </c>
      <c r="P181" s="554" t="s">
        <v>2553</v>
      </c>
      <c r="Q181" s="292"/>
      <c r="R181" s="170"/>
      <c r="S181" s="389"/>
      <c r="T181" s="501" t="s">
        <v>2552</v>
      </c>
      <c r="U181" s="501" t="s">
        <v>2484</v>
      </c>
      <c r="W181" s="431" t="s">
        <v>2449</v>
      </c>
      <c r="X181" s="431" t="s">
        <v>3388</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4310</v>
      </c>
      <c r="P182" s="554" t="s">
        <v>2555</v>
      </c>
      <c r="Q182" s="292"/>
      <c r="R182" s="170"/>
      <c r="S182" s="389"/>
      <c r="T182" s="501" t="s">
        <v>2554</v>
      </c>
      <c r="U182" s="501" t="s">
        <v>1332</v>
      </c>
      <c r="W182" s="431" t="s">
        <v>2452</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4311</v>
      </c>
      <c r="P183" s="554" t="s">
        <v>2556</v>
      </c>
      <c r="Q183" s="292"/>
      <c r="R183" s="170"/>
      <c r="S183" s="389"/>
      <c r="T183" s="501" t="s">
        <v>2557</v>
      </c>
      <c r="U183" s="501" t="s">
        <v>2591</v>
      </c>
      <c r="W183" s="431" t="s">
        <v>2231</v>
      </c>
      <c r="X183" s="431" t="s">
        <v>3388</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4312</v>
      </c>
      <c r="P184" s="554" t="s">
        <v>2558</v>
      </c>
      <c r="Q184" s="292"/>
      <c r="R184" s="170"/>
      <c r="S184" s="389"/>
      <c r="T184" s="501" t="s">
        <v>2559</v>
      </c>
      <c r="U184" s="501" t="s">
        <v>1917</v>
      </c>
      <c r="W184" s="431" t="s">
        <v>2331</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4313</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4314</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4315</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4316</v>
      </c>
      <c r="P188" s="554" t="s">
        <v>780</v>
      </c>
      <c r="Q188" s="520"/>
      <c r="R188" s="170"/>
      <c r="S188" s="389"/>
      <c r="T188" s="501" t="s">
        <v>2071</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4317</v>
      </c>
      <c r="P189" s="554" t="s">
        <v>2072</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4318</v>
      </c>
      <c r="P190" s="554" t="s">
        <v>2073</v>
      </c>
      <c r="Q190" s="520"/>
      <c r="R190" s="170"/>
      <c r="S190" s="389"/>
      <c r="T190" s="501" t="s">
        <v>2074</v>
      </c>
      <c r="U190" s="501" t="s">
        <v>2486</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4319</v>
      </c>
      <c r="P191" s="554" t="s">
        <v>2075</v>
      </c>
      <c r="Q191" s="520"/>
      <c r="R191" s="170"/>
      <c r="S191" s="389"/>
      <c r="T191" s="501" t="s">
        <v>1999</v>
      </c>
      <c r="U191" s="501" t="s">
        <v>2173</v>
      </c>
      <c r="W191" s="431" t="s">
        <v>356</v>
      </c>
      <c r="X191" s="431" t="s">
        <v>3388</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4320</v>
      </c>
      <c r="P192" s="554" t="s">
        <v>2106</v>
      </c>
      <c r="Q192" s="520"/>
      <c r="R192" s="170"/>
      <c r="S192" s="389"/>
      <c r="T192" s="501" t="s">
        <v>2076</v>
      </c>
      <c r="U192" s="501" t="s">
        <v>328</v>
      </c>
      <c r="W192" s="431" t="s">
        <v>2290</v>
      </c>
      <c r="X192" s="431" t="s">
        <v>3388</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4321</v>
      </c>
      <c r="P193" s="554" t="s">
        <v>2108</v>
      </c>
      <c r="Q193" s="520"/>
      <c r="R193" s="170"/>
      <c r="S193" s="389"/>
      <c r="T193" s="501" t="s">
        <v>2107</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4322</v>
      </c>
      <c r="P194" s="554" t="s">
        <v>2110</v>
      </c>
      <c r="Q194" s="520"/>
      <c r="R194" s="170"/>
      <c r="S194" s="389"/>
      <c r="T194" s="501" t="s">
        <v>2109</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4323</v>
      </c>
      <c r="P195" s="554" t="s">
        <v>2112</v>
      </c>
      <c r="Q195" s="520"/>
      <c r="R195" s="170"/>
      <c r="S195" s="389"/>
      <c r="T195" s="501" t="s">
        <v>2111</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4324</v>
      </c>
      <c r="P196" s="554" t="s">
        <v>2539</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4325</v>
      </c>
      <c r="P197" s="554" t="s">
        <v>1006</v>
      </c>
      <c r="Q197" s="520"/>
      <c r="R197" s="170"/>
      <c r="S197" s="389"/>
      <c r="T197" s="501" t="s">
        <v>2540</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4326</v>
      </c>
      <c r="P198" s="554" t="s">
        <v>2002</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4327</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4328</v>
      </c>
      <c r="P200" s="554" t="s">
        <v>2235</v>
      </c>
      <c r="Q200" s="520"/>
      <c r="R200" s="170"/>
      <c r="S200" s="389"/>
      <c r="T200" s="501" t="s">
        <v>16</v>
      </c>
      <c r="U200" s="501" t="s">
        <v>1666</v>
      </c>
      <c r="W200" s="431" t="s">
        <v>2064</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4329</v>
      </c>
      <c r="P201" s="554" t="s">
        <v>2237</v>
      </c>
      <c r="Q201" s="520"/>
      <c r="R201" s="170"/>
      <c r="S201" s="389"/>
      <c r="T201" s="501" t="s">
        <v>2236</v>
      </c>
      <c r="U201" s="501" t="s">
        <v>1210</v>
      </c>
      <c r="W201" s="431" t="s">
        <v>2066</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4330</v>
      </c>
      <c r="P202" s="554" t="s">
        <v>2239</v>
      </c>
      <c r="Q202" s="520"/>
      <c r="R202" s="170"/>
      <c r="S202" s="389"/>
      <c r="T202" s="555" t="s">
        <v>2238</v>
      </c>
      <c r="U202" s="555" t="s">
        <v>2244</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4331</v>
      </c>
      <c r="P203" s="554" t="s">
        <v>2269</v>
      </c>
      <c r="Q203" s="520"/>
      <c r="R203" s="170"/>
      <c r="S203" s="389"/>
      <c r="T203" s="501" t="s">
        <v>2561</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4332</v>
      </c>
      <c r="P204" s="554" t="s">
        <v>1773</v>
      </c>
      <c r="Q204" s="520"/>
      <c r="R204" s="170"/>
      <c r="S204" s="389"/>
      <c r="T204" s="501" t="s">
        <v>2240</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4333</v>
      </c>
      <c r="P205" s="554" t="s">
        <v>1775</v>
      </c>
      <c r="Q205" s="520"/>
      <c r="R205" s="170"/>
      <c r="S205" s="389"/>
      <c r="T205" s="501" t="s">
        <v>1749</v>
      </c>
      <c r="U205" s="501" t="s">
        <v>2489</v>
      </c>
      <c r="W205" s="431" t="s">
        <v>2483</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4334</v>
      </c>
      <c r="P206" s="554" t="s">
        <v>2158</v>
      </c>
      <c r="Q206" s="520"/>
      <c r="R206" s="170"/>
      <c r="S206" s="389"/>
      <c r="T206" s="501" t="s">
        <v>1774</v>
      </c>
      <c r="U206" s="501" t="s">
        <v>1313</v>
      </c>
      <c r="W206" s="431" t="s">
        <v>2493</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4335</v>
      </c>
      <c r="P207" s="554" t="s">
        <v>2159</v>
      </c>
      <c r="Q207" s="520"/>
      <c r="R207" s="170"/>
      <c r="S207" s="389"/>
      <c r="T207" s="501" t="s">
        <v>1776</v>
      </c>
      <c r="U207" s="501" t="s">
        <v>2008</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4336</v>
      </c>
      <c r="P208" s="554" t="s">
        <v>2444</v>
      </c>
      <c r="Q208" s="292"/>
      <c r="R208" s="170"/>
      <c r="S208" s="389"/>
      <c r="T208" s="501" t="s">
        <v>825</v>
      </c>
      <c r="U208" s="501" t="s">
        <v>2588</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4337</v>
      </c>
      <c r="P209" s="554" t="s">
        <v>2446</v>
      </c>
      <c r="Q209" s="292"/>
      <c r="R209" s="170"/>
      <c r="S209" s="389"/>
      <c r="T209" s="501" t="s">
        <v>2160</v>
      </c>
      <c r="U209" s="501" t="s">
        <v>2590</v>
      </c>
      <c r="W209" s="431" t="s">
        <v>161</v>
      </c>
      <c r="X209" s="431" t="s">
        <v>3388</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4338</v>
      </c>
      <c r="P210" s="554" t="s">
        <v>2448</v>
      </c>
      <c r="Q210" s="292"/>
      <c r="R210" s="170"/>
      <c r="S210" s="389"/>
      <c r="T210" s="555" t="s">
        <v>2445</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4339</v>
      </c>
      <c r="P211" s="554" t="s">
        <v>2450</v>
      </c>
      <c r="Q211" s="292"/>
      <c r="R211" s="170"/>
      <c r="S211" s="389"/>
      <c r="T211" s="501" t="s">
        <v>2562</v>
      </c>
      <c r="U211" s="501" t="s">
        <v>319</v>
      </c>
      <c r="W211" s="431" t="s">
        <v>2140</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4340</v>
      </c>
      <c r="P212" s="554" t="s">
        <v>2451</v>
      </c>
      <c r="Q212" s="292"/>
      <c r="R212" s="170"/>
      <c r="S212" s="389"/>
      <c r="T212" s="501" t="s">
        <v>2447</v>
      </c>
      <c r="U212" s="501" t="s">
        <v>1920</v>
      </c>
      <c r="W212" s="431" t="s">
        <v>2058</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4341</v>
      </c>
      <c r="P213" s="554" t="s">
        <v>2230</v>
      </c>
      <c r="Q213" s="292"/>
      <c r="R213" s="170"/>
      <c r="S213" s="389"/>
      <c r="T213" s="501" t="s">
        <v>2449</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4342</v>
      </c>
      <c r="P214" s="554" t="s">
        <v>708</v>
      </c>
      <c r="Q214" s="292"/>
      <c r="R214" s="170"/>
      <c r="S214" s="389"/>
      <c r="T214" s="501" t="s">
        <v>2452</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4343</v>
      </c>
      <c r="P215" s="554" t="s">
        <v>710</v>
      </c>
      <c r="Q215" s="292"/>
      <c r="R215" s="170"/>
      <c r="S215" s="389"/>
      <c r="T215" s="501" t="s">
        <v>2231</v>
      </c>
      <c r="U215" s="501" t="s">
        <v>655</v>
      </c>
      <c r="W215" s="431" t="s">
        <v>2532</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4344</v>
      </c>
      <c r="P216" s="554" t="s">
        <v>712</v>
      </c>
      <c r="Q216" s="292"/>
      <c r="R216" s="170"/>
      <c r="S216" s="389"/>
      <c r="T216" s="501" t="s">
        <v>709</v>
      </c>
      <c r="U216" s="501" t="s">
        <v>2481</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4345</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4346</v>
      </c>
      <c r="P218" s="554" t="s">
        <v>2222</v>
      </c>
      <c r="Q218" s="292"/>
      <c r="R218" s="170"/>
      <c r="S218" s="389"/>
      <c r="T218" s="555" t="s">
        <v>713</v>
      </c>
      <c r="U218" s="555" t="s">
        <v>2590</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4347</v>
      </c>
      <c r="P219" s="554" t="s">
        <v>2223</v>
      </c>
      <c r="Q219" s="292"/>
      <c r="R219" s="170"/>
      <c r="S219" s="389"/>
      <c r="T219" s="501" t="s">
        <v>2563</v>
      </c>
      <c r="U219" s="501" t="s">
        <v>2483</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4348</v>
      </c>
      <c r="P220" s="554" t="s">
        <v>2225</v>
      </c>
      <c r="Q220" s="292"/>
      <c r="R220" s="170"/>
      <c r="S220" s="389"/>
      <c r="T220" s="501" t="s">
        <v>2224</v>
      </c>
      <c r="U220" s="501" t="s">
        <v>1666</v>
      </c>
      <c r="W220" s="431" t="s">
        <v>1967</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4349</v>
      </c>
      <c r="P221" s="554" t="s">
        <v>684</v>
      </c>
      <c r="Q221" s="292"/>
      <c r="R221" s="170"/>
      <c r="S221" s="389"/>
      <c r="T221" s="501" t="s">
        <v>2226</v>
      </c>
      <c r="U221" s="501" t="s">
        <v>2584</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4350</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4351</v>
      </c>
      <c r="P223" s="554" t="s">
        <v>2271</v>
      </c>
      <c r="Q223" s="292"/>
      <c r="R223" s="170"/>
      <c r="S223" s="389"/>
      <c r="T223" s="501" t="s">
        <v>2270</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4352</v>
      </c>
      <c r="P224" s="554" t="s">
        <v>2300</v>
      </c>
      <c r="Q224" s="292"/>
      <c r="R224" s="170"/>
      <c r="S224" s="389"/>
      <c r="T224" s="501" t="s">
        <v>2331</v>
      </c>
      <c r="U224" s="501" t="s">
        <v>878</v>
      </c>
      <c r="W224" s="431" t="s">
        <v>2155</v>
      </c>
      <c r="X224" s="431" t="s">
        <v>3388</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4353</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4354</v>
      </c>
      <c r="P226" s="554" t="s">
        <v>633</v>
      </c>
      <c r="Q226" s="292"/>
      <c r="R226" s="170"/>
      <c r="S226" s="389"/>
      <c r="T226" s="501" t="s">
        <v>634</v>
      </c>
      <c r="U226" s="501" t="s">
        <v>2592</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4355</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4356</v>
      </c>
      <c r="P228" s="554" t="s">
        <v>2369</v>
      </c>
      <c r="Q228" s="292"/>
      <c r="R228" s="170"/>
      <c r="S228" s="389"/>
      <c r="T228" s="501" t="s">
        <v>2370</v>
      </c>
      <c r="U228" s="501" t="s">
        <v>196</v>
      </c>
      <c r="W228" s="431" t="s">
        <v>1924</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4357</v>
      </c>
      <c r="P229" s="554" t="s">
        <v>2392</v>
      </c>
      <c r="Q229" s="292"/>
      <c r="R229" s="170"/>
      <c r="S229" s="389"/>
      <c r="T229" s="501" t="s">
        <v>2393</v>
      </c>
      <c r="U229" s="501" t="s">
        <v>1665</v>
      </c>
      <c r="W229" s="431" t="s">
        <v>1928</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4358</v>
      </c>
      <c r="P230" s="554" t="s">
        <v>2394</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4359</v>
      </c>
      <c r="P231" s="554" t="s">
        <v>2395</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4360</v>
      </c>
      <c r="P232" s="554" t="s">
        <v>2361</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4361</v>
      </c>
      <c r="P233" s="554" t="s">
        <v>10</v>
      </c>
      <c r="Q233" s="292"/>
      <c r="R233" s="170"/>
      <c r="S233" s="389"/>
      <c r="T233" s="501" t="s">
        <v>2362</v>
      </c>
      <c r="U233" s="501" t="s">
        <v>2487</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4362</v>
      </c>
      <c r="P234" s="554" t="s">
        <v>12</v>
      </c>
      <c r="Q234" s="292"/>
      <c r="R234" s="170"/>
      <c r="S234" s="389"/>
      <c r="T234" s="501" t="s">
        <v>11</v>
      </c>
      <c r="U234" s="501" t="s">
        <v>666</v>
      </c>
      <c r="W234" s="431" t="s">
        <v>2514</v>
      </c>
      <c r="X234" s="431" t="s">
        <v>3388</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4363</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4364</v>
      </c>
      <c r="P236" s="554" t="s">
        <v>58</v>
      </c>
      <c r="Q236" s="292"/>
      <c r="R236" s="170"/>
      <c r="S236" s="389"/>
      <c r="T236" s="501" t="s">
        <v>57</v>
      </c>
      <c r="U236" s="501" t="s">
        <v>2584</v>
      </c>
      <c r="W236" s="431" t="s">
        <v>301</v>
      </c>
      <c r="X236" s="431" t="s">
        <v>3388</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4365</v>
      </c>
      <c r="P237" s="554" t="s">
        <v>60</v>
      </c>
      <c r="Q237" s="292"/>
      <c r="R237" s="170"/>
      <c r="S237" s="389"/>
      <c r="T237" s="501" t="s">
        <v>59</v>
      </c>
      <c r="U237" s="501" t="s">
        <v>357</v>
      </c>
      <c r="W237" s="431" t="s">
        <v>1825</v>
      </c>
      <c r="X237" s="431" t="s">
        <v>3388</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4366</v>
      </c>
      <c r="P238" s="554" t="s">
        <v>351</v>
      </c>
      <c r="Q238" s="292"/>
      <c r="R238" s="170"/>
      <c r="S238" s="389"/>
      <c r="T238" s="501" t="s">
        <v>61</v>
      </c>
      <c r="U238" s="501" t="s">
        <v>121</v>
      </c>
      <c r="W238" s="431" t="s">
        <v>1827</v>
      </c>
      <c r="X238" s="431" t="s">
        <v>3388</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4367</v>
      </c>
      <c r="P239" s="554" t="s">
        <v>353</v>
      </c>
      <c r="Q239" s="292"/>
      <c r="R239" s="170"/>
      <c r="S239" s="389"/>
      <c r="T239" s="501" t="s">
        <v>352</v>
      </c>
      <c r="U239" s="501" t="s">
        <v>2185</v>
      </c>
      <c r="W239" s="431" t="s">
        <v>1895</v>
      </c>
      <c r="X239" s="431" t="s">
        <v>3388</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4368</v>
      </c>
      <c r="P240" s="554" t="s">
        <v>355</v>
      </c>
      <c r="Q240" s="292"/>
      <c r="R240" s="170"/>
      <c r="S240" s="389"/>
      <c r="T240" s="501" t="s">
        <v>354</v>
      </c>
      <c r="U240" s="501" t="s">
        <v>953</v>
      </c>
      <c r="W240" s="431" t="s">
        <v>2244</v>
      </c>
      <c r="X240" s="431" t="s">
        <v>3388</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4369</v>
      </c>
      <c r="P241" s="554" t="s">
        <v>2289</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4370</v>
      </c>
      <c r="P242" s="554" t="s">
        <v>2291</v>
      </c>
      <c r="Q242" s="292"/>
      <c r="R242" s="170"/>
      <c r="S242" s="389"/>
      <c r="T242" s="501" t="s">
        <v>630</v>
      </c>
      <c r="U242" s="501" t="s">
        <v>1453</v>
      </c>
      <c r="W242" s="431" t="s">
        <v>2281</v>
      </c>
      <c r="X242" s="431" t="s">
        <v>3388</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4371</v>
      </c>
      <c r="P243" s="554" t="s">
        <v>2292</v>
      </c>
      <c r="Q243" s="292"/>
      <c r="R243" s="170"/>
      <c r="S243" s="389"/>
      <c r="T243" s="501" t="s">
        <v>2290</v>
      </c>
      <c r="U243" s="501" t="s">
        <v>669</v>
      </c>
      <c r="W243" s="431" t="s">
        <v>3378</v>
      </c>
      <c r="X243" s="431" t="s">
        <v>3388</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4372</v>
      </c>
      <c r="P244" s="554" t="s">
        <v>2293</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4373</v>
      </c>
      <c r="P245" s="554" t="s">
        <v>1559</v>
      </c>
      <c r="Q245" s="292"/>
      <c r="R245" s="170"/>
      <c r="S245" s="389"/>
      <c r="T245" s="501" t="s">
        <v>2848</v>
      </c>
      <c r="U245" s="501" t="s">
        <v>669</v>
      </c>
      <c r="W245" s="431" t="s">
        <v>2388</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4374</v>
      </c>
      <c r="P246" s="554" t="s">
        <v>1561</v>
      </c>
      <c r="Q246" s="292"/>
      <c r="R246" s="170"/>
      <c r="S246" s="389"/>
      <c r="T246" s="501" t="s">
        <v>2294</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3737</v>
      </c>
      <c r="L247" s="1012" t="s">
        <v>424</v>
      </c>
      <c r="M247" s="1099" t="s">
        <v>2599</v>
      </c>
      <c r="N247" s="1099" t="s">
        <v>1330</v>
      </c>
      <c r="O247" s="1288" t="s">
        <v>4375</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4376</v>
      </c>
      <c r="P248" s="554" t="s">
        <v>1565</v>
      </c>
      <c r="Q248" s="292"/>
      <c r="R248" s="170"/>
      <c r="S248" s="389"/>
      <c r="T248" s="501" t="s">
        <v>2564</v>
      </c>
      <c r="U248" s="501" t="s">
        <v>628</v>
      </c>
      <c r="W248" s="431" t="s">
        <v>234</v>
      </c>
      <c r="X248" s="431" t="s">
        <v>3388</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4377</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4378</v>
      </c>
      <c r="P250" s="554" t="s">
        <v>1742</v>
      </c>
      <c r="Q250" s="292"/>
      <c r="R250" s="170"/>
      <c r="S250" s="389"/>
      <c r="T250" s="501" t="s">
        <v>2849</v>
      </c>
      <c r="U250" s="501" t="s">
        <v>2242</v>
      </c>
      <c r="W250" s="431" t="s">
        <v>787</v>
      </c>
      <c r="X250" s="431" t="s">
        <v>3388</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4379</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4380</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4381</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4382</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4383</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4384</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4385</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4386</v>
      </c>
      <c r="P258" s="554" t="s">
        <v>2059</v>
      </c>
      <c r="Q258" s="292"/>
      <c r="R258" s="170"/>
      <c r="S258" s="389"/>
      <c r="T258" s="501" t="s">
        <v>237</v>
      </c>
      <c r="U258" s="501" t="s">
        <v>2529</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4387</v>
      </c>
      <c r="P259" s="554" t="s">
        <v>2061</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4388</v>
      </c>
      <c r="P260" s="554" t="s">
        <v>2063</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3736</v>
      </c>
      <c r="L261" s="1012" t="s">
        <v>424</v>
      </c>
      <c r="M261" s="1099" t="s">
        <v>2599</v>
      </c>
      <c r="N261" s="1099" t="s">
        <v>1205</v>
      </c>
      <c r="O261" s="1288" t="s">
        <v>4389</v>
      </c>
      <c r="P261" s="554" t="s">
        <v>2065</v>
      </c>
      <c r="Q261" s="292"/>
      <c r="R261" s="170"/>
      <c r="S261" s="389"/>
      <c r="T261" s="501" t="s">
        <v>2060</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4390</v>
      </c>
      <c r="P262" s="554" t="s">
        <v>2067</v>
      </c>
      <c r="Q262" s="292"/>
      <c r="R262" s="170"/>
      <c r="S262" s="389"/>
      <c r="T262" s="501" t="s">
        <v>2062</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4391</v>
      </c>
      <c r="P263" s="554" t="s">
        <v>2069</v>
      </c>
      <c r="Q263" s="292"/>
      <c r="R263" s="170"/>
      <c r="S263" s="389"/>
      <c r="T263" s="501" t="s">
        <v>2064</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4392</v>
      </c>
      <c r="P264" s="554" t="s">
        <v>675</v>
      </c>
      <c r="Q264" s="292"/>
      <c r="R264" s="170"/>
      <c r="S264" s="389"/>
      <c r="T264" s="501" t="s">
        <v>2066</v>
      </c>
      <c r="U264" s="501" t="s">
        <v>2586</v>
      </c>
      <c r="W264" s="431" t="s">
        <v>1679</v>
      </c>
      <c r="X264" s="431" t="s">
        <v>3388</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4393</v>
      </c>
      <c r="P265" s="554" t="s">
        <v>2328</v>
      </c>
      <c r="Q265" s="292"/>
      <c r="R265" s="170"/>
      <c r="S265" s="389"/>
      <c r="T265" s="501" t="s">
        <v>4735</v>
      </c>
      <c r="U265" s="501" t="s">
        <v>1206</v>
      </c>
      <c r="W265" s="431" t="s">
        <v>866</v>
      </c>
      <c r="X265" s="431" t="s">
        <v>3388</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4394</v>
      </c>
      <c r="P266" s="554" t="s">
        <v>2329</v>
      </c>
      <c r="Q266" s="292"/>
      <c r="R266" s="170"/>
      <c r="S266" s="389"/>
      <c r="T266" s="501" t="s">
        <v>2565</v>
      </c>
      <c r="U266" s="501" t="s">
        <v>2007</v>
      </c>
      <c r="W266" s="431" t="s">
        <v>1740</v>
      </c>
      <c r="X266" s="431" t="s">
        <v>3388</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4395</v>
      </c>
      <c r="P267" s="554" t="s">
        <v>1246</v>
      </c>
      <c r="Q267" s="292"/>
      <c r="R267" s="170"/>
      <c r="S267" s="389"/>
      <c r="T267" s="501" t="s">
        <v>2068</v>
      </c>
      <c r="U267" s="501" t="s">
        <v>199</v>
      </c>
      <c r="W267" s="431" t="s">
        <v>631</v>
      </c>
      <c r="X267" s="431" t="s">
        <v>3388</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4396</v>
      </c>
      <c r="P268" s="554" t="s">
        <v>1248</v>
      </c>
      <c r="Q268" s="292"/>
      <c r="R268" s="170"/>
      <c r="S268" s="389"/>
      <c r="T268" s="501" t="s">
        <v>2851</v>
      </c>
      <c r="U268" s="501" t="s">
        <v>662</v>
      </c>
      <c r="W268" s="431" t="s">
        <v>2288</v>
      </c>
      <c r="X268" s="431" t="s">
        <v>3388</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4397</v>
      </c>
      <c r="P269" s="554" t="s">
        <v>1250</v>
      </c>
      <c r="Q269" s="292"/>
      <c r="R269" s="170"/>
      <c r="S269" s="389"/>
      <c r="T269" s="501" t="s">
        <v>2070</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4398</v>
      </c>
      <c r="P270" s="554" t="s">
        <v>1251</v>
      </c>
      <c r="Q270" s="292"/>
      <c r="R270" s="170"/>
      <c r="S270" s="389"/>
      <c r="T270" s="501" t="s">
        <v>676</v>
      </c>
      <c r="U270" s="501" t="s">
        <v>2007</v>
      </c>
      <c r="W270" s="431" t="s">
        <v>1944</v>
      </c>
      <c r="X270" s="431" t="s">
        <v>3388</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4399</v>
      </c>
      <c r="P271" s="554" t="s">
        <v>1253</v>
      </c>
      <c r="Q271" s="292"/>
      <c r="R271" s="170"/>
      <c r="S271" s="389"/>
      <c r="T271" s="501" t="s">
        <v>2330</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4400</v>
      </c>
      <c r="P272" s="554" t="s">
        <v>2494</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4401</v>
      </c>
      <c r="P273" s="554" t="s">
        <v>82</v>
      </c>
      <c r="Q273" s="292"/>
      <c r="R273" s="170"/>
      <c r="S273" s="389"/>
      <c r="T273" s="501" t="s">
        <v>1249</v>
      </c>
      <c r="U273" s="501" t="s">
        <v>2244</v>
      </c>
      <c r="W273" s="431" t="s">
        <v>943</v>
      </c>
      <c r="X273" s="431" t="s">
        <v>3388</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4402</v>
      </c>
      <c r="P274" s="554" t="s">
        <v>83</v>
      </c>
      <c r="Q274" s="292"/>
      <c r="R274" s="170"/>
      <c r="S274" s="389"/>
      <c r="T274" s="501" t="s">
        <v>2483</v>
      </c>
      <c r="U274" s="501" t="s">
        <v>1105</v>
      </c>
      <c r="W274" s="431" t="s">
        <v>2307</v>
      </c>
      <c r="X274" s="431" t="s">
        <v>3388</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4403</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4404</v>
      </c>
      <c r="P276" s="554" t="s">
        <v>86</v>
      </c>
      <c r="Q276" s="292"/>
      <c r="R276" s="170"/>
      <c r="S276" s="389"/>
      <c r="T276" s="501" t="s">
        <v>2493</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4405</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4406</v>
      </c>
      <c r="P278" s="554" t="s">
        <v>1229</v>
      </c>
      <c r="Q278" s="292"/>
      <c r="R278" s="170"/>
      <c r="S278" s="389"/>
      <c r="T278" s="501" t="s">
        <v>85</v>
      </c>
      <c r="U278" s="501" t="s">
        <v>2183</v>
      </c>
      <c r="W278" s="431" t="s">
        <v>1756</v>
      </c>
      <c r="X278" s="431" t="s">
        <v>3388</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4407</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4408</v>
      </c>
      <c r="P280" s="554" t="s">
        <v>1233</v>
      </c>
      <c r="Q280" s="292"/>
      <c r="R280" s="170"/>
      <c r="S280" s="389"/>
      <c r="T280" s="501" t="s">
        <v>1228</v>
      </c>
      <c r="U280" s="501" t="s">
        <v>1950</v>
      </c>
      <c r="W280" s="431" t="s">
        <v>2353</v>
      </c>
      <c r="X280" s="431" t="s">
        <v>3388</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4409</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4410</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4411</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4412</v>
      </c>
      <c r="P284" s="554" t="s">
        <v>892</v>
      </c>
      <c r="Q284" s="292"/>
      <c r="R284" s="170"/>
      <c r="S284" s="389"/>
      <c r="T284" s="501" t="s">
        <v>1236</v>
      </c>
      <c r="U284" s="501" t="s">
        <v>2183</v>
      </c>
      <c r="W284" s="431" t="s">
        <v>78</v>
      </c>
      <c r="X284" s="431" t="s">
        <v>3388</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4413</v>
      </c>
      <c r="P285" s="554" t="s">
        <v>894</v>
      </c>
      <c r="Q285" s="292"/>
      <c r="R285" s="170"/>
      <c r="S285" s="389"/>
      <c r="T285" s="501" t="s">
        <v>2489</v>
      </c>
      <c r="U285" s="501" t="s">
        <v>1631</v>
      </c>
      <c r="W285" s="431" t="s">
        <v>2413</v>
      </c>
      <c r="X285" s="431" t="s">
        <v>3388</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4414</v>
      </c>
      <c r="P286" s="554" t="s">
        <v>896</v>
      </c>
      <c r="Q286" s="292"/>
      <c r="R286" s="170"/>
      <c r="S286" s="389"/>
      <c r="T286" s="501" t="s">
        <v>161</v>
      </c>
      <c r="U286" s="501" t="s">
        <v>2588</v>
      </c>
      <c r="W286" s="431" t="s">
        <v>613</v>
      </c>
      <c r="X286" s="431" t="s">
        <v>3388</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4415</v>
      </c>
      <c r="P287" s="554" t="s">
        <v>2138</v>
      </c>
      <c r="Q287" s="292"/>
      <c r="R287" s="170"/>
      <c r="S287" s="389"/>
      <c r="T287" s="501" t="s">
        <v>893</v>
      </c>
      <c r="U287" s="501" t="s">
        <v>179</v>
      </c>
      <c r="W287" s="431" t="s">
        <v>967</v>
      </c>
      <c r="X287" s="431" t="s">
        <v>3388</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4416</v>
      </c>
      <c r="P288" s="554" t="s">
        <v>2139</v>
      </c>
      <c r="Q288" s="292"/>
      <c r="R288" s="170"/>
      <c r="S288" s="389"/>
      <c r="T288" s="501" t="s">
        <v>895</v>
      </c>
      <c r="U288" s="501" t="s">
        <v>323</v>
      </c>
      <c r="W288" s="431" t="s">
        <v>1492</v>
      </c>
      <c r="X288" s="431" t="s">
        <v>3388</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4417</v>
      </c>
      <c r="P289" s="554" t="s">
        <v>2055</v>
      </c>
      <c r="Q289" s="292"/>
      <c r="R289" s="170"/>
      <c r="S289" s="389"/>
      <c r="T289" s="555" t="s">
        <v>897</v>
      </c>
      <c r="U289" s="555" t="s">
        <v>1096</v>
      </c>
      <c r="W289" s="431" t="s">
        <v>2337</v>
      </c>
      <c r="X289" s="431" t="s">
        <v>3388</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4418</v>
      </c>
      <c r="P290" s="554" t="s">
        <v>2057</v>
      </c>
      <c r="Q290" s="292"/>
      <c r="R290" s="170"/>
      <c r="S290" s="389"/>
      <c r="T290" s="501" t="s">
        <v>2566</v>
      </c>
      <c r="U290" s="501" t="s">
        <v>2483</v>
      </c>
      <c r="W290" s="431" t="s">
        <v>821</v>
      </c>
      <c r="X290" s="431" t="s">
        <v>3388</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4419</v>
      </c>
      <c r="P291" s="554" t="s">
        <v>597</v>
      </c>
      <c r="Q291" s="292"/>
      <c r="R291" s="170"/>
      <c r="S291" s="389"/>
      <c r="T291" s="501" t="s">
        <v>2140</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4420</v>
      </c>
      <c r="P292" s="554" t="s">
        <v>598</v>
      </c>
      <c r="Q292" s="292"/>
      <c r="R292" s="170"/>
      <c r="S292" s="389"/>
      <c r="T292" s="501" t="s">
        <v>2056</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4421</v>
      </c>
      <c r="P293" s="554" t="s">
        <v>600</v>
      </c>
      <c r="Q293" s="292"/>
      <c r="R293" s="170"/>
      <c r="S293" s="389"/>
      <c r="T293" s="501" t="s">
        <v>2058</v>
      </c>
      <c r="U293" s="501" t="s">
        <v>2533</v>
      </c>
      <c r="W293" s="431" t="s">
        <v>483</v>
      </c>
      <c r="X293" s="431" t="s">
        <v>3388</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4422</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4423</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4424</v>
      </c>
      <c r="P296" s="554" t="s">
        <v>604</v>
      </c>
      <c r="Q296" s="292"/>
      <c r="R296" s="170"/>
      <c r="S296" s="389"/>
      <c r="T296" s="501" t="s">
        <v>2567</v>
      </c>
      <c r="U296" s="501" t="s">
        <v>1327</v>
      </c>
      <c r="W296" s="431" t="s">
        <v>2492</v>
      </c>
      <c r="X296" s="431" t="s">
        <v>3388</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4425</v>
      </c>
      <c r="P297" s="554" t="s">
        <v>606</v>
      </c>
      <c r="Q297" s="292"/>
      <c r="R297" s="170"/>
      <c r="S297" s="389"/>
      <c r="T297" s="501" t="s">
        <v>601</v>
      </c>
      <c r="U297" s="501" t="s">
        <v>2589</v>
      </c>
      <c r="W297" s="431" t="s">
        <v>1057</v>
      </c>
      <c r="X297" s="431" t="s">
        <v>3388</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4426</v>
      </c>
      <c r="P298" s="554" t="s">
        <v>608</v>
      </c>
      <c r="Q298" s="292"/>
      <c r="R298" s="170"/>
      <c r="S298" s="389"/>
      <c r="T298" s="501" t="s">
        <v>2532</v>
      </c>
      <c r="U298" s="501" t="s">
        <v>2591</v>
      </c>
      <c r="W298" s="431" t="s">
        <v>1320</v>
      </c>
      <c r="X298" s="431" t="s">
        <v>3388</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4427</v>
      </c>
      <c r="P299" s="554" t="s">
        <v>547</v>
      </c>
      <c r="Q299" s="292"/>
      <c r="R299" s="170"/>
      <c r="S299" s="389"/>
      <c r="T299" s="501" t="s">
        <v>605</v>
      </c>
      <c r="U299" s="501" t="s">
        <v>2181</v>
      </c>
      <c r="W299" s="431" t="s">
        <v>179</v>
      </c>
      <c r="X299" s="431" t="s">
        <v>3388</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4428</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4429</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4430</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4431</v>
      </c>
      <c r="P303" s="554" t="s">
        <v>1964</v>
      </c>
      <c r="Q303" s="292"/>
      <c r="R303" s="170"/>
      <c r="S303" s="389"/>
      <c r="T303" s="501" t="s">
        <v>548</v>
      </c>
      <c r="U303" s="501" t="s">
        <v>160</v>
      </c>
      <c r="W303" s="431" t="s">
        <v>1607</v>
      </c>
      <c r="X303" s="431" t="s">
        <v>3388</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4432</v>
      </c>
      <c r="P304" s="554" t="s">
        <v>1966</v>
      </c>
      <c r="Q304" s="292"/>
      <c r="R304" s="170"/>
      <c r="S304" s="389"/>
      <c r="T304" s="501" t="s">
        <v>746</v>
      </c>
      <c r="U304" s="501" t="s">
        <v>1107</v>
      </c>
      <c r="W304" s="431" t="s">
        <v>1088</v>
      </c>
      <c r="X304" s="431" t="s">
        <v>3388</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4433</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4434</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4435</v>
      </c>
      <c r="P307" s="554" t="s">
        <v>338</v>
      </c>
      <c r="Q307" s="292"/>
      <c r="R307" s="170"/>
      <c r="S307" s="389"/>
      <c r="T307" s="501" t="s">
        <v>1965</v>
      </c>
      <c r="U307" s="501" t="s">
        <v>2244</v>
      </c>
      <c r="W307" s="431" t="s">
        <v>521</v>
      </c>
      <c r="X307" s="431" t="s">
        <v>3388</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4436</v>
      </c>
      <c r="P308" s="554" t="s">
        <v>340</v>
      </c>
      <c r="Q308" s="292"/>
      <c r="R308" s="170"/>
      <c r="S308" s="389"/>
      <c r="T308" s="501" t="s">
        <v>1967</v>
      </c>
      <c r="U308" s="501" t="s">
        <v>2592</v>
      </c>
      <c r="W308" s="431" t="s">
        <v>523</v>
      </c>
      <c r="X308" s="431" t="s">
        <v>3388</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4437</v>
      </c>
      <c r="P309" s="554" t="s">
        <v>342</v>
      </c>
      <c r="Q309" s="292"/>
      <c r="R309" s="170"/>
      <c r="S309" s="389"/>
      <c r="T309" s="501" t="s">
        <v>335</v>
      </c>
      <c r="U309" s="501" t="s">
        <v>1950</v>
      </c>
      <c r="W309" s="431" t="s">
        <v>529</v>
      </c>
      <c r="X309" s="431" t="s">
        <v>3388</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4438</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4439</v>
      </c>
      <c r="P311" s="554" t="s">
        <v>1940</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4440</v>
      </c>
      <c r="P312" s="554" t="s">
        <v>1942</v>
      </c>
      <c r="Q312" s="292"/>
      <c r="R312" s="170"/>
      <c r="S312" s="389"/>
      <c r="T312" s="501" t="s">
        <v>341</v>
      </c>
      <c r="U312" s="501" t="s">
        <v>2399</v>
      </c>
      <c r="W312" s="431" t="s">
        <v>2095</v>
      </c>
      <c r="X312" s="431" t="s">
        <v>3388</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4441</v>
      </c>
      <c r="P313" s="554" t="s">
        <v>2154</v>
      </c>
      <c r="Q313" s="292"/>
      <c r="R313" s="170"/>
      <c r="S313" s="389"/>
      <c r="T313" s="555" t="s">
        <v>343</v>
      </c>
      <c r="U313" s="555" t="s">
        <v>1877</v>
      </c>
      <c r="W313" s="431" t="s">
        <v>3385</v>
      </c>
      <c r="X313" s="431" t="s">
        <v>3388</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4442</v>
      </c>
      <c r="P314" s="554" t="s">
        <v>153</v>
      </c>
      <c r="Q314" s="292"/>
      <c r="R314" s="170"/>
      <c r="S314" s="389"/>
      <c r="T314" s="501" t="s">
        <v>345</v>
      </c>
      <c r="U314" s="501" t="s">
        <v>175</v>
      </c>
      <c r="W314" s="431" t="s">
        <v>2248</v>
      </c>
      <c r="X314" s="431" t="s">
        <v>3388</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4443</v>
      </c>
      <c r="P315" s="554" t="s">
        <v>154</v>
      </c>
      <c r="Q315" s="292"/>
      <c r="R315" s="170"/>
      <c r="S315" s="389"/>
      <c r="T315" s="501" t="s">
        <v>1941</v>
      </c>
      <c r="U315" s="501" t="s">
        <v>106</v>
      </c>
      <c r="W315" s="431" t="s">
        <v>398</v>
      </c>
      <c r="X315" s="431" t="s">
        <v>3388</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4444</v>
      </c>
      <c r="P316" s="554" t="s">
        <v>1580</v>
      </c>
      <c r="Q316" s="292"/>
      <c r="R316" s="170"/>
      <c r="S316" s="389"/>
      <c r="T316" s="501" t="s">
        <v>195</v>
      </c>
      <c r="U316" s="501" t="s">
        <v>1665</v>
      </c>
      <c r="W316" s="431" t="s">
        <v>1840</v>
      </c>
      <c r="X316" s="431" t="s">
        <v>3388</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4445</v>
      </c>
      <c r="P317" s="554" t="s">
        <v>790</v>
      </c>
      <c r="Q317" s="292"/>
      <c r="R317" s="170"/>
      <c r="S317" s="389"/>
      <c r="T317" s="501" t="s">
        <v>2155</v>
      </c>
      <c r="U317" s="501" t="s">
        <v>195</v>
      </c>
      <c r="W317" s="431" t="s">
        <v>2272</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3388</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3388</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3388</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2484</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3388</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2416</v>
      </c>
      <c r="X342" s="431" t="s">
        <v>3388</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3388</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3388</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3388</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4736</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3388</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3388</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3388</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2865</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2872</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4737</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4738</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bZ02mkBIHhYMMakr7J5t2gv2dBsoQSNH3sha2ZYmbMST63dp68+NlfYOKmvcB0oTl6YJ/6wVqziMdMmCith37g==" saltValue="6r/R25gwFy2JINVB0kpiLA=="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33203125" defaultRowHeight="13.2"/>
  <cols>
    <col min="1" max="1" width="9.44140625" style="638" bestFit="1" customWidth="1"/>
    <col min="2" max="2" width="10.5546875" style="638" bestFit="1" customWidth="1"/>
    <col min="3" max="7" width="10.33203125" style="638" bestFit="1" customWidth="1"/>
    <col min="8" max="8" width="12.44140625" style="638" bestFit="1" customWidth="1"/>
    <col min="9" max="9" width="14.44140625" style="638" bestFit="1" customWidth="1"/>
    <col min="10" max="10" width="12.44140625" style="638" bestFit="1" customWidth="1"/>
    <col min="11" max="15" width="12.88671875" style="638" bestFit="1" customWidth="1"/>
    <col min="16" max="16" width="15.44140625" style="638" bestFit="1" customWidth="1"/>
    <col min="17" max="17" width="11.6640625" style="638" bestFit="1" customWidth="1"/>
    <col min="18" max="357" width="9.44140625" style="638" bestFit="1" customWidth="1"/>
    <col min="358" max="16384" width="9.33203125" style="638"/>
  </cols>
  <sheetData>
    <row r="1" spans="1:1" ht="15.6">
      <c r="A1" s="2321" t="s">
        <v>979</v>
      </c>
    </row>
    <row r="2" spans="1:1" ht="13.8">
      <c r="A2" s="1327" t="str">
        <f>'Part I-Project Information'!F34</f>
        <v>Brennan Place</v>
      </c>
    </row>
    <row r="3" spans="1:1" ht="13.8">
      <c r="A3" s="1327" t="str">
        <f>CONCATENATE('Part I-Project Information'!F38,", ", 'Part I-Project Information'!J39," County")</f>
        <v>Columbus, Muscogee County</v>
      </c>
    </row>
    <row r="5" spans="1:1" ht="12.75" customHeight="1">
      <c r="A5" s="1365" t="str">
        <f>'Project Narrative'!$A$5</f>
        <v xml:space="preserve">Brennan Place is a proposed all new construction Family community located on Brennan Street in Columbus, Muscogee County. The development plan is for two- and three-story walk-up residential buildings and a community building to house gathering space, business center, exercise room and, management office.
The development will increase access to affordable housing for families in Columbus, a noted goal for the surrounding community.  
Unit amenities will include Energy Star appliances in the kitchen, including range, refrigerator, dishwasher, and microwave. Additional amenities will include carpet in bedrooms and living areas, vinyl flooring in the kitchen, bathroom, and laundry areas; washer/dryer sets, ceiling fans, mini-blinds, and central heating and air. Community amenities will include the above mentioned as well as a picnic area and other outdoor gathering spaces.  
Brennan Place is within 1.5 miles of a number of positive, desirable activities and sites including the medical offices, pharmacies, churches, post office, restaurants, retail stores, and food stores. 
With more than 25 years of experience, Main Street Homes is an industry leader in the development and rehabilitation of multi-family properties, with a primary focus on the development of affordable housing. To-date, 22 properties have been developed by Main Street Homes throughout the southeast through the affordable housing tax credit program.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4454</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5302</v>
      </c>
      <c r="H28" s="1330"/>
      <c r="I28" s="1330"/>
      <c r="J28" s="1330"/>
      <c r="K28" s="1330"/>
      <c r="L28" s="1334"/>
      <c r="M28" s="1330"/>
      <c r="N28" s="1330"/>
      <c r="O28" s="1330"/>
      <c r="P28" s="1340" t="s">
        <v>3864</v>
      </c>
    </row>
    <row r="29" spans="1:16" ht="14.25" customHeight="1">
      <c r="A29" s="1330"/>
      <c r="B29" s="2322" t="str">
        <f>'Part I-Project Information'!B6</f>
        <v>April 2019 Final</v>
      </c>
      <c r="C29" s="2322">
        <f>'Part I-Project Information'!C6</f>
        <v>0</v>
      </c>
      <c r="D29" s="2322">
        <f>'Part I-Project Information'!D6</f>
        <v>0</v>
      </c>
      <c r="E29" s="1319"/>
      <c r="F29" s="1334"/>
      <c r="G29" s="1332" t="s">
        <v>5303</v>
      </c>
      <c r="H29" s="1334"/>
      <c r="I29" s="1334"/>
      <c r="J29" s="1334"/>
      <c r="K29" s="1330"/>
      <c r="L29" s="1330"/>
      <c r="M29" s="1330"/>
      <c r="N29" s="1330"/>
      <c r="O29" s="1330" t="str">
        <f>'Part I-Project Information'!$O$6</f>
        <v>2019-042</v>
      </c>
      <c r="P29" s="1330"/>
    </row>
    <row r="30" spans="1:16" ht="12.75" customHeight="1">
      <c r="A30" s="1330"/>
      <c r="B30" s="2322">
        <f>'Part I-Project Information'!B7</f>
        <v>0</v>
      </c>
      <c r="C30" s="2322">
        <f>'Part I-Project Information'!C7</f>
        <v>0</v>
      </c>
      <c r="D30" s="2322">
        <f>'Part I-Project Information'!D7</f>
        <v>0</v>
      </c>
      <c r="E30" s="1319"/>
      <c r="F30" s="1330"/>
      <c r="G30" s="1335" t="s">
        <v>3317</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3793</v>
      </c>
      <c r="G32" s="1330"/>
      <c r="H32" s="1330"/>
      <c r="I32" s="1338">
        <f>'Part I-Project Information'!I9</f>
        <v>1000000</v>
      </c>
      <c r="J32" s="1338">
        <f>'Part I-Project Information'!J9</f>
        <v>0</v>
      </c>
      <c r="K32" s="1330"/>
      <c r="L32" s="1330" t="s">
        <v>3794</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Competitive Round only</v>
      </c>
      <c r="G34" s="1393"/>
      <c r="H34" s="1393"/>
      <c r="I34" s="2323" t="s">
        <v>3712</v>
      </c>
      <c r="J34" s="1330" t="s">
        <v>5304</v>
      </c>
      <c r="K34" s="1330"/>
      <c r="L34" s="1334"/>
      <c r="M34" s="1330"/>
      <c r="N34" s="1330"/>
      <c r="O34" s="1330" t="str">
        <f>'Part I-Project Information'!$O$11</f>
        <v>PA19-087</v>
      </c>
      <c r="P34" s="1330"/>
    </row>
    <row r="35" spans="1:16" ht="13.8">
      <c r="A35" s="1334"/>
      <c r="B35" s="1348"/>
      <c r="C35" s="1348"/>
      <c r="D35" s="1348"/>
      <c r="E35" s="1348"/>
      <c r="F35" s="1330"/>
      <c r="G35" s="1330"/>
      <c r="H35" s="1334"/>
      <c r="I35" s="1330"/>
      <c r="J35" s="1332" t="s">
        <v>5086</v>
      </c>
      <c r="K35" s="1337"/>
      <c r="L35" s="1330"/>
      <c r="M35" s="1334"/>
      <c r="N35" s="1330"/>
      <c r="O35" s="1330" t="str">
        <f>'Part I-Project Information'!$O$12</f>
        <v>Yes - see Comment</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5045</v>
      </c>
      <c r="C37" s="1348"/>
      <c r="D37" s="1348"/>
      <c r="E37" s="1348"/>
      <c r="F37" s="1412" t="str">
        <f>'Part I-Project Information'!F14</f>
        <v>No</v>
      </c>
      <c r="G37" s="1337" t="s">
        <v>5046</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3865</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5032</v>
      </c>
      <c r="M38" s="1330"/>
      <c r="N38" s="1330"/>
      <c r="O38" s="1330">
        <f>'Part I-Project Information'!O15</f>
        <v>0</v>
      </c>
      <c r="P38" s="1330">
        <f>'Part I-Project Information'!P15</f>
        <v>0</v>
      </c>
    </row>
    <row r="39" spans="1:16" ht="13.8">
      <c r="A39" s="1334"/>
      <c r="B39" s="1330" t="s">
        <v>3792</v>
      </c>
      <c r="C39" s="1330"/>
      <c r="D39" s="1330"/>
      <c r="E39" s="1330"/>
      <c r="F39" s="1412">
        <f>'Part I-Project Information'!F16</f>
        <v>0</v>
      </c>
      <c r="G39" s="1330" t="s">
        <v>5033</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4474</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3874</v>
      </c>
      <c r="C43" s="1330"/>
      <c r="D43" s="1330"/>
      <c r="E43" s="1330"/>
      <c r="F43" s="1330" t="str">
        <f>'Part I-Project Information'!F20</f>
        <v>Main Street Homes, LLC</v>
      </c>
      <c r="G43" s="1330">
        <f>'Part I-Project Information'!G20</f>
        <v>0</v>
      </c>
      <c r="H43" s="1330">
        <f>'Part I-Project Information'!H20</f>
        <v>0</v>
      </c>
      <c r="I43" s="1330" t="s">
        <v>1797</v>
      </c>
      <c r="J43" s="1330" t="str">
        <f>'Part I-Project Information'!J20</f>
        <v>C. Jeffrey Rice</v>
      </c>
      <c r="K43" s="1330">
        <f>'Part I-Project Information'!K20</f>
        <v>0</v>
      </c>
      <c r="L43" s="1330">
        <f>'Part I-Project Information'!L20</f>
        <v>0</v>
      </c>
      <c r="M43" s="1337" t="s">
        <v>1980</v>
      </c>
      <c r="N43" s="1330" t="str">
        <f>'Part I-Project Information'!N20</f>
        <v>Principal</v>
      </c>
      <c r="O43" s="1330">
        <f>'Part I-Project Information'!O20</f>
        <v>0</v>
      </c>
      <c r="P43" s="1330">
        <f>'Part I-Project Information'!P20</f>
        <v>0</v>
      </c>
    </row>
    <row r="44" spans="1:16" ht="12.75" customHeight="1">
      <c r="A44" s="1330"/>
      <c r="B44" s="1337" t="s">
        <v>1981</v>
      </c>
      <c r="C44" s="1330"/>
      <c r="D44" s="1330"/>
      <c r="E44" s="1330"/>
      <c r="F44" s="1330" t="str">
        <f>'Part I-Project Information'!F21</f>
        <v>6825 Halcyon Park Drive</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3873</v>
      </c>
      <c r="N44" s="1342"/>
      <c r="O44" s="1342"/>
      <c r="P44" s="1342"/>
    </row>
    <row r="45" spans="1:16" ht="12.75" customHeight="1">
      <c r="A45" s="1330"/>
      <c r="B45" s="1337" t="s">
        <v>618</v>
      </c>
      <c r="C45" s="1330"/>
      <c r="D45" s="1330"/>
      <c r="E45" s="1330"/>
      <c r="F45" s="1330" t="str">
        <f>'Part I-Project Information'!F22</f>
        <v>Montgomery</v>
      </c>
      <c r="G45" s="1330">
        <f>'Part I-Project Information'!G22</f>
        <v>0</v>
      </c>
      <c r="H45" s="1330">
        <f>'Part I-Project Information'!H22</f>
        <v>0</v>
      </c>
      <c r="I45" s="1337" t="s">
        <v>1799</v>
      </c>
      <c r="J45" s="1363" t="str">
        <f>'Part I-Project Information'!J22</f>
        <v>AL</v>
      </c>
      <c r="K45" s="1330"/>
      <c r="L45" s="1330"/>
      <c r="M45" s="1342"/>
      <c r="N45" s="1342"/>
      <c r="O45" s="1342"/>
      <c r="P45" s="1342"/>
    </row>
    <row r="46" spans="1:16" ht="13.8">
      <c r="A46" s="1330"/>
      <c r="B46" s="1337" t="s">
        <v>2229</v>
      </c>
      <c r="C46" s="1330"/>
      <c r="D46" s="1330"/>
      <c r="E46" s="1330"/>
      <c r="F46" s="1798">
        <f>'Part I-Project Information'!F23</f>
        <v>361176972</v>
      </c>
      <c r="G46" s="1798">
        <f>'Part I-Project Information'!G23</f>
        <v>0</v>
      </c>
      <c r="H46" s="1798">
        <f>'Part I-Project Information'!H23</f>
        <v>0</v>
      </c>
      <c r="I46" s="1337" t="s">
        <v>1720</v>
      </c>
      <c r="J46" s="1799">
        <f>'Part I-Project Information'!J23</f>
        <v>3342816820</v>
      </c>
      <c r="K46" s="1799">
        <f>'Part I-Project Information'!K23</f>
        <v>0</v>
      </c>
      <c r="L46" s="1334" t="s">
        <v>1719</v>
      </c>
      <c r="M46" s="1334">
        <f>'Part I-Project Information'!M23</f>
        <v>222</v>
      </c>
      <c r="N46" s="1337" t="s">
        <v>1721</v>
      </c>
      <c r="O46" s="1799">
        <f>'Part I-Project Information'!O23</f>
        <v>3342816820</v>
      </c>
      <c r="P46" s="1799">
        <f>'Part I-Project Information'!P23</f>
        <v>0</v>
      </c>
    </row>
    <row r="47" spans="1:16" ht="13.8">
      <c r="A47" s="1330"/>
      <c r="B47" s="1337" t="s">
        <v>1984</v>
      </c>
      <c r="C47" s="1330"/>
      <c r="D47" s="1330"/>
      <c r="E47" s="1330"/>
      <c r="F47" s="1330" t="str">
        <f>'Part I-Project Information'!F24</f>
        <v>jrice@guilfordcompanies.com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0</v>
      </c>
      <c r="P47" s="1799">
        <f>'Part I-Project Information'!P24</f>
        <v>0</v>
      </c>
    </row>
    <row r="48" spans="1:16" ht="13.8">
      <c r="A48" s="1334"/>
      <c r="B48" s="1330" t="s">
        <v>4473</v>
      </c>
      <c r="C48" s="1336"/>
      <c r="D48" s="1330"/>
      <c r="E48" s="1330"/>
      <c r="F48" s="1330"/>
      <c r="G48" s="1330"/>
      <c r="H48" s="1334"/>
      <c r="I48" s="1330"/>
      <c r="J48" s="1336"/>
      <c r="K48" s="1330"/>
      <c r="L48" s="1330"/>
      <c r="M48" s="1330"/>
      <c r="N48" s="1330"/>
      <c r="O48" s="1330"/>
      <c r="P48" s="1343"/>
    </row>
    <row r="49" spans="1:16" ht="13.8">
      <c r="A49" s="1330"/>
      <c r="B49" s="1330" t="s">
        <v>3874</v>
      </c>
      <c r="C49" s="1330"/>
      <c r="D49" s="1330"/>
      <c r="E49" s="1330"/>
      <c r="F49" s="1330" t="str">
        <f>'Part I-Project Information'!F26</f>
        <v>Main Street Homes, LLC</v>
      </c>
      <c r="G49" s="1330">
        <f>'Part I-Project Information'!G26</f>
        <v>0</v>
      </c>
      <c r="H49" s="1330">
        <f>'Part I-Project Information'!H26</f>
        <v>0</v>
      </c>
      <c r="I49" s="1330" t="s">
        <v>1797</v>
      </c>
      <c r="J49" s="1330" t="str">
        <f>'Part I-Project Information'!J26</f>
        <v>Terry M. Grimes</v>
      </c>
      <c r="K49" s="1330">
        <f>'Part I-Project Information'!K26</f>
        <v>0</v>
      </c>
      <c r="L49" s="1330">
        <f>'Part I-Project Information'!L26</f>
        <v>0</v>
      </c>
      <c r="M49" s="1337" t="s">
        <v>1980</v>
      </c>
      <c r="N49" s="1330" t="str">
        <f>'Part I-Project Information'!N26</f>
        <v>Assistant to Jeff Rice</v>
      </c>
      <c r="O49" s="1330">
        <f>'Part I-Project Information'!O26</f>
        <v>0</v>
      </c>
      <c r="P49" s="1330">
        <f>'Part I-Project Information'!P26</f>
        <v>0</v>
      </c>
    </row>
    <row r="50" spans="1:16" ht="12.75" customHeight="1">
      <c r="A50" s="1330"/>
      <c r="B50" s="1337" t="s">
        <v>1981</v>
      </c>
      <c r="C50" s="1330"/>
      <c r="D50" s="1330"/>
      <c r="E50" s="1330"/>
      <c r="F50" s="1330" t="str">
        <f>'Part I-Project Information'!F27</f>
        <v>6825 Halcyon Park Drive</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3873</v>
      </c>
      <c r="N50" s="1342"/>
      <c r="O50" s="1342"/>
      <c r="P50" s="1342"/>
    </row>
    <row r="51" spans="1:16" ht="12.75" customHeight="1">
      <c r="A51" s="1330"/>
      <c r="B51" s="1337" t="s">
        <v>618</v>
      </c>
      <c r="C51" s="1330"/>
      <c r="D51" s="1330"/>
      <c r="E51" s="1330"/>
      <c r="F51" s="1330" t="str">
        <f>'Part I-Project Information'!F28</f>
        <v>Montgomery</v>
      </c>
      <c r="G51" s="1330">
        <f>'Part I-Project Information'!G28</f>
        <v>0</v>
      </c>
      <c r="H51" s="1330">
        <f>'Part I-Project Information'!H28</f>
        <v>0</v>
      </c>
      <c r="I51" s="1337" t="s">
        <v>1799</v>
      </c>
      <c r="J51" s="1363">
        <f>'Part I-Project Information'!J28</f>
        <v>0</v>
      </c>
      <c r="K51" s="1330"/>
      <c r="L51" s="1330"/>
      <c r="M51" s="1342"/>
      <c r="N51" s="1342"/>
      <c r="O51" s="1342"/>
      <c r="P51" s="1342"/>
    </row>
    <row r="52" spans="1:16" ht="13.8">
      <c r="A52" s="1330"/>
      <c r="B52" s="1337" t="s">
        <v>2229</v>
      </c>
      <c r="C52" s="1330"/>
      <c r="D52" s="1330"/>
      <c r="E52" s="1330"/>
      <c r="F52" s="1798">
        <f>'Part I-Project Information'!F29</f>
        <v>361176972</v>
      </c>
      <c r="G52" s="1798">
        <f>'Part I-Project Information'!G29</f>
        <v>0</v>
      </c>
      <c r="H52" s="1798">
        <f>'Part I-Project Information'!H29</f>
        <v>0</v>
      </c>
      <c r="I52" s="1337" t="s">
        <v>1720</v>
      </c>
      <c r="J52" s="1799">
        <f>'Part I-Project Information'!J29</f>
        <v>3342816820</v>
      </c>
      <c r="K52" s="1799">
        <f>'Part I-Project Information'!K29</f>
        <v>0</v>
      </c>
      <c r="L52" s="1334" t="s">
        <v>1719</v>
      </c>
      <c r="M52" s="1334">
        <f>'Part I-Project Information'!M29</f>
        <v>0</v>
      </c>
      <c r="N52" s="1337" t="s">
        <v>1721</v>
      </c>
      <c r="O52" s="1799">
        <f>'Part I-Project Information'!O29</f>
        <v>3345233611</v>
      </c>
      <c r="P52" s="1799">
        <f>'Part I-Project Information'!P29</f>
        <v>0</v>
      </c>
    </row>
    <row r="53" spans="1:16" ht="13.8">
      <c r="A53" s="1330"/>
      <c r="B53" s="1337" t="s">
        <v>1984</v>
      </c>
      <c r="C53" s="1330"/>
      <c r="D53" s="1330"/>
      <c r="E53" s="1330"/>
      <c r="F53" s="1330" t="str">
        <f>'Part I-Project Information'!F30</f>
        <v>tgrimes@guilfordcompanies.com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0</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Brennan Place</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2699</v>
      </c>
      <c r="C58" s="1330"/>
      <c r="D58" s="1340"/>
      <c r="E58" s="1330"/>
      <c r="F58" s="1706" t="str">
        <f>'Part I-Project Information'!F35</f>
        <v>Brennan Road</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ht="13.8">
      <c r="A59" s="1340"/>
      <c r="B59" s="1330" t="s">
        <v>5087</v>
      </c>
      <c r="C59" s="1330"/>
      <c r="D59" s="1340"/>
      <c r="E59" s="1330"/>
      <c r="F59" s="1706" t="str">
        <f>'Part I-Project Information'!F36</f>
        <v>500 Brennan Road</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3679</v>
      </c>
      <c r="P59" s="1334">
        <f>'Part I-Project Information'!P36</f>
        <v>1</v>
      </c>
    </row>
    <row r="60" spans="1:16" ht="13.8">
      <c r="A60" s="1340"/>
      <c r="B60" s="1330" t="s">
        <v>3733</v>
      </c>
      <c r="C60" s="1330"/>
      <c r="D60" s="1340"/>
      <c r="E60" s="1330"/>
      <c r="F60" s="1330" t="s">
        <v>3714</v>
      </c>
      <c r="G60" s="1800">
        <f>'Part I-Project Information'!G37</f>
        <v>32.439373000000003</v>
      </c>
      <c r="H60" s="1800">
        <f>'Part I-Project Information'!H37</f>
        <v>0</v>
      </c>
      <c r="I60" s="1334" t="s">
        <v>3715</v>
      </c>
      <c r="J60" s="1800">
        <f>'Part I-Project Information'!J37</f>
        <v>-84.940493000000004</v>
      </c>
      <c r="K60" s="1800">
        <f>'Part I-Project Information'!K37</f>
        <v>0</v>
      </c>
      <c r="L60" s="1337" t="s">
        <v>2283</v>
      </c>
      <c r="M60" s="1330"/>
      <c r="N60" s="1330"/>
      <c r="O60" s="1801">
        <f>'Part I-Project Information'!O37</f>
        <v>5.2</v>
      </c>
      <c r="P60" s="1801">
        <f>'Part I-Project Information'!P37</f>
        <v>0</v>
      </c>
    </row>
    <row r="61" spans="1:16" ht="14.4">
      <c r="A61" s="1334"/>
      <c r="B61" s="1330" t="s">
        <v>618</v>
      </c>
      <c r="C61" s="1330"/>
      <c r="D61" s="1330"/>
      <c r="E61" s="1330"/>
      <c r="F61" s="1330" t="str">
        <f>'Part I-Project Information'!F38</f>
        <v>Columbus</v>
      </c>
      <c r="G61" s="1330">
        <f>'Part I-Project Information'!G38</f>
        <v>0</v>
      </c>
      <c r="H61" s="1330">
        <f>'Part I-Project Information'!H38</f>
        <v>0</v>
      </c>
      <c r="I61" s="1344" t="s">
        <v>5305</v>
      </c>
      <c r="J61" s="1798">
        <f>'Part I-Project Information'!J38</f>
        <v>319032054</v>
      </c>
      <c r="K61" s="1798">
        <f>'Part I-Project Information'!K38</f>
        <v>0</v>
      </c>
      <c r="L61" s="1330" t="str">
        <f>IF(AND(NOT(F57=""),NOT(F61="Select from list"),J61=""),"Enter Zip!","")</f>
        <v/>
      </c>
      <c r="M61" s="1345" t="s">
        <v>2905</v>
      </c>
      <c r="N61" s="1330"/>
      <c r="O61" s="1802" t="str">
        <f>'Part I-Project Information'!O38</f>
        <v>13215002902</v>
      </c>
      <c r="P61" s="1803">
        <f>'Part I-Project Information'!P38</f>
        <v>0</v>
      </c>
    </row>
    <row r="62" spans="1:16" ht="13.8">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Muscogee</v>
      </c>
      <c r="K62" s="1706"/>
      <c r="L62" s="1330"/>
      <c r="M62" s="1337" t="s">
        <v>451</v>
      </c>
      <c r="N62" s="1347" t="str">
        <f>'Part I-Project Information'!N39</f>
        <v>Yes</v>
      </c>
      <c r="O62" s="1334" t="s">
        <v>452</v>
      </c>
      <c r="P62" s="1347" t="str">
        <f>'Part I-Project Information'!P39</f>
        <v>No</v>
      </c>
    </row>
    <row r="63" spans="1:16" ht="13.8">
      <c r="A63" s="1334"/>
      <c r="B63" s="1330"/>
      <c r="C63" s="1330" t="s">
        <v>1558</v>
      </c>
      <c r="D63" s="1330"/>
      <c r="E63" s="1330"/>
      <c r="F63" s="1337" t="str">
        <f>'Part I-Project Information'!F40</f>
        <v>No</v>
      </c>
      <c r="G63" s="1330" t="s">
        <v>2781</v>
      </c>
      <c r="H63" s="1330"/>
      <c r="I63" s="1334" t="str">
        <f>'Part I-Project Information'!I40</f>
        <v>No</v>
      </c>
      <c r="J63" s="1334" t="s">
        <v>2801</v>
      </c>
      <c r="K63" s="1334" t="str">
        <f>'Part I-Project Information'!K40</f>
        <v>Urban</v>
      </c>
      <c r="L63" s="1330"/>
      <c r="M63" s="1337" t="s">
        <v>2611</v>
      </c>
      <c r="N63" s="1334" t="str">
        <f>'Part I-Project Information'!N40</f>
        <v>MSA</v>
      </c>
      <c r="O63" s="1330" t="str">
        <f>'Part I-Project Information'!O40</f>
        <v>Columbus</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5306</v>
      </c>
      <c r="D65" s="1330"/>
      <c r="E65" s="1330"/>
      <c r="F65" s="1348" t="s">
        <v>2762</v>
      </c>
      <c r="G65" s="1348"/>
      <c r="H65" s="1330" t="s">
        <v>736</v>
      </c>
      <c r="I65" s="1330"/>
      <c r="J65" s="1330" t="s">
        <v>737</v>
      </c>
      <c r="K65" s="1330"/>
      <c r="L65" s="1470" t="s">
        <v>5307</v>
      </c>
      <c r="M65" s="1330"/>
      <c r="N65" s="1330"/>
      <c r="O65" s="1330"/>
      <c r="P65" s="1330"/>
    </row>
    <row r="66" spans="1:16" ht="13.8">
      <c r="A66" s="1334"/>
      <c r="B66" s="1330" t="s">
        <v>5088</v>
      </c>
      <c r="C66" s="1330"/>
      <c r="D66" s="1330"/>
      <c r="E66" s="1330"/>
      <c r="F66" s="1804">
        <f>'Part I-Project Information'!F43</f>
        <v>8</v>
      </c>
      <c r="G66" s="1804">
        <f>'Part I-Project Information'!G43</f>
        <v>0</v>
      </c>
      <c r="H66" s="1804">
        <f>'Part I-Project Information'!H43</f>
        <v>15</v>
      </c>
      <c r="I66" s="1804">
        <f>'Part I-Project Information'!I43</f>
        <v>0</v>
      </c>
      <c r="J66" s="1804">
        <f>'Part I-Project Information'!J43</f>
        <v>135</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Columbus</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www.columbusga.gov</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B. H. "Skip" Henderson III</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100 10th Street, 6th Floor</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Columbus</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319010000</v>
      </c>
      <c r="G72" s="1798">
        <f>'Part I-Project Information'!G49</f>
        <v>0</v>
      </c>
      <c r="H72" s="1334" t="s">
        <v>1982</v>
      </c>
      <c r="I72" s="1799">
        <f>'Part I-Project Information'!I49</f>
        <v>7062254712</v>
      </c>
      <c r="J72" s="1799">
        <f>'Part I-Project Information'!J49</f>
        <v>0</v>
      </c>
      <c r="K72" s="1799">
        <f>'Part I-Project Information'!K49</f>
        <v>0</v>
      </c>
      <c r="L72" s="1337" t="s">
        <v>1800</v>
      </c>
      <c r="M72" s="1462" t="str">
        <f>'Part I-Project Information'!M49</f>
        <v>skiphenderson@columbusga.org</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5089</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72</v>
      </c>
      <c r="I77" s="1336"/>
      <c r="J77" s="1336"/>
      <c r="K77" s="1337" t="s">
        <v>3671</v>
      </c>
      <c r="L77" s="1330"/>
      <c r="M77" s="1356" t="s">
        <v>3670</v>
      </c>
      <c r="N77" s="1355">
        <f>'Part VI-Revenues &amp; Expenses'!$O$110</f>
        <v>0</v>
      </c>
      <c r="O77" s="1357" t="s">
        <v>3356</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2909</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ht="13.8">
      <c r="A84" s="1334"/>
      <c r="B84" s="1363"/>
      <c r="C84" s="1336" t="s">
        <v>2277</v>
      </c>
      <c r="D84" s="1330"/>
      <c r="E84" s="1330"/>
      <c r="F84" s="1330"/>
      <c r="G84" s="1330"/>
      <c r="H84" s="1364">
        <f>SUM(H85:H91)</f>
        <v>63</v>
      </c>
      <c r="I84" s="1364">
        <f>SUM(I85:I91)</f>
        <v>0</v>
      </c>
      <c r="J84" s="1334"/>
      <c r="K84" s="1336" t="s">
        <v>2773</v>
      </c>
      <c r="L84" s="1330"/>
      <c r="M84" s="1330"/>
      <c r="N84" s="1330"/>
      <c r="O84" s="1330"/>
      <c r="P84" s="1364">
        <f>SUM(P85:P91)</f>
        <v>62615</v>
      </c>
    </row>
    <row r="85" spans="1:16" ht="13.8">
      <c r="A85" s="1334"/>
      <c r="B85" s="1363"/>
      <c r="C85" s="1336"/>
      <c r="D85" s="1348" t="s">
        <v>4708</v>
      </c>
      <c r="E85" s="1330"/>
      <c r="F85" s="1330"/>
      <c r="G85" s="1330"/>
      <c r="H85" s="1364">
        <f>'Part VI-Revenues &amp; Expenses'!$O56</f>
        <v>0</v>
      </c>
      <c r="I85" s="1364">
        <f>'Part VI-Revenues &amp; Expenses'!$O81</f>
        <v>0</v>
      </c>
      <c r="J85" s="1334"/>
      <c r="K85" s="1336"/>
      <c r="L85" s="1348" t="s">
        <v>4708</v>
      </c>
      <c r="M85" s="1330"/>
      <c r="N85" s="1330"/>
      <c r="O85" s="1330"/>
      <c r="P85" s="1364">
        <f>'Part VI-Revenues &amp; Expenses'!$O145</f>
        <v>0</v>
      </c>
    </row>
    <row r="86" spans="1:16" ht="13.8">
      <c r="A86" s="1334"/>
      <c r="B86" s="1363"/>
      <c r="C86" s="1336"/>
      <c r="D86" s="1348" t="s">
        <v>4709</v>
      </c>
      <c r="E86" s="1330"/>
      <c r="F86" s="1330"/>
      <c r="G86" s="1330"/>
      <c r="H86" s="1364">
        <f>'Part VI-Revenues &amp; Expenses'!$O57</f>
        <v>0</v>
      </c>
      <c r="I86" s="1364">
        <f>'Part VI-Revenues &amp; Expenses'!$O82</f>
        <v>0</v>
      </c>
      <c r="J86" s="1334"/>
      <c r="K86" s="1336"/>
      <c r="L86" s="1348" t="s">
        <v>4709</v>
      </c>
      <c r="M86" s="1330"/>
      <c r="N86" s="1330"/>
      <c r="O86" s="1330"/>
      <c r="P86" s="1364">
        <f>'Part VI-Revenues &amp; Expenses'!$O146</f>
        <v>0</v>
      </c>
    </row>
    <row r="87" spans="1:16" ht="13.8">
      <c r="A87" s="1334"/>
      <c r="B87" s="1336"/>
      <c r="C87" s="1330"/>
      <c r="D87" s="1348" t="s">
        <v>4706</v>
      </c>
      <c r="E87" s="1348"/>
      <c r="F87" s="1330"/>
      <c r="G87" s="1330"/>
      <c r="H87" s="1364">
        <f>'Part VI-Revenues &amp; Expenses'!$O58</f>
        <v>50</v>
      </c>
      <c r="I87" s="1364">
        <f>'Part VI-Revenues &amp; Expenses'!$O83</f>
        <v>0</v>
      </c>
      <c r="J87" s="1330"/>
      <c r="K87" s="1330"/>
      <c r="L87" s="1348" t="s">
        <v>4706</v>
      </c>
      <c r="M87" s="1330"/>
      <c r="N87" s="1330"/>
      <c r="O87" s="1330"/>
      <c r="P87" s="1364">
        <f>'Part VI-Revenues &amp; Expenses'!$O147</f>
        <v>50033</v>
      </c>
    </row>
    <row r="88" spans="1:16" ht="13.8">
      <c r="A88" s="1334"/>
      <c r="B88" s="1330"/>
      <c r="C88" s="1330"/>
      <c r="D88" s="1348" t="s">
        <v>4707</v>
      </c>
      <c r="E88" s="1330"/>
      <c r="F88" s="1330"/>
      <c r="G88" s="1330"/>
      <c r="H88" s="1364">
        <f>'Part VI-Revenues &amp; Expenses'!$O59</f>
        <v>13</v>
      </c>
      <c r="I88" s="1364">
        <f>'Part VI-Revenues &amp; Expenses'!$O84</f>
        <v>0</v>
      </c>
      <c r="J88" s="1330"/>
      <c r="K88" s="1330"/>
      <c r="L88" s="1348" t="s">
        <v>4707</v>
      </c>
      <c r="M88" s="1330"/>
      <c r="N88" s="1330"/>
      <c r="O88" s="1330"/>
      <c r="P88" s="1364">
        <f>'Part VI-Revenues &amp; Expenses'!$O148</f>
        <v>12582</v>
      </c>
    </row>
    <row r="89" spans="1:16" ht="13.8">
      <c r="A89" s="1334"/>
      <c r="B89" s="1330"/>
      <c r="C89" s="1330"/>
      <c r="D89" s="1348" t="s">
        <v>4710</v>
      </c>
      <c r="E89" s="1348"/>
      <c r="F89" s="1330"/>
      <c r="G89" s="1330"/>
      <c r="H89" s="1364">
        <f>'Part VI-Revenues &amp; Expenses'!$O60</f>
        <v>0</v>
      </c>
      <c r="I89" s="1364">
        <f>'Part VI-Revenues &amp; Expenses'!$O85</f>
        <v>0</v>
      </c>
      <c r="J89" s="1330"/>
      <c r="K89" s="1330"/>
      <c r="L89" s="1348" t="s">
        <v>4710</v>
      </c>
      <c r="M89" s="1330"/>
      <c r="N89" s="1330"/>
      <c r="O89" s="1330"/>
      <c r="P89" s="1364">
        <f>'Part VI-Revenues &amp; Expenses'!$O149</f>
        <v>0</v>
      </c>
    </row>
    <row r="90" spans="1:16" ht="13.8">
      <c r="A90" s="1334"/>
      <c r="B90" s="1330"/>
      <c r="C90" s="1330"/>
      <c r="D90" s="1348" t="s">
        <v>4711</v>
      </c>
      <c r="E90" s="1348"/>
      <c r="F90" s="1330"/>
      <c r="G90" s="1330"/>
      <c r="H90" s="1364">
        <f>'Part VI-Revenues &amp; Expenses'!$O61</f>
        <v>0</v>
      </c>
      <c r="I90" s="1364">
        <f>'Part VI-Revenues &amp; Expenses'!$O86</f>
        <v>0</v>
      </c>
      <c r="J90" s="1330"/>
      <c r="K90" s="1330"/>
      <c r="L90" s="1348" t="s">
        <v>4711</v>
      </c>
      <c r="M90" s="1330"/>
      <c r="N90" s="1330"/>
      <c r="O90" s="1330"/>
      <c r="P90" s="1364">
        <f>'Part VI-Revenues &amp; Expenses'!$O150</f>
        <v>0</v>
      </c>
    </row>
    <row r="91" spans="1:16" ht="13.8">
      <c r="A91" s="1334"/>
      <c r="B91" s="1330"/>
      <c r="C91" s="1330"/>
      <c r="D91" s="1348" t="s">
        <v>4712</v>
      </c>
      <c r="E91" s="1348"/>
      <c r="F91" s="1330"/>
      <c r="G91" s="1330"/>
      <c r="H91" s="1364">
        <f>'Part VI-Revenues &amp; Expenses'!$O62</f>
        <v>0</v>
      </c>
      <c r="I91" s="1364">
        <f>'Part VI-Revenues &amp; Expenses'!$O87</f>
        <v>0</v>
      </c>
      <c r="J91" s="1330"/>
      <c r="K91" s="1330"/>
      <c r="L91" s="1348" t="s">
        <v>4712</v>
      </c>
      <c r="M91" s="1330"/>
      <c r="N91" s="1330"/>
      <c r="O91" s="1330"/>
      <c r="P91" s="1364">
        <f>'Part VI-Revenues &amp; Expenses'!$O151</f>
        <v>0</v>
      </c>
    </row>
    <row r="92" spans="1:16" ht="13.8">
      <c r="A92" s="1334"/>
      <c r="B92" s="1330"/>
      <c r="C92" s="1336" t="s">
        <v>253</v>
      </c>
      <c r="D92" s="1330"/>
      <c r="E92" s="1330"/>
      <c r="F92" s="1330"/>
      <c r="G92" s="1330"/>
      <c r="H92" s="1364">
        <f>'Part VI-Revenues &amp; Expenses'!$O$64</f>
        <v>9</v>
      </c>
      <c r="I92" s="1330"/>
      <c r="J92" s="1334"/>
      <c r="K92" s="1336" t="s">
        <v>2774</v>
      </c>
      <c r="L92" s="1330"/>
      <c r="M92" s="1330"/>
      <c r="N92" s="1330"/>
      <c r="O92" s="1330"/>
      <c r="P92" s="1364">
        <f>'Part VI-Revenues &amp; Expenses'!$O$153</f>
        <v>8653</v>
      </c>
    </row>
    <row r="93" spans="1:16" ht="13.8">
      <c r="A93" s="1334"/>
      <c r="B93" s="1330"/>
      <c r="C93" s="1336" t="s">
        <v>2407</v>
      </c>
      <c r="D93" s="1330"/>
      <c r="E93" s="1330"/>
      <c r="F93" s="1330"/>
      <c r="G93" s="1330"/>
      <c r="H93" s="1364">
        <f>H84+H92</f>
        <v>72</v>
      </c>
      <c r="I93" s="1330"/>
      <c r="J93" s="1334"/>
      <c r="K93" s="1336" t="s">
        <v>2775</v>
      </c>
      <c r="L93" s="1330"/>
      <c r="M93" s="1330"/>
      <c r="N93" s="1330"/>
      <c r="O93" s="1330"/>
      <c r="P93" s="1364">
        <f>P84+P92</f>
        <v>71268</v>
      </c>
    </row>
    <row r="94" spans="1:16" ht="13.8">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ht="13.8">
      <c r="A95" s="1334"/>
      <c r="B95" s="1330"/>
      <c r="C95" s="1336" t="s">
        <v>1793</v>
      </c>
      <c r="D95" s="1330"/>
      <c r="E95" s="1330"/>
      <c r="F95" s="1330"/>
      <c r="G95" s="1330"/>
      <c r="H95" s="1364">
        <f>+H93+H94</f>
        <v>72</v>
      </c>
      <c r="I95" s="1330"/>
      <c r="J95" s="1330"/>
      <c r="K95" s="1336" t="s">
        <v>1420</v>
      </c>
      <c r="L95" s="1330"/>
      <c r="M95" s="1330"/>
      <c r="N95" s="1330"/>
      <c r="O95" s="1330"/>
      <c r="P95" s="1364">
        <f>+P93+P94</f>
        <v>71268</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3</v>
      </c>
      <c r="I97" s="1330"/>
      <c r="J97" s="1330"/>
      <c r="K97" s="1336" t="s">
        <v>5308</v>
      </c>
      <c r="L97" s="1330"/>
      <c r="M97" s="1330"/>
      <c r="N97" s="1330"/>
      <c r="O97" s="1330"/>
      <c r="P97" s="1364">
        <f>'Part I-Project Information'!P74</f>
        <v>2200</v>
      </c>
    </row>
    <row r="98" spans="1:16" ht="13.8">
      <c r="A98" s="1334"/>
      <c r="B98" s="1334"/>
      <c r="C98" s="1330"/>
      <c r="D98" s="1363" t="s">
        <v>1997</v>
      </c>
      <c r="E98" s="1330"/>
      <c r="F98" s="1330"/>
      <c r="G98" s="1330"/>
      <c r="H98" s="1364">
        <f>'Part I-Project Information'!H75</f>
        <v>1</v>
      </c>
      <c r="I98" s="1330"/>
      <c r="J98" s="1330"/>
      <c r="K98" s="1336" t="s">
        <v>252</v>
      </c>
      <c r="L98" s="1330"/>
      <c r="M98" s="1330"/>
      <c r="N98" s="1330"/>
      <c r="O98" s="1330"/>
      <c r="P98" s="1364">
        <f>+P95+P97</f>
        <v>73468</v>
      </c>
    </row>
    <row r="99" spans="1:16" ht="13.8">
      <c r="A99" s="1334"/>
      <c r="B99" s="1334"/>
      <c r="C99" s="1330"/>
      <c r="D99" s="1363" t="s">
        <v>1998</v>
      </c>
      <c r="E99" s="1330"/>
      <c r="F99" s="1330"/>
      <c r="G99" s="1330"/>
      <c r="H99" s="1364">
        <f>+H97+H98</f>
        <v>4</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2842</v>
      </c>
      <c r="D101" s="1330"/>
      <c r="E101" s="1330"/>
      <c r="F101" s="1330"/>
      <c r="G101" s="1330"/>
      <c r="H101" s="1364">
        <f>'Part I-Project Information'!H78</f>
        <v>150</v>
      </c>
      <c r="I101" s="1330"/>
      <c r="J101" s="1330"/>
      <c r="K101" s="1365" t="s">
        <v>3849</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4485</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4957</v>
      </c>
      <c r="L107" s="1368" t="s">
        <v>2910</v>
      </c>
      <c r="M107" s="1364">
        <f>'Part I-Project Information'!M84</f>
        <v>72</v>
      </c>
      <c r="N107" s="1368" t="s">
        <v>2911</v>
      </c>
      <c r="O107" s="1364">
        <f>'Part I-Project Information'!O84</f>
        <v>0</v>
      </c>
      <c r="P107" s="1337" t="s">
        <v>4956</v>
      </c>
    </row>
    <row r="108" spans="1:16" ht="13.8">
      <c r="A108" s="1334"/>
      <c r="B108" s="1334"/>
      <c r="C108" s="1330"/>
      <c r="D108" s="1337"/>
      <c r="E108" s="1363"/>
      <c r="F108" s="1330"/>
      <c r="G108" s="1330"/>
      <c r="H108" s="1330"/>
      <c r="I108" s="1330"/>
      <c r="J108" s="1365"/>
      <c r="K108" s="1365"/>
      <c r="L108" s="1340" t="s">
        <v>2912</v>
      </c>
      <c r="M108" s="1364">
        <f>'Part I-Project Information'!M85</f>
        <v>0</v>
      </c>
      <c r="N108" s="1340" t="s">
        <v>3869</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ht="13.8">
      <c r="A111" s="1334"/>
      <c r="B111" s="1334"/>
      <c r="C111" s="1330"/>
      <c r="D111" s="1363" t="s">
        <v>2840</v>
      </c>
      <c r="E111" s="1363"/>
      <c r="F111" s="1363" t="s">
        <v>796</v>
      </c>
      <c r="G111" s="1330"/>
      <c r="H111" s="1364">
        <f>'Part VIII-Threshold Criteria'!K330</f>
        <v>0</v>
      </c>
      <c r="I111" s="1330"/>
      <c r="J111" s="1330"/>
      <c r="K111" s="1330" t="s">
        <v>2841</v>
      </c>
      <c r="L111" s="1330"/>
      <c r="M111" s="1330"/>
      <c r="N111" s="1369">
        <f>IF(H110=0,0,H111/H110)</f>
        <v>0</v>
      </c>
      <c r="O111" s="1340" t="s">
        <v>3693</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4863</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4932</v>
      </c>
      <c r="L119" s="1330"/>
      <c r="M119" s="1330"/>
      <c r="N119" s="232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2708</v>
      </c>
      <c r="D123" s="1330"/>
      <c r="E123" s="1330"/>
      <c r="F123" s="1348" t="s">
        <v>2600</v>
      </c>
      <c r="G123" s="1330"/>
      <c r="H123" s="1334" t="str">
        <f>'Part I-Project Information'!H100</f>
        <v>No</v>
      </c>
      <c r="I123" s="1330"/>
      <c r="J123" s="1330"/>
      <c r="K123" s="1337" t="s">
        <v>3886</v>
      </c>
      <c r="L123" s="1330"/>
      <c r="M123" s="1330"/>
      <c r="N123" s="1330"/>
      <c r="O123" s="1330"/>
      <c r="P123" s="1334" t="str">
        <f>'Part I-Project Information'!P100</f>
        <v>No</v>
      </c>
    </row>
    <row r="124" spans="1:16" ht="13.8">
      <c r="A124" s="1336"/>
      <c r="B124" s="1334"/>
      <c r="C124" s="1330"/>
      <c r="D124" s="1330"/>
      <c r="E124" s="1330"/>
      <c r="F124" s="1363" t="s">
        <v>3892</v>
      </c>
      <c r="G124" s="1330"/>
      <c r="H124" s="1334" t="str">
        <f>'Part I-Project Information'!H101</f>
        <v>No</v>
      </c>
      <c r="I124" s="1330"/>
      <c r="J124" s="1330"/>
      <c r="K124" s="1337" t="s">
        <v>4724</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2783</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3661</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1</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1000000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C. Jeffrey Rice</v>
      </c>
      <c r="D148" s="1393">
        <f>'Part I-Project Information'!D125</f>
        <v>0</v>
      </c>
      <c r="E148" s="1393">
        <f>'Part I-Project Information'!E125</f>
        <v>0</v>
      </c>
      <c r="F148" s="1393" t="str">
        <f>'Part I-Project Information'!F125</f>
        <v>Brennan Place</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5090</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t="str">
        <f>'Part I-Project Information'!I145</f>
        <v>No</v>
      </c>
      <c r="J168" s="1330"/>
      <c r="K168" s="1330"/>
      <c r="L168" s="1330"/>
      <c r="M168" s="1334"/>
      <c r="N168" s="1330"/>
      <c r="O168" s="1330"/>
      <c r="P168" s="1343"/>
    </row>
    <row r="169" spans="1:16" ht="13.8">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2701</v>
      </c>
      <c r="D175" s="1363"/>
      <c r="E175" s="1348" t="s">
        <v>5309</v>
      </c>
      <c r="F175" s="1348"/>
      <c r="G175" s="1348"/>
      <c r="H175" s="1330"/>
      <c r="I175" s="1344" t="str">
        <f>'Part I-Project Information'!I152</f>
        <v>No</v>
      </c>
      <c r="J175" s="1330"/>
      <c r="K175" s="1348" t="s">
        <v>5051</v>
      </c>
      <c r="L175" s="1348"/>
      <c r="M175" s="1348"/>
      <c r="N175" s="1330"/>
      <c r="O175" s="1344" t="str">
        <f>'Part I-Project Information'!O152</f>
        <v>No</v>
      </c>
      <c r="P175" s="1343"/>
    </row>
    <row r="176" spans="1:16" ht="13.8">
      <c r="A176" s="1334"/>
      <c r="B176" s="1330"/>
      <c r="C176" s="1363"/>
      <c r="D176" s="1363"/>
      <c r="E176" s="1348" t="s">
        <v>5310</v>
      </c>
      <c r="F176" s="1348"/>
      <c r="G176" s="1348"/>
      <c r="H176" s="1330"/>
      <c r="I176" s="1344" t="str">
        <f>'Part I-Project Information'!I153</f>
        <v>No</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5048</v>
      </c>
      <c r="D178" s="1363"/>
      <c r="E178" s="1363"/>
      <c r="F178" s="1334"/>
      <c r="G178" s="1330"/>
      <c r="H178" s="1330"/>
      <c r="I178" s="1344" t="str">
        <f>'Part I-Project Information'!I155</f>
        <v>No</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5081</v>
      </c>
      <c r="D184" s="1365"/>
      <c r="E184" s="1365"/>
      <c r="F184" s="1365"/>
      <c r="G184" s="1330" t="s">
        <v>4777</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4776</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4778</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4722</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4723</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4779</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ht="13.8">
      <c r="A195" s="1334"/>
      <c r="B195" s="1334"/>
      <c r="C195" s="1337" t="s">
        <v>2703</v>
      </c>
      <c r="D195" s="1337"/>
      <c r="E195" s="1337"/>
      <c r="F195" s="1337"/>
      <c r="G195" s="1337"/>
      <c r="H195" s="1330"/>
      <c r="I195" s="1334" t="str">
        <f>'Part I-Project Information'!I172</f>
        <v>Yes</v>
      </c>
      <c r="J195" s="1330" t="s">
        <v>761</v>
      </c>
      <c r="K195" s="1330"/>
      <c r="L195" s="1334">
        <f>'Part I-Project Information'!L172</f>
        <v>0</v>
      </c>
      <c r="M195" s="1330" t="s">
        <v>2326</v>
      </c>
      <c r="N195" s="1330"/>
      <c r="O195" s="1330"/>
      <c r="P195" s="1419">
        <f>'Part I-Project Information'!P172</f>
        <v>0</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2753</v>
      </c>
      <c r="K199" s="1330"/>
      <c r="L199" s="1330" t="s">
        <v>4488</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2845</v>
      </c>
      <c r="M204" s="1330"/>
      <c r="N204" s="1330"/>
      <c r="O204" s="1330"/>
      <c r="P204" s="1344" t="str">
        <f>'Part I-Project Information'!P181</f>
        <v>No</v>
      </c>
    </row>
    <row r="205" spans="1:16" ht="13.8">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t="str">
        <f>'Part I-Project Information'!P182</f>
        <v>No</v>
      </c>
    </row>
    <row r="206" spans="1:16" ht="13.8">
      <c r="A206" s="1334"/>
      <c r="B206" s="1334"/>
      <c r="C206" s="1330" t="s">
        <v>1285</v>
      </c>
      <c r="D206" s="1393"/>
      <c r="E206" s="1330"/>
      <c r="F206" s="1330"/>
      <c r="G206" s="1330"/>
      <c r="H206" s="1330"/>
      <c r="I206" s="1344" t="str">
        <f>'Part I-Project Information'!I183</f>
        <v>No</v>
      </c>
      <c r="J206" s="1330"/>
      <c r="K206" s="1330"/>
      <c r="L206" s="1330" t="s">
        <v>3481</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ht="13.8">
      <c r="A208" s="1334"/>
      <c r="B208" s="1334"/>
      <c r="C208" s="1330" t="s">
        <v>2902</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44409</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The Applicant submited a pre-application and the project team was "Qualified - Conditional". At the time of pre-application, Applicant did not have a specific site. The only change from the pre-application is that there is a known project location. Project team has not changed.
XIII. ADDITIONAL PROJECT INFORMATION: Section B, new properties: Owner is willing to forgo the Qualified Contract "cancellation option" after the close of the compliance period.</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2019-042 Brennan Place,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4453</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4250</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Brennan Place, LP</v>
      </c>
      <c r="I223" s="1348"/>
      <c r="J223" s="1348"/>
      <c r="K223" s="1348"/>
      <c r="L223" s="1348"/>
      <c r="M223" s="1348"/>
      <c r="N223" s="1348"/>
      <c r="O223" s="1337" t="s">
        <v>1989</v>
      </c>
      <c r="P223" s="1337"/>
      <c r="Q223" s="1330" t="str">
        <f>'Part II-Development Team'!Q5</f>
        <v>C. Jeffrey Rice</v>
      </c>
      <c r="R223" s="1348"/>
      <c r="S223" s="1348"/>
    </row>
    <row r="224" spans="1:19" ht="13.8">
      <c r="A224" s="1330"/>
      <c r="B224" s="1330"/>
      <c r="C224" s="1330"/>
      <c r="D224" s="1346"/>
      <c r="E224" s="1337" t="s">
        <v>1021</v>
      </c>
      <c r="F224" s="1340"/>
      <c r="G224" s="1330"/>
      <c r="H224" s="1330" t="str">
        <f>'Part II-Development Team'!H6</f>
        <v>6825 Halcyon Park Drive</v>
      </c>
      <c r="I224" s="1348"/>
      <c r="J224" s="1348"/>
      <c r="K224" s="1348"/>
      <c r="L224" s="1348"/>
      <c r="M224" s="1348"/>
      <c r="N224" s="1348"/>
      <c r="O224" s="1337" t="s">
        <v>1747</v>
      </c>
      <c r="P224" s="1330"/>
      <c r="Q224" s="1330" t="str">
        <f>'Part II-Development Team'!Q6</f>
        <v>Manager</v>
      </c>
      <c r="R224" s="1348"/>
      <c r="S224" s="1348"/>
    </row>
    <row r="225" spans="1:19" ht="13.8">
      <c r="A225" s="1330"/>
      <c r="B225" s="1330"/>
      <c r="C225" s="1330"/>
      <c r="D225" s="1346"/>
      <c r="E225" s="1337" t="s">
        <v>618</v>
      </c>
      <c r="F225" s="1330"/>
      <c r="G225" s="1330"/>
      <c r="H225" s="1330" t="str">
        <f>'Part II-Development Team'!H7</f>
        <v>Montgomery</v>
      </c>
      <c r="I225" s="1348"/>
      <c r="J225" s="1348"/>
      <c r="K225" s="1334" t="s">
        <v>762</v>
      </c>
      <c r="L225" s="1330">
        <f>'Part II-Development Team'!L7</f>
        <v>0</v>
      </c>
      <c r="M225" s="1348"/>
      <c r="N225" s="1348"/>
      <c r="O225" s="1337" t="s">
        <v>1721</v>
      </c>
      <c r="P225" s="1330"/>
      <c r="Q225" s="1330">
        <f>'Part II-Development Team'!Q7</f>
        <v>3342816820</v>
      </c>
      <c r="R225" s="1348"/>
      <c r="S225" s="1348"/>
    </row>
    <row r="226" spans="1:19" ht="13.8">
      <c r="A226" s="1330"/>
      <c r="B226" s="1330"/>
      <c r="C226" s="1330"/>
      <c r="D226" s="1346"/>
      <c r="E226" s="1337" t="s">
        <v>1799</v>
      </c>
      <c r="F226" s="1330"/>
      <c r="G226" s="1330"/>
      <c r="H226" s="1337" t="str">
        <f>'Part II-Development Team'!H8</f>
        <v>AL</v>
      </c>
      <c r="I226" s="1334" t="s">
        <v>2229</v>
      </c>
      <c r="J226" s="1798">
        <f>'Part II-Development Team'!J8</f>
        <v>361176972</v>
      </c>
      <c r="K226" s="1348"/>
      <c r="L226" s="1330" t="s">
        <v>3685</v>
      </c>
      <c r="M226" s="1330" t="str">
        <f>'Part II-Development Team'!M8</f>
        <v>For Profit</v>
      </c>
      <c r="N226" s="1330"/>
      <c r="O226" s="1337" t="s">
        <v>1979</v>
      </c>
      <c r="P226" s="1330"/>
      <c r="Q226" s="1330">
        <f>'Part II-Development Team'!Q8</f>
        <v>0</v>
      </c>
      <c r="R226" s="1348"/>
      <c r="S226" s="1348"/>
    </row>
    <row r="227" spans="1:19" ht="13.8">
      <c r="A227" s="1330"/>
      <c r="B227" s="1330"/>
      <c r="C227" s="1330"/>
      <c r="D227" s="1346"/>
      <c r="E227" s="1337" t="s">
        <v>4251</v>
      </c>
      <c r="F227" s="1330"/>
      <c r="G227" s="1330"/>
      <c r="H227" s="1799">
        <f>'Part II-Development Team'!H9</f>
        <v>3342816820</v>
      </c>
      <c r="I227" s="1799"/>
      <c r="J227" s="1344">
        <f>'Part II-Development Team'!J9</f>
        <v>0</v>
      </c>
      <c r="K227" s="1334" t="s">
        <v>1984</v>
      </c>
      <c r="L227" s="1706" t="str">
        <f>'Part II-Development Team'!L9</f>
        <v>jrice@guilfordcompanies.com</v>
      </c>
      <c r="M227" s="1706"/>
      <c r="N227" s="1706"/>
      <c r="O227" s="1706"/>
      <c r="P227" s="1706"/>
      <c r="Q227" s="1706"/>
      <c r="R227" s="1706"/>
      <c r="S227" s="1706"/>
    </row>
    <row r="228" spans="1:19" ht="13.8">
      <c r="A228" s="1330"/>
      <c r="B228" s="1330"/>
      <c r="C228" s="1330"/>
      <c r="D228" s="1346"/>
      <c r="E228" s="1332" t="s">
        <v>4250</v>
      </c>
      <c r="F228" s="1330"/>
      <c r="G228" s="1330"/>
      <c r="H228" s="1378"/>
      <c r="I228" s="1330"/>
      <c r="J228" s="1330"/>
      <c r="K228" s="1393"/>
      <c r="L228" s="1330"/>
      <c r="M228" s="1330"/>
      <c r="N228" s="1330" t="s">
        <v>4489</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Columbus GP, LLC</v>
      </c>
      <c r="I232" s="1348"/>
      <c r="J232" s="1348"/>
      <c r="K232" s="1348"/>
      <c r="L232" s="1348"/>
      <c r="M232" s="1348"/>
      <c r="N232" s="1348"/>
      <c r="O232" s="1337" t="s">
        <v>1989</v>
      </c>
      <c r="P232" s="1337"/>
      <c r="Q232" s="1330" t="str">
        <f>'Part II-Development Team'!Q14</f>
        <v>C. Jeffrey Rice</v>
      </c>
      <c r="R232" s="1348"/>
      <c r="S232" s="1348"/>
    </row>
    <row r="233" spans="1:19" ht="13.8">
      <c r="A233" s="1330"/>
      <c r="B233" s="1330"/>
      <c r="C233" s="1330"/>
      <c r="D233" s="1346"/>
      <c r="E233" s="1337" t="s">
        <v>1021</v>
      </c>
      <c r="F233" s="1340"/>
      <c r="G233" s="1330"/>
      <c r="H233" s="1330" t="str">
        <f>'Part II-Development Team'!H15</f>
        <v>6825 Halcyon Park Drive</v>
      </c>
      <c r="I233" s="1348"/>
      <c r="J233" s="1348"/>
      <c r="K233" s="1348"/>
      <c r="L233" s="1348"/>
      <c r="M233" s="1348"/>
      <c r="N233" s="1348"/>
      <c r="O233" s="1337" t="s">
        <v>1747</v>
      </c>
      <c r="P233" s="1330"/>
      <c r="Q233" s="1330" t="str">
        <f>'Part II-Development Team'!Q15</f>
        <v>Manager</v>
      </c>
      <c r="R233" s="1348"/>
      <c r="S233" s="1348"/>
    </row>
    <row r="234" spans="1:19" ht="13.8">
      <c r="A234" s="1330"/>
      <c r="B234" s="1330"/>
      <c r="C234" s="1330"/>
      <c r="D234" s="1346"/>
      <c r="E234" s="1337" t="s">
        <v>618</v>
      </c>
      <c r="F234" s="1330"/>
      <c r="G234" s="1330"/>
      <c r="H234" s="1330" t="str">
        <f>'Part II-Development Team'!H16</f>
        <v>Montgomery</v>
      </c>
      <c r="I234" s="1348"/>
      <c r="J234" s="1348"/>
      <c r="K234" s="1334" t="s">
        <v>2704</v>
      </c>
      <c r="L234" s="1330">
        <f>'Part II-Development Team'!L16</f>
        <v>0</v>
      </c>
      <c r="M234" s="1348"/>
      <c r="N234" s="1348"/>
      <c r="O234" s="1337" t="s">
        <v>1721</v>
      </c>
      <c r="P234" s="1330"/>
      <c r="Q234" s="1799">
        <f>'Part II-Development Team'!Q16</f>
        <v>3342816820</v>
      </c>
      <c r="R234" s="1799"/>
      <c r="S234" s="1799"/>
    </row>
    <row r="235" spans="1:19" ht="13.8">
      <c r="A235" s="1330"/>
      <c r="B235" s="1330"/>
      <c r="C235" s="1330"/>
      <c r="D235" s="1330"/>
      <c r="E235" s="1337" t="s">
        <v>1799</v>
      </c>
      <c r="F235" s="1330"/>
      <c r="G235" s="1330"/>
      <c r="H235" s="1337" t="str">
        <f>'Part II-Development Team'!H17</f>
        <v>AL</v>
      </c>
      <c r="I235" s="1330"/>
      <c r="J235" s="1330"/>
      <c r="K235" s="1334" t="s">
        <v>2229</v>
      </c>
      <c r="L235" s="1798">
        <f>'Part II-Development Team'!L17</f>
        <v>361176972</v>
      </c>
      <c r="M235" s="1348"/>
      <c r="N235" s="1330"/>
      <c r="O235" s="1337" t="s">
        <v>1979</v>
      </c>
      <c r="P235" s="1330"/>
      <c r="Q235" s="1799">
        <f>'Part II-Development Team'!Q17</f>
        <v>0</v>
      </c>
      <c r="R235" s="1799"/>
      <c r="S235" s="1799"/>
    </row>
    <row r="236" spans="1:19" ht="13.8">
      <c r="A236" s="1330"/>
      <c r="B236" s="1330"/>
      <c r="C236" s="1330"/>
      <c r="D236" s="1346"/>
      <c r="E236" s="1337" t="s">
        <v>4251</v>
      </c>
      <c r="F236" s="1330"/>
      <c r="G236" s="1330"/>
      <c r="H236" s="1799">
        <f>'Part II-Development Team'!H18</f>
        <v>3342816820</v>
      </c>
      <c r="I236" s="1799"/>
      <c r="J236" s="1344">
        <f>'Part II-Development Team'!J18</f>
        <v>0</v>
      </c>
      <c r="K236" s="1334" t="s">
        <v>1984</v>
      </c>
      <c r="L236" s="1706" t="str">
        <f>'Part II-Development Team'!L18</f>
        <v>jrice@guilfordcompanies.com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4251</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4251</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1988</v>
      </c>
      <c r="D250" s="1348" t="s">
        <v>1859</v>
      </c>
      <c r="E250" s="1330"/>
      <c r="F250" s="1330"/>
      <c r="G250" s="1330"/>
      <c r="H250" s="1330"/>
      <c r="I250" s="1330"/>
      <c r="J250" s="1330"/>
      <c r="K250" s="1332" t="s">
        <v>4250</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Affordable Equity Partners, Inc</v>
      </c>
      <c r="I251" s="1348"/>
      <c r="J251" s="1348"/>
      <c r="K251" s="1348"/>
      <c r="L251" s="1348"/>
      <c r="M251" s="1348"/>
      <c r="N251" s="1348"/>
      <c r="O251" s="1337" t="s">
        <v>1989</v>
      </c>
      <c r="P251" s="1337"/>
      <c r="Q251" s="1330" t="str">
        <f>'Part II-Development Team'!Q33</f>
        <v>Brian Kimes</v>
      </c>
      <c r="R251" s="1348"/>
      <c r="S251" s="1348"/>
    </row>
    <row r="252" spans="1:19" ht="13.8">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ht="13.8">
      <c r="A253" s="1330"/>
      <c r="B253" s="1330"/>
      <c r="C253" s="1330"/>
      <c r="D253" s="1346"/>
      <c r="E253" s="1337" t="s">
        <v>618</v>
      </c>
      <c r="F253" s="1330"/>
      <c r="G253" s="1330"/>
      <c r="H253" s="1330" t="str">
        <f>'Part II-Development Team'!H35</f>
        <v>Columbia</v>
      </c>
      <c r="I253" s="1348"/>
      <c r="J253" s="1348"/>
      <c r="K253" s="1334" t="s">
        <v>2704</v>
      </c>
      <c r="L253" s="1330" t="str">
        <f>'Part II-Development Team'!L35</f>
        <v>www.aepartners.com</v>
      </c>
      <c r="M253" s="1348"/>
      <c r="N253" s="1348"/>
      <c r="O253" s="1337" t="s">
        <v>1721</v>
      </c>
      <c r="P253" s="1330"/>
      <c r="Q253" s="1799">
        <f>'Part II-Development Team'!Q35</f>
        <v>5734432021</v>
      </c>
      <c r="R253" s="1799"/>
      <c r="S253" s="1799"/>
    </row>
    <row r="254" spans="1:19" ht="13.8">
      <c r="A254" s="1330"/>
      <c r="B254" s="1330"/>
      <c r="C254" s="1330"/>
      <c r="D254" s="1330"/>
      <c r="E254" s="1337" t="s">
        <v>1799</v>
      </c>
      <c r="F254" s="1330"/>
      <c r="G254" s="1330"/>
      <c r="H254" s="1337" t="str">
        <f>'Part II-Development Team'!H36</f>
        <v>MO</v>
      </c>
      <c r="I254" s="1330"/>
      <c r="J254" s="1330"/>
      <c r="K254" s="1334" t="s">
        <v>2229</v>
      </c>
      <c r="L254" s="1798">
        <f>'Part II-Development Team'!L36</f>
        <v>652034905</v>
      </c>
      <c r="M254" s="1348"/>
      <c r="N254" s="1330"/>
      <c r="O254" s="1337" t="s">
        <v>1979</v>
      </c>
      <c r="P254" s="1330"/>
      <c r="Q254" s="1799">
        <f>'Part II-Development Team'!Q36</f>
        <v>5734248811</v>
      </c>
      <c r="R254" s="1799"/>
      <c r="S254" s="1799"/>
    </row>
    <row r="255" spans="1:19" ht="13.8">
      <c r="A255" s="1330"/>
      <c r="B255" s="1330"/>
      <c r="C255" s="1330"/>
      <c r="D255" s="1346"/>
      <c r="E255" s="1337" t="s">
        <v>4251</v>
      </c>
      <c r="F255" s="1330"/>
      <c r="G255" s="1330"/>
      <c r="H255" s="1799">
        <f>'Part II-Development Team'!H37</f>
        <v>5734432021</v>
      </c>
      <c r="I255" s="1799"/>
      <c r="J255" s="1344">
        <f>'Part II-Development Team'!J37</f>
        <v>0</v>
      </c>
      <c r="K255" s="1334" t="s">
        <v>1984</v>
      </c>
      <c r="L255" s="1706" t="str">
        <f>'Part II-Development Team'!L37</f>
        <v>bkimes@aepartners.com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Affordable Equity Partners, Inc</v>
      </c>
      <c r="I257" s="1348"/>
      <c r="J257" s="1348"/>
      <c r="K257" s="1348"/>
      <c r="L257" s="1348"/>
      <c r="M257" s="1348"/>
      <c r="N257" s="1348"/>
      <c r="O257" s="1337" t="s">
        <v>1989</v>
      </c>
      <c r="P257" s="1337"/>
      <c r="Q257" s="1330" t="str">
        <f>'Part II-Development Team'!Q39</f>
        <v>Brian Kimes</v>
      </c>
      <c r="R257" s="1348"/>
      <c r="S257" s="1348"/>
    </row>
    <row r="258" spans="1:19" ht="13.8">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ht="13.8">
      <c r="A259" s="1330"/>
      <c r="B259" s="1330"/>
      <c r="C259" s="1330"/>
      <c r="D259" s="1346"/>
      <c r="E259" s="1337" t="s">
        <v>618</v>
      </c>
      <c r="F259" s="1330"/>
      <c r="G259" s="1330"/>
      <c r="H259" s="1330" t="str">
        <f>'Part II-Development Team'!H41</f>
        <v>Columbia</v>
      </c>
      <c r="I259" s="1348"/>
      <c r="J259" s="1348"/>
      <c r="K259" s="1334" t="s">
        <v>2704</v>
      </c>
      <c r="L259" s="1330" t="str">
        <f>'Part II-Development Team'!L41</f>
        <v>www.aepartners.com</v>
      </c>
      <c r="M259" s="1348"/>
      <c r="N259" s="1348"/>
      <c r="O259" s="1337" t="s">
        <v>1721</v>
      </c>
      <c r="P259" s="1330"/>
      <c r="Q259" s="1799">
        <f>'Part II-Development Team'!Q41</f>
        <v>5734432021</v>
      </c>
      <c r="R259" s="1799"/>
      <c r="S259" s="1799"/>
    </row>
    <row r="260" spans="1:19" ht="13.8">
      <c r="A260" s="1330"/>
      <c r="B260" s="1330"/>
      <c r="C260" s="1330"/>
      <c r="D260" s="1330"/>
      <c r="E260" s="1337" t="s">
        <v>1799</v>
      </c>
      <c r="F260" s="1330"/>
      <c r="G260" s="1330"/>
      <c r="H260" s="1337" t="str">
        <f>'Part II-Development Team'!H42</f>
        <v>MO</v>
      </c>
      <c r="I260" s="1330"/>
      <c r="J260" s="1330"/>
      <c r="K260" s="1334" t="s">
        <v>2229</v>
      </c>
      <c r="L260" s="1798">
        <f>'Part II-Development Team'!L42</f>
        <v>652034905</v>
      </c>
      <c r="M260" s="1348"/>
      <c r="N260" s="1330"/>
      <c r="O260" s="1337" t="s">
        <v>1979</v>
      </c>
      <c r="P260" s="1330"/>
      <c r="Q260" s="1799">
        <f>'Part II-Development Team'!Q42</f>
        <v>5734248811</v>
      </c>
      <c r="R260" s="1799"/>
      <c r="S260" s="1799"/>
    </row>
    <row r="261" spans="1:19" ht="13.8">
      <c r="A261" s="1330"/>
      <c r="B261" s="1330"/>
      <c r="C261" s="1330"/>
      <c r="D261" s="1346"/>
      <c r="E261" s="1337" t="s">
        <v>4251</v>
      </c>
      <c r="F261" s="1330"/>
      <c r="G261" s="1330"/>
      <c r="H261" s="1799">
        <f>'Part II-Development Team'!H43</f>
        <v>5734432021</v>
      </c>
      <c r="I261" s="1799"/>
      <c r="J261" s="1344">
        <f>'Part II-Development Team'!J43</f>
        <v>0</v>
      </c>
      <c r="K261" s="1334" t="s">
        <v>1984</v>
      </c>
      <c r="L261" s="1706" t="str">
        <f>'Part II-Development Team'!L43</f>
        <v>bkimes@aepartners.com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2534</v>
      </c>
      <c r="D263" s="1348" t="s">
        <v>651</v>
      </c>
      <c r="E263" s="1330"/>
      <c r="F263" s="1330"/>
      <c r="G263" s="1330"/>
      <c r="H263" s="1330"/>
      <c r="I263" s="1330"/>
      <c r="J263" s="1330"/>
      <c r="K263" s="1332" t="s">
        <v>4250</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2704</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4251</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4250</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Main Street Homes, LLC</v>
      </c>
      <c r="I272" s="1348"/>
      <c r="J272" s="1348"/>
      <c r="K272" s="1348"/>
      <c r="L272" s="1348"/>
      <c r="M272" s="1348"/>
      <c r="N272" s="1348"/>
      <c r="O272" s="1337" t="s">
        <v>1989</v>
      </c>
      <c r="P272" s="1337"/>
      <c r="Q272" s="1330" t="str">
        <f>'Part II-Development Team'!Q54</f>
        <v>C. Jeffrey Rice</v>
      </c>
      <c r="R272" s="1348"/>
      <c r="S272" s="1348"/>
    </row>
    <row r="273" spans="1:19" ht="13.8">
      <c r="A273" s="1330"/>
      <c r="B273" s="1330"/>
      <c r="C273" s="1330"/>
      <c r="D273" s="1346"/>
      <c r="E273" s="1337" t="s">
        <v>1021</v>
      </c>
      <c r="F273" s="1340"/>
      <c r="G273" s="1330"/>
      <c r="H273" s="1330" t="str">
        <f>'Part II-Development Team'!H55</f>
        <v>6825 Halcyon Park Drive</v>
      </c>
      <c r="I273" s="1348"/>
      <c r="J273" s="1348"/>
      <c r="K273" s="1348"/>
      <c r="L273" s="1348"/>
      <c r="M273" s="1348"/>
      <c r="N273" s="1348"/>
      <c r="O273" s="1337" t="s">
        <v>1747</v>
      </c>
      <c r="P273" s="1330"/>
      <c r="Q273" s="1330" t="str">
        <f>'Part II-Development Team'!Q55</f>
        <v>Principal</v>
      </c>
      <c r="R273" s="1348"/>
      <c r="S273" s="1348"/>
    </row>
    <row r="274" spans="1:19" ht="13.8">
      <c r="A274" s="1330"/>
      <c r="B274" s="1330"/>
      <c r="C274" s="1330"/>
      <c r="D274" s="1346"/>
      <c r="E274" s="1337" t="s">
        <v>618</v>
      </c>
      <c r="F274" s="1330"/>
      <c r="G274" s="1330"/>
      <c r="H274" s="1330" t="str">
        <f>'Part II-Development Team'!H56</f>
        <v>Montgomery</v>
      </c>
      <c r="I274" s="1348"/>
      <c r="J274" s="1348"/>
      <c r="K274" s="1334" t="s">
        <v>2704</v>
      </c>
      <c r="L274" s="1330">
        <f>'Part II-Development Team'!L56</f>
        <v>0</v>
      </c>
      <c r="M274" s="1348"/>
      <c r="N274" s="1348"/>
      <c r="O274" s="1337" t="s">
        <v>1721</v>
      </c>
      <c r="P274" s="1330"/>
      <c r="Q274" s="1799">
        <f>'Part II-Development Team'!Q56</f>
        <v>3342816820</v>
      </c>
      <c r="R274" s="1799"/>
      <c r="S274" s="1799"/>
    </row>
    <row r="275" spans="1:19" ht="13.8">
      <c r="A275" s="1330"/>
      <c r="B275" s="1330"/>
      <c r="C275" s="1330"/>
      <c r="D275" s="1330"/>
      <c r="E275" s="1337" t="s">
        <v>1799</v>
      </c>
      <c r="F275" s="1330"/>
      <c r="G275" s="1330"/>
      <c r="H275" s="1337" t="str">
        <f>'Part II-Development Team'!H57</f>
        <v>AL</v>
      </c>
      <c r="I275" s="1330"/>
      <c r="J275" s="1330"/>
      <c r="K275" s="1334" t="s">
        <v>2229</v>
      </c>
      <c r="L275" s="1798">
        <f>'Part II-Development Team'!L57</f>
        <v>361176972</v>
      </c>
      <c r="M275" s="1348"/>
      <c r="N275" s="1330"/>
      <c r="O275" s="1337" t="s">
        <v>1979</v>
      </c>
      <c r="P275" s="1330"/>
      <c r="Q275" s="1799">
        <f>'Part II-Development Team'!Q57</f>
        <v>0</v>
      </c>
      <c r="R275" s="1799"/>
      <c r="S275" s="1799"/>
    </row>
    <row r="276" spans="1:19" ht="13.8">
      <c r="A276" s="1330"/>
      <c r="B276" s="1330"/>
      <c r="C276" s="1330"/>
      <c r="D276" s="1346"/>
      <c r="E276" s="1337" t="s">
        <v>4251</v>
      </c>
      <c r="F276" s="1330"/>
      <c r="G276" s="1330"/>
      <c r="H276" s="1799">
        <f>'Part II-Development Team'!H58</f>
        <v>3342816820</v>
      </c>
      <c r="I276" s="1799"/>
      <c r="J276" s="1344">
        <f>'Part II-Development Team'!J58</f>
        <v>0</v>
      </c>
      <c r="K276" s="1334" t="s">
        <v>1984</v>
      </c>
      <c r="L276" s="1706" t="str">
        <f>'Part II-Development Team'!L58</f>
        <v>jrice@guilfordcompanies.com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f>'Part II-Development Team'!H60</f>
        <v>0</v>
      </c>
      <c r="I278" s="1348"/>
      <c r="J278" s="1348"/>
      <c r="K278" s="1348"/>
      <c r="L278" s="1348"/>
      <c r="M278" s="1348"/>
      <c r="N278" s="1348"/>
      <c r="O278" s="1337" t="s">
        <v>1989</v>
      </c>
      <c r="P278" s="1337"/>
      <c r="Q278" s="1330">
        <f>'Part II-Development Team'!Q60</f>
        <v>0</v>
      </c>
      <c r="R278" s="1348"/>
      <c r="S278" s="1348"/>
    </row>
    <row r="279" spans="1:19" ht="13.8">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ht="13.8">
      <c r="A280" s="1330"/>
      <c r="B280" s="1330"/>
      <c r="C280" s="1330"/>
      <c r="D280" s="1346"/>
      <c r="E280" s="1337" t="s">
        <v>618</v>
      </c>
      <c r="F280" s="1330"/>
      <c r="G280" s="1330"/>
      <c r="H280" s="1330">
        <f>'Part II-Development Team'!H62</f>
        <v>0</v>
      </c>
      <c r="I280" s="1348"/>
      <c r="J280" s="1348"/>
      <c r="K280" s="1334" t="s">
        <v>2704</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f>'Part II-Development Team'!H63</f>
        <v>0</v>
      </c>
      <c r="I281" s="1330"/>
      <c r="J281" s="1330"/>
      <c r="K281" s="1334" t="s">
        <v>2229</v>
      </c>
      <c r="L281" s="1798">
        <f>'Part II-Development Team'!L63</f>
        <v>0</v>
      </c>
      <c r="M281" s="1348"/>
      <c r="N281" s="1330"/>
      <c r="O281" s="1337" t="s">
        <v>1979</v>
      </c>
      <c r="P281" s="1330"/>
      <c r="Q281" s="1799">
        <f>'Part II-Development Team'!Q63</f>
        <v>0</v>
      </c>
      <c r="R281" s="1799"/>
      <c r="S281" s="1799"/>
    </row>
    <row r="282" spans="1:19" ht="13.8">
      <c r="A282" s="1330"/>
      <c r="B282" s="1330"/>
      <c r="C282" s="1330"/>
      <c r="D282" s="1346"/>
      <c r="E282" s="1337" t="s">
        <v>4251</v>
      </c>
      <c r="F282" s="1330"/>
      <c r="G282" s="1330"/>
      <c r="H282" s="1799">
        <f>'Part II-Development Team'!H64</f>
        <v>0</v>
      </c>
      <c r="I282" s="1799"/>
      <c r="J282" s="1344">
        <f>'Part II-Development Team'!J64</f>
        <v>0</v>
      </c>
      <c r="K282" s="1334" t="s">
        <v>1984</v>
      </c>
      <c r="L282" s="1706">
        <f>'Part II-Development Team'!L64</f>
        <v>0</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4251</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4251</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4250</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4251</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Fairway Construction Company, Inc</v>
      </c>
      <c r="I304" s="1348"/>
      <c r="J304" s="1348"/>
      <c r="K304" s="1348"/>
      <c r="L304" s="1348"/>
      <c r="M304" s="1348"/>
      <c r="N304" s="1348"/>
      <c r="O304" s="1337" t="s">
        <v>1989</v>
      </c>
      <c r="P304" s="1337"/>
      <c r="Q304" s="1330" t="str">
        <f>'Part II-Development Team'!Q86</f>
        <v>Will Markel</v>
      </c>
      <c r="R304" s="1348"/>
      <c r="S304" s="1348"/>
    </row>
    <row r="305" spans="1:19" ht="13.8">
      <c r="A305" s="1330"/>
      <c r="B305" s="1330"/>
      <c r="C305" s="1330"/>
      <c r="D305" s="1346"/>
      <c r="E305" s="1337" t="s">
        <v>1021</v>
      </c>
      <c r="F305" s="1340"/>
      <c r="G305" s="1330"/>
      <c r="H305" s="1330" t="str">
        <f>'Part II-Development Team'!H87</f>
        <v>206 Peach Way</v>
      </c>
      <c r="I305" s="1348"/>
      <c r="J305" s="1348"/>
      <c r="K305" s="1348"/>
      <c r="L305" s="1348"/>
      <c r="M305" s="1348"/>
      <c r="N305" s="1348"/>
      <c r="O305" s="1337" t="s">
        <v>1747</v>
      </c>
      <c r="P305" s="1330"/>
      <c r="Q305" s="1330" t="str">
        <f>'Part II-Development Team'!Q87</f>
        <v>Executive Vice President</v>
      </c>
      <c r="R305" s="1348"/>
      <c r="S305" s="1348"/>
    </row>
    <row r="306" spans="1:19" ht="13.8">
      <c r="A306" s="1330"/>
      <c r="B306" s="1330"/>
      <c r="C306" s="1330"/>
      <c r="D306" s="1346"/>
      <c r="E306" s="1337" t="s">
        <v>618</v>
      </c>
      <c r="F306" s="1330"/>
      <c r="G306" s="1330"/>
      <c r="H306" s="1330" t="str">
        <f>'Part II-Development Team'!H88</f>
        <v>Columbia</v>
      </c>
      <c r="I306" s="1348"/>
      <c r="J306" s="1348"/>
      <c r="K306" s="1334" t="s">
        <v>2704</v>
      </c>
      <c r="L306" s="1330" t="str">
        <f>'Part II-Development Team'!L88</f>
        <v>www.fairwayconstruction.net</v>
      </c>
      <c r="M306" s="1348"/>
      <c r="N306" s="1348"/>
      <c r="O306" s="1337" t="s">
        <v>1721</v>
      </c>
      <c r="P306" s="1330"/>
      <c r="Q306" s="1799">
        <f>'Part II-Development Team'!Q88</f>
        <v>5734432021</v>
      </c>
      <c r="R306" s="1799"/>
      <c r="S306" s="1799"/>
    </row>
    <row r="307" spans="1:19" ht="13.8">
      <c r="A307" s="1330"/>
      <c r="B307" s="1330"/>
      <c r="C307" s="1330"/>
      <c r="D307" s="1330"/>
      <c r="E307" s="1337" t="s">
        <v>1799</v>
      </c>
      <c r="F307" s="1330"/>
      <c r="G307" s="1330"/>
      <c r="H307" s="1337" t="str">
        <f>'Part II-Development Team'!H89</f>
        <v>MO</v>
      </c>
      <c r="I307" s="1330"/>
      <c r="J307" s="1330"/>
      <c r="K307" s="1334" t="s">
        <v>2229</v>
      </c>
      <c r="L307" s="1798">
        <f>'Part II-Development Team'!L89</f>
        <v>652034905</v>
      </c>
      <c r="M307" s="1348"/>
      <c r="N307" s="1330"/>
      <c r="O307" s="1337" t="s">
        <v>1979</v>
      </c>
      <c r="P307" s="1330"/>
      <c r="Q307" s="1799">
        <f>'Part II-Development Team'!Q89</f>
        <v>0</v>
      </c>
      <c r="R307" s="1799"/>
      <c r="S307" s="1799"/>
    </row>
    <row r="308" spans="1:19" ht="13.8">
      <c r="A308" s="1330"/>
      <c r="B308" s="1330"/>
      <c r="C308" s="1330"/>
      <c r="D308" s="1346"/>
      <c r="E308" s="1337" t="s">
        <v>4251</v>
      </c>
      <c r="F308" s="1330"/>
      <c r="G308" s="1330"/>
      <c r="H308" s="1799">
        <f>'Part II-Development Team'!H90</f>
        <v>5734432021</v>
      </c>
      <c r="I308" s="1799"/>
      <c r="J308" s="1344">
        <f>'Part II-Development Team'!J90</f>
        <v>0</v>
      </c>
      <c r="K308" s="1334" t="s">
        <v>1984</v>
      </c>
      <c r="L308" s="1706" t="str">
        <f>'Part II-Development Team'!L90</f>
        <v>tstanley@fairwayconstruction.net</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Fairway Management Co., Inc</v>
      </c>
      <c r="I310" s="1348"/>
      <c r="J310" s="1348"/>
      <c r="K310" s="1348"/>
      <c r="L310" s="1348"/>
      <c r="M310" s="1348"/>
      <c r="N310" s="1348"/>
      <c r="O310" s="1337" t="s">
        <v>1989</v>
      </c>
      <c r="P310" s="1337"/>
      <c r="Q310" s="1330" t="str">
        <f>'Part II-Development Team'!Q92</f>
        <v>Ryan Stevens</v>
      </c>
      <c r="R310" s="1348"/>
      <c r="S310" s="1348"/>
    </row>
    <row r="311" spans="1:19" ht="13.8">
      <c r="A311" s="1330"/>
      <c r="B311" s="1330"/>
      <c r="C311" s="1330"/>
      <c r="D311" s="1346"/>
      <c r="E311" s="1337" t="s">
        <v>1021</v>
      </c>
      <c r="F311" s="1340"/>
      <c r="G311" s="1330"/>
      <c r="H311" s="1330" t="str">
        <f>'Part II-Development Team'!H93</f>
        <v>3290 Northside Parkway, Suite 300</v>
      </c>
      <c r="I311" s="1348"/>
      <c r="J311" s="1348"/>
      <c r="K311" s="1348"/>
      <c r="L311" s="1348"/>
      <c r="M311" s="1348"/>
      <c r="N311" s="1348"/>
      <c r="O311" s="1337" t="s">
        <v>1747</v>
      </c>
      <c r="P311" s="1330"/>
      <c r="Q311" s="1330" t="str">
        <f>'Part II-Development Team'!Q93</f>
        <v>Director of Operations</v>
      </c>
      <c r="R311" s="1348"/>
      <c r="S311" s="1348"/>
    </row>
    <row r="312" spans="1:19" ht="13.8">
      <c r="A312" s="1330"/>
      <c r="B312" s="1330"/>
      <c r="C312" s="1330"/>
      <c r="D312" s="1346"/>
      <c r="E312" s="1337" t="s">
        <v>618</v>
      </c>
      <c r="F312" s="1330"/>
      <c r="G312" s="1330"/>
      <c r="H312" s="1330" t="str">
        <f>'Part II-Development Team'!H94</f>
        <v>Atlanta</v>
      </c>
      <c r="I312" s="1348"/>
      <c r="J312" s="1348"/>
      <c r="K312" s="1334" t="s">
        <v>2704</v>
      </c>
      <c r="L312" s="1330" t="str">
        <f>'Part II-Development Team'!L94</f>
        <v>www.fairwaymanagement.com</v>
      </c>
      <c r="M312" s="1348"/>
      <c r="N312" s="1348"/>
      <c r="O312" s="1337" t="s">
        <v>1721</v>
      </c>
      <c r="P312" s="1330"/>
      <c r="Q312" s="1799">
        <f>'Part II-Development Team'!Q94</f>
        <v>5734432021</v>
      </c>
      <c r="R312" s="1799"/>
      <c r="S312" s="1799"/>
    </row>
    <row r="313" spans="1:19" ht="13.8">
      <c r="A313" s="1330"/>
      <c r="B313" s="1330"/>
      <c r="C313" s="1330"/>
      <c r="D313" s="1346"/>
      <c r="E313" s="1337" t="s">
        <v>1799</v>
      </c>
      <c r="F313" s="1330"/>
      <c r="G313" s="1330"/>
      <c r="H313" s="1337" t="str">
        <f>'Part II-Development Team'!H95</f>
        <v>GA</v>
      </c>
      <c r="I313" s="1330"/>
      <c r="J313" s="1330"/>
      <c r="K313" s="1334" t="s">
        <v>2229</v>
      </c>
      <c r="L313" s="1798">
        <f>'Part II-Development Team'!L95</f>
        <v>303272212</v>
      </c>
      <c r="M313" s="1348"/>
      <c r="N313" s="1330"/>
      <c r="O313" s="1337" t="s">
        <v>1979</v>
      </c>
      <c r="P313" s="1330"/>
      <c r="Q313" s="1799">
        <f>'Part II-Development Team'!Q95</f>
        <v>0</v>
      </c>
      <c r="R313" s="1799"/>
      <c r="S313" s="1799"/>
    </row>
    <row r="314" spans="1:19" ht="13.8">
      <c r="A314" s="1330"/>
      <c r="B314" s="1330"/>
      <c r="C314" s="1330"/>
      <c r="D314" s="1346"/>
      <c r="E314" s="1337" t="s">
        <v>4251</v>
      </c>
      <c r="F314" s="1330"/>
      <c r="G314" s="1330"/>
      <c r="H314" s="1799">
        <f>'Part II-Development Team'!H96</f>
        <v>5734432021</v>
      </c>
      <c r="I314" s="1799"/>
      <c r="J314" s="1344">
        <f>'Part II-Development Team'!J96</f>
        <v>0</v>
      </c>
      <c r="K314" s="1334" t="s">
        <v>1984</v>
      </c>
      <c r="L314" s="1706" t="str">
        <f>'Part II-Development Team'!L96</f>
        <v>rstevens@fairwaymanagement.com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Coleman Talley</v>
      </c>
      <c r="I316" s="1348"/>
      <c r="J316" s="1348"/>
      <c r="K316" s="1348"/>
      <c r="L316" s="1348"/>
      <c r="M316" s="1348"/>
      <c r="N316" s="1348"/>
      <c r="O316" s="1337" t="s">
        <v>1989</v>
      </c>
      <c r="P316" s="1337"/>
      <c r="Q316" s="1330" t="str">
        <f>'Part II-Development Team'!Q98</f>
        <v>Greg Clark</v>
      </c>
      <c r="R316" s="1348"/>
      <c r="S316" s="1348"/>
    </row>
    <row r="317" spans="1:19" ht="13.8">
      <c r="A317" s="1330"/>
      <c r="B317" s="1330"/>
      <c r="C317" s="1330"/>
      <c r="D317" s="1346"/>
      <c r="E317" s="1337" t="s">
        <v>1021</v>
      </c>
      <c r="F317" s="1340"/>
      <c r="G317" s="1330"/>
      <c r="H317" s="1330" t="str">
        <f>'Part II-Development Team'!H99</f>
        <v>109 S Ashley Street</v>
      </c>
      <c r="I317" s="1348"/>
      <c r="J317" s="1348"/>
      <c r="K317" s="1348"/>
      <c r="L317" s="1348"/>
      <c r="M317" s="1348"/>
      <c r="N317" s="1348"/>
      <c r="O317" s="1337" t="s">
        <v>1747</v>
      </c>
      <c r="P317" s="1330"/>
      <c r="Q317" s="1330" t="str">
        <f>'Part II-Development Team'!Q99</f>
        <v>Partner</v>
      </c>
      <c r="R317" s="1348"/>
      <c r="S317" s="1348"/>
    </row>
    <row r="318" spans="1:19" ht="13.8">
      <c r="A318" s="1330"/>
      <c r="B318" s="1330"/>
      <c r="C318" s="1330"/>
      <c r="D318" s="1346"/>
      <c r="E318" s="1337" t="s">
        <v>618</v>
      </c>
      <c r="F318" s="1330"/>
      <c r="G318" s="1330"/>
      <c r="H318" s="1330" t="str">
        <f>'Part II-Development Team'!H100</f>
        <v>Valdosta</v>
      </c>
      <c r="I318" s="1348"/>
      <c r="J318" s="1348"/>
      <c r="K318" s="1334" t="s">
        <v>2704</v>
      </c>
      <c r="L318" s="1330" t="str">
        <f>'Part II-Development Team'!L100</f>
        <v>www.colemantalley.com</v>
      </c>
      <c r="M318" s="1348"/>
      <c r="N318" s="1348"/>
      <c r="O318" s="1337" t="s">
        <v>1721</v>
      </c>
      <c r="P318" s="1330"/>
      <c r="Q318" s="1799">
        <f>'Part II-Development Team'!Q100</f>
        <v>2296718260</v>
      </c>
      <c r="R318" s="1799"/>
      <c r="S318" s="1799"/>
    </row>
    <row r="319" spans="1:19" ht="13.8">
      <c r="A319" s="1330"/>
      <c r="B319" s="1330"/>
      <c r="C319" s="1330"/>
      <c r="D319" s="1346"/>
      <c r="E319" s="1337" t="s">
        <v>1799</v>
      </c>
      <c r="F319" s="1330"/>
      <c r="G319" s="1330"/>
      <c r="H319" s="1337" t="str">
        <f>'Part II-Development Team'!H101</f>
        <v>GA</v>
      </c>
      <c r="I319" s="1330"/>
      <c r="J319" s="1330"/>
      <c r="K319" s="1334" t="s">
        <v>2229</v>
      </c>
      <c r="L319" s="1798">
        <f>'Part II-Development Team'!L101</f>
        <v>316015601</v>
      </c>
      <c r="M319" s="1348"/>
      <c r="N319" s="1330"/>
      <c r="O319" s="1337" t="s">
        <v>1979</v>
      </c>
      <c r="P319" s="1330"/>
      <c r="Q319" s="1799">
        <f>'Part II-Development Team'!Q101</f>
        <v>2298349704</v>
      </c>
      <c r="R319" s="1799"/>
      <c r="S319" s="1799"/>
    </row>
    <row r="320" spans="1:19" ht="13.8">
      <c r="A320" s="1336"/>
      <c r="B320" s="1336"/>
      <c r="C320" s="1336"/>
      <c r="D320" s="1336"/>
      <c r="E320" s="1337" t="s">
        <v>4251</v>
      </c>
      <c r="F320" s="1330"/>
      <c r="G320" s="1330"/>
      <c r="H320" s="1799">
        <f>'Part II-Development Team'!H102</f>
        <v>2292427562</v>
      </c>
      <c r="I320" s="1799"/>
      <c r="J320" s="1344">
        <f>'Part II-Development Team'!J102</f>
        <v>0</v>
      </c>
      <c r="K320" s="1334" t="s">
        <v>1984</v>
      </c>
      <c r="L320" s="1706" t="str">
        <f>'Part II-Development Team'!L102</f>
        <v>greg.clark@colemantalley.com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Howe &amp; Associates</v>
      </c>
      <c r="I322" s="1348"/>
      <c r="J322" s="1348"/>
      <c r="K322" s="1348"/>
      <c r="L322" s="1348"/>
      <c r="M322" s="1348"/>
      <c r="N322" s="1348"/>
      <c r="O322" s="1337" t="s">
        <v>1989</v>
      </c>
      <c r="P322" s="1337"/>
      <c r="Q322" s="1330" t="str">
        <f>'Part II-Development Team'!Q104</f>
        <v>Bill Howe</v>
      </c>
      <c r="R322" s="1348"/>
      <c r="S322" s="1348"/>
    </row>
    <row r="323" spans="1:19" ht="13.8">
      <c r="A323" s="1330"/>
      <c r="B323" s="1330"/>
      <c r="C323" s="1330"/>
      <c r="D323" s="1346"/>
      <c r="E323" s="1337" t="s">
        <v>1021</v>
      </c>
      <c r="F323" s="1340"/>
      <c r="G323" s="1330"/>
      <c r="H323" s="1330" t="str">
        <f>'Part II-Development Team'!H105</f>
        <v>104 E Broadway</v>
      </c>
      <c r="I323" s="1348"/>
      <c r="J323" s="1348"/>
      <c r="K323" s="1348"/>
      <c r="L323" s="1348"/>
      <c r="M323" s="1348"/>
      <c r="N323" s="1348"/>
      <c r="O323" s="1337" t="s">
        <v>1747</v>
      </c>
      <c r="P323" s="1330"/>
      <c r="Q323" s="1330" t="str">
        <f>'Part II-Development Team'!Q105</f>
        <v>Owner</v>
      </c>
      <c r="R323" s="1348"/>
      <c r="S323" s="1348"/>
    </row>
    <row r="324" spans="1:19" ht="13.8">
      <c r="A324" s="1330"/>
      <c r="B324" s="1330"/>
      <c r="C324" s="1330"/>
      <c r="D324" s="1346"/>
      <c r="E324" s="1337" t="s">
        <v>618</v>
      </c>
      <c r="F324" s="1330"/>
      <c r="G324" s="1330"/>
      <c r="H324" s="1330" t="str">
        <f>'Part II-Development Team'!H106</f>
        <v>Columbia</v>
      </c>
      <c r="I324" s="1348"/>
      <c r="J324" s="1348"/>
      <c r="K324" s="1334" t="s">
        <v>2704</v>
      </c>
      <c r="L324" s="1330">
        <f>'Part II-Development Team'!L106</f>
        <v>0</v>
      </c>
      <c r="M324" s="1348"/>
      <c r="N324" s="1348"/>
      <c r="O324" s="1337" t="s">
        <v>1721</v>
      </c>
      <c r="P324" s="1330"/>
      <c r="Q324" s="1799">
        <f>'Part II-Development Team'!Q106</f>
        <v>5738741040</v>
      </c>
      <c r="R324" s="1799"/>
      <c r="S324" s="1799"/>
    </row>
    <row r="325" spans="1:19" ht="13.8">
      <c r="A325" s="1330"/>
      <c r="B325" s="1330"/>
      <c r="C325" s="1330"/>
      <c r="D325" s="1346"/>
      <c r="E325" s="1337" t="s">
        <v>1799</v>
      </c>
      <c r="F325" s="1330"/>
      <c r="G325" s="1330"/>
      <c r="H325" s="1337" t="str">
        <f>'Part II-Development Team'!H107</f>
        <v>MO</v>
      </c>
      <c r="I325" s="1330"/>
      <c r="J325" s="1330"/>
      <c r="K325" s="1334" t="s">
        <v>2229</v>
      </c>
      <c r="L325" s="1798">
        <f>'Part II-Development Team'!L107</f>
        <v>652034256</v>
      </c>
      <c r="M325" s="1348"/>
      <c r="N325" s="1330"/>
      <c r="O325" s="1337" t="s">
        <v>1979</v>
      </c>
      <c r="P325" s="1330"/>
      <c r="Q325" s="1799">
        <f>'Part II-Development Team'!Q107</f>
        <v>0</v>
      </c>
      <c r="R325" s="1799"/>
      <c r="S325" s="1799"/>
    </row>
    <row r="326" spans="1:19" ht="13.8">
      <c r="A326" s="1336"/>
      <c r="B326" s="1336"/>
      <c r="C326" s="1336"/>
      <c r="D326" s="1336"/>
      <c r="E326" s="1337" t="s">
        <v>4251</v>
      </c>
      <c r="F326" s="1330"/>
      <c r="G326" s="1330"/>
      <c r="H326" s="1799">
        <f>'Part II-Development Team'!H108</f>
        <v>5738741040</v>
      </c>
      <c r="I326" s="1799"/>
      <c r="J326" s="1344">
        <f>'Part II-Development Team'!J108</f>
        <v>0</v>
      </c>
      <c r="K326" s="1334" t="s">
        <v>1984</v>
      </c>
      <c r="L326" s="1706">
        <f>'Part II-Development Team'!L108</f>
        <v>0</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Martin Riley Associates Architects, P.C.</v>
      </c>
      <c r="I328" s="1348"/>
      <c r="J328" s="1348"/>
      <c r="K328" s="1348"/>
      <c r="L328" s="1348"/>
      <c r="M328" s="1348"/>
      <c r="N328" s="1348"/>
      <c r="O328" s="1337" t="s">
        <v>1989</v>
      </c>
      <c r="P328" s="1337"/>
      <c r="Q328" s="1330" t="str">
        <f>'Part II-Development Team'!Q110</f>
        <v>Mike Rley</v>
      </c>
      <c r="R328" s="1348"/>
      <c r="S328" s="1348"/>
    </row>
    <row r="329" spans="1:19" ht="13.8">
      <c r="A329" s="1330"/>
      <c r="B329" s="1330"/>
      <c r="C329" s="1330"/>
      <c r="D329" s="1346"/>
      <c r="E329" s="1337" t="s">
        <v>1021</v>
      </c>
      <c r="F329" s="1340"/>
      <c r="G329" s="1330"/>
      <c r="H329" s="1330" t="str">
        <f>'Part II-Development Team'!H111</f>
        <v>215 Church Street</v>
      </c>
      <c r="I329" s="1348"/>
      <c r="J329" s="1348"/>
      <c r="K329" s="1348"/>
      <c r="L329" s="1348"/>
      <c r="M329" s="1348"/>
      <c r="N329" s="1348"/>
      <c r="O329" s="1337" t="s">
        <v>1747</v>
      </c>
      <c r="P329" s="1330"/>
      <c r="Q329" s="1330" t="str">
        <f>'Part II-Development Team'!Q111</f>
        <v>Vice Presient</v>
      </c>
      <c r="R329" s="1348"/>
      <c r="S329" s="1348"/>
    </row>
    <row r="330" spans="1:19" ht="13.8">
      <c r="A330" s="1330"/>
      <c r="B330" s="1330"/>
      <c r="C330" s="1330"/>
      <c r="D330" s="1346"/>
      <c r="E330" s="1337" t="s">
        <v>618</v>
      </c>
      <c r="F330" s="1330"/>
      <c r="G330" s="1330"/>
      <c r="H330" s="1330" t="str">
        <f>'Part II-Development Team'!H112</f>
        <v>Decatur</v>
      </c>
      <c r="I330" s="1348"/>
      <c r="J330" s="1348"/>
      <c r="K330" s="1334" t="s">
        <v>2704</v>
      </c>
      <c r="L330" s="1330" t="str">
        <f>'Part II-Development Team'!L112</f>
        <v>www.martinriley.com</v>
      </c>
      <c r="M330" s="1348"/>
      <c r="N330" s="1348"/>
      <c r="O330" s="1337" t="s">
        <v>1721</v>
      </c>
      <c r="P330" s="1330"/>
      <c r="Q330" s="1799">
        <f>'Part II-Development Team'!Q112</f>
        <v>4043732800</v>
      </c>
      <c r="R330" s="1799"/>
      <c r="S330" s="1799"/>
    </row>
    <row r="331" spans="1:19" ht="13.8">
      <c r="A331" s="1330"/>
      <c r="B331" s="1330"/>
      <c r="C331" s="1330"/>
      <c r="D331" s="1346"/>
      <c r="E331" s="1337" t="s">
        <v>1799</v>
      </c>
      <c r="F331" s="1330"/>
      <c r="G331" s="1330"/>
      <c r="H331" s="1337" t="str">
        <f>'Part II-Development Team'!H113</f>
        <v>GA</v>
      </c>
      <c r="I331" s="1330"/>
      <c r="J331" s="1330"/>
      <c r="K331" s="1334" t="s">
        <v>2229</v>
      </c>
      <c r="L331" s="1798">
        <f>'Part II-Development Team'!L113</f>
        <v>300303330</v>
      </c>
      <c r="M331" s="1348"/>
      <c r="N331" s="1330"/>
      <c r="O331" s="1337" t="s">
        <v>1979</v>
      </c>
      <c r="P331" s="1330"/>
      <c r="Q331" s="1799">
        <f>'Part II-Development Team'!Q113</f>
        <v>0</v>
      </c>
      <c r="R331" s="1799"/>
      <c r="S331" s="1799"/>
    </row>
    <row r="332" spans="1:19" ht="13.8">
      <c r="A332" s="1330"/>
      <c r="B332" s="1330"/>
      <c r="C332" s="1330"/>
      <c r="D332" s="1346"/>
      <c r="E332" s="1337" t="s">
        <v>4251</v>
      </c>
      <c r="F332" s="1330"/>
      <c r="G332" s="1330"/>
      <c r="H332" s="1799">
        <f>'Part II-Development Team'!H114</f>
        <v>4043732800</v>
      </c>
      <c r="I332" s="1799"/>
      <c r="J332" s="1344">
        <f>'Part II-Development Team'!J114</f>
        <v>0</v>
      </c>
      <c r="K332" s="1334" t="s">
        <v>1984</v>
      </c>
      <c r="L332" s="1706" t="str">
        <f>'Part II-Development Team'!L114</f>
        <v>mriley@martinriley.com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5091</v>
      </c>
      <c r="D335" s="1330"/>
      <c r="E335" s="1330"/>
      <c r="F335" s="1330"/>
      <c r="G335" s="1330"/>
      <c r="H335" s="1330" t="str">
        <f>'Part II-Development Team'!H117</f>
        <v>Al Brenn, Inc &amp; RPB Partnership, LLLP</v>
      </c>
      <c r="I335" s="1330"/>
      <c r="J335" s="1330"/>
      <c r="K335" s="1334" t="s">
        <v>2474</v>
      </c>
      <c r="L335" s="1330" t="str">
        <f>'Part II-Development Team'!L117</f>
        <v>Jean B. Mann</v>
      </c>
      <c r="M335" s="1348"/>
      <c r="N335" s="1348"/>
      <c r="O335" s="1337" t="s">
        <v>3578</v>
      </c>
      <c r="P335" s="1330"/>
      <c r="Q335" s="1799">
        <f>'Part II-Development Team'!Q117</f>
        <v>0</v>
      </c>
      <c r="R335" s="2328"/>
      <c r="S335" s="2328"/>
    </row>
    <row r="336" spans="1:19" ht="13.8">
      <c r="A336" s="1330"/>
      <c r="B336" s="1330"/>
      <c r="C336" s="1330"/>
      <c r="D336" s="1346"/>
      <c r="E336" s="1337" t="s">
        <v>1021</v>
      </c>
      <c r="F336" s="1340"/>
      <c r="G336" s="1330"/>
      <c r="H336" s="1330" t="str">
        <f>'Part II-Development Team'!H118</f>
        <v>2846 Lynda Lane</v>
      </c>
      <c r="I336" s="1348"/>
      <c r="J336" s="1348"/>
      <c r="K336" s="1348"/>
      <c r="L336" s="1348"/>
      <c r="M336" s="1348"/>
      <c r="N336" s="1348"/>
      <c r="O336" s="1337" t="s">
        <v>618</v>
      </c>
      <c r="P336" s="1330"/>
      <c r="Q336" s="1330" t="str">
        <f>'Part II-Development Team'!Q118</f>
        <v>Columbus</v>
      </c>
      <c r="R336" s="1348"/>
      <c r="S336" s="1348"/>
    </row>
    <row r="337" spans="1:19" ht="13.8">
      <c r="A337" s="1330"/>
      <c r="B337" s="1330"/>
      <c r="C337" s="1330"/>
      <c r="D337" s="1346"/>
      <c r="E337" s="1337" t="s">
        <v>1799</v>
      </c>
      <c r="F337" s="1330"/>
      <c r="G337" s="1330"/>
      <c r="H337" s="1337" t="str">
        <f>'Part II-Development Team'!H119</f>
        <v>GA</v>
      </c>
      <c r="I337" s="1334" t="s">
        <v>2229</v>
      </c>
      <c r="J337" s="1798">
        <f>'Part II-Development Team'!J119</f>
        <v>319060000</v>
      </c>
      <c r="K337" s="1348"/>
      <c r="L337" s="1334" t="s">
        <v>1984</v>
      </c>
      <c r="M337" s="1706" t="str">
        <f>'Part II-Development Team'!M119</f>
        <v>mann5683@charter.net</v>
      </c>
      <c r="N337" s="1706"/>
      <c r="O337" s="1706"/>
      <c r="P337" s="1706"/>
      <c r="Q337" s="1706"/>
      <c r="R337" s="1706"/>
      <c r="S337" s="1706"/>
    </row>
    <row r="338" spans="1:19" ht="13.8">
      <c r="A338" s="1336"/>
      <c r="B338" s="1330" t="s">
        <v>1985</v>
      </c>
      <c r="C338" s="1330" t="s">
        <v>5082</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3875</v>
      </c>
      <c r="B339" s="1386"/>
      <c r="C339" s="1386"/>
      <c r="D339" s="1386"/>
      <c r="E339" s="1386"/>
      <c r="F339" s="1344" t="s">
        <v>2510</v>
      </c>
      <c r="G339" s="1341" t="s">
        <v>3477</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2836</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2901</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2877</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2837</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3465</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3466</v>
      </c>
      <c r="E345" s="1365"/>
      <c r="F345" s="1812" t="str">
        <f>'Part II-Development Team'!F127</f>
        <v>Yes</v>
      </c>
      <c r="G345" s="1573" t="str">
        <f>'Part II-Development Team'!G127</f>
        <v>The Federal and State Syndicator and the General Contractor are related parties.</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2838</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5027</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5026</v>
      </c>
      <c r="D348" s="1365" t="str">
        <f>'Part II-Development Team'!D130</f>
        <v>Syndicator and Management Company?</v>
      </c>
      <c r="E348" s="1365">
        <f>'Part II-Development Team'!E130</f>
        <v>0</v>
      </c>
      <c r="F348" s="1812" t="str">
        <f>'Part II-Development Team'!F130</f>
        <v>Yes</v>
      </c>
      <c r="G348" s="1573" t="str">
        <f>'Part II-Development Team'!G130</f>
        <v>The Federal and State Syndicator and the Management Company are related parties.</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5311</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5083</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3447</v>
      </c>
      <c r="F352" s="1365"/>
      <c r="G352" s="1365"/>
      <c r="H352" s="1365"/>
      <c r="I352" s="1365"/>
      <c r="J352" s="1365" t="s">
        <v>3448</v>
      </c>
      <c r="K352" s="1365" t="s">
        <v>5092</v>
      </c>
      <c r="L352" s="1365" t="s">
        <v>5093</v>
      </c>
      <c r="M352" s="1365" t="s">
        <v>5094</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5312</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2906</v>
      </c>
      <c r="O356" s="1348"/>
      <c r="P356" s="1348"/>
      <c r="Q356" s="1348"/>
      <c r="R356" s="1348"/>
      <c r="S356" s="1348"/>
    </row>
    <row r="357" spans="1:19" ht="13.5" customHeight="1">
      <c r="A357" s="1391" t="s">
        <v>3442</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3443</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3444</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3445</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3446</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2894</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Select</v>
      </c>
      <c r="J362" s="1812" t="str">
        <f>'Part II-Development Team'!J144</f>
        <v>Select</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2895</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Select</v>
      </c>
      <c r="J364" s="1812" t="str">
        <f>'Part II-Development Team'!J146</f>
        <v>Select</v>
      </c>
      <c r="K364" s="1813">
        <f>'Part II-Development Team'!K146</f>
        <v>0</v>
      </c>
      <c r="L364" s="1814">
        <f>'Part II-Development Team'!L146</f>
        <v>0</v>
      </c>
      <c r="M364" s="1812" t="str">
        <f>'Part II-Development Team'!M146</f>
        <v>Select</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2896</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2898</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2897</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2899</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2019-042 Brennan Place, Columbus, Muscogee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8">
      <c r="A382" s="1334"/>
      <c r="B382" s="1334" t="str">
        <f>'Part III-Sources of Funds'!B5</f>
        <v>Yes</v>
      </c>
      <c r="C382" s="1337" t="s">
        <v>2410</v>
      </c>
      <c r="D382" s="1330"/>
      <c r="E382" s="1334">
        <f>'Part III-Sources of Funds'!E5</f>
        <v>0</v>
      </c>
      <c r="F382" s="1337" t="s">
        <v>4496</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5001</v>
      </c>
      <c r="D383" s="1330"/>
      <c r="E383" s="1334">
        <f>'Part III-Sources of Funds'!E6</f>
        <v>0</v>
      </c>
      <c r="F383" s="1337" t="s">
        <v>4497</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5313</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3617</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2601</v>
      </c>
      <c r="D385" s="1393"/>
      <c r="E385" s="1334">
        <f>'Part III-Sources of Funds'!E8</f>
        <v>0</v>
      </c>
      <c r="F385" s="1337" t="s">
        <v>2609</v>
      </c>
      <c r="G385" s="1393"/>
      <c r="H385" s="1393"/>
      <c r="I385" s="1393"/>
      <c r="J385" s="1393"/>
      <c r="K385" s="1393"/>
      <c r="L385" s="1334">
        <f>'Part III-Sources of Funds'!L8</f>
        <v>0</v>
      </c>
      <c r="M385" s="1337" t="s">
        <v>5002</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2602</v>
      </c>
      <c r="D386" s="1393"/>
      <c r="E386" s="1334">
        <f>'Part III-Sources of Funds'!E9</f>
        <v>0</v>
      </c>
      <c r="F386" s="1337" t="s">
        <v>3719</v>
      </c>
      <c r="G386" s="1393"/>
      <c r="H386" s="1393" t="str">
        <f>'Part III-Sources of Funds'!H9</f>
        <v>Specify Other PBRA Source here</v>
      </c>
      <c r="I386" s="1393">
        <f>'Part III-Sources of Funds'!I9</f>
        <v>0</v>
      </c>
      <c r="J386" s="1393">
        <f>'Part III-Sources of Funds'!J9</f>
        <v>0</v>
      </c>
      <c r="K386" s="1393"/>
      <c r="L386" s="1334">
        <f>'Part III-Sources of Funds'!L9</f>
        <v>0</v>
      </c>
      <c r="M386" s="1337" t="s">
        <v>3678</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3683</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2610</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3882</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3722</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2608</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2796</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3717</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3881</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4999</v>
      </c>
      <c r="G391" s="1393"/>
      <c r="H391" s="1393"/>
      <c r="I391" s="1449">
        <f>'Part III-Sources of Funds'!I14</f>
        <v>0</v>
      </c>
      <c r="J391" s="1449">
        <f>'Part III-Sources of Funds'!J14</f>
        <v>0</v>
      </c>
      <c r="K391" s="1393"/>
      <c r="L391" s="1334">
        <f>'Part III-Sources of Funds'!L14</f>
        <v>0</v>
      </c>
      <c r="M391" s="1332" t="s">
        <v>5314</v>
      </c>
      <c r="N391" s="1393"/>
      <c r="O391" s="1393"/>
      <c r="P391" s="1393"/>
      <c r="Q391" s="1393"/>
      <c r="R391" s="1393"/>
      <c r="S391" s="1393"/>
      <c r="T391" s="1393"/>
    </row>
    <row r="392" spans="1:20" ht="13.8">
      <c r="A392" s="1334"/>
      <c r="B392" s="1393" t="s">
        <v>5003</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4955</v>
      </c>
      <c r="M396" s="1330"/>
      <c r="N396" s="1330" t="s">
        <v>1507</v>
      </c>
      <c r="O396" s="1330"/>
      <c r="P396" s="1330" t="s">
        <v>1630</v>
      </c>
      <c r="Q396" s="1330"/>
      <c r="R396" s="1393"/>
      <c r="S396" s="1794" t="s">
        <v>2683</v>
      </c>
      <c r="T396" s="1794"/>
    </row>
    <row r="397" spans="1:20" ht="13.8">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9895671</v>
      </c>
      <c r="M397" s="1412">
        <f>'Part III-Sources of Funds'!M20</f>
        <v>0</v>
      </c>
      <c r="N397" s="1395">
        <f>'Part III-Sources of Funds'!N20</f>
        <v>0.06</v>
      </c>
      <c r="O397" s="1395">
        <f>'Part III-Sources of Funds'!O20</f>
        <v>0</v>
      </c>
      <c r="P397" s="1467">
        <f>'Part III-Sources of Funds'!P20</f>
        <v>18</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Affordable Equity Partners, Inc</v>
      </c>
      <c r="I403" s="1386">
        <f>'Part III-Sources of Funds'!I26</f>
        <v>0</v>
      </c>
      <c r="J403" s="1386">
        <f>'Part III-Sources of Funds'!J26</f>
        <v>0</v>
      </c>
      <c r="K403" s="1386">
        <f>'Part III-Sources of Funds'!K26</f>
        <v>0</v>
      </c>
      <c r="L403" s="1412">
        <f>'Part III-Sources of Funds'!L26</f>
        <v>1682660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Affordable Equity Partners, Inc</v>
      </c>
      <c r="I404" s="1386">
        <f>'Part III-Sources of Funds'!I27</f>
        <v>0</v>
      </c>
      <c r="J404" s="1386">
        <f>'Part III-Sources of Funds'!J27</f>
        <v>0</v>
      </c>
      <c r="K404" s="1386">
        <f>'Part III-Sources of Funds'!K27</f>
        <v>0</v>
      </c>
      <c r="L404" s="1412">
        <f>'Part III-Sources of Funds'!L27</f>
        <v>797000</v>
      </c>
      <c r="M404" s="1412">
        <f>'Part III-Sources of Funds'!M27</f>
        <v>0</v>
      </c>
      <c r="N404" s="1330"/>
      <c r="O404" s="1393"/>
      <c r="P404" s="1393"/>
      <c r="Q404" s="1330"/>
      <c r="R404" s="1393"/>
      <c r="S404" s="1391">
        <f>'Part III-Sources of Funds'!S27</f>
        <v>0</v>
      </c>
      <c r="T404" s="1391">
        <f>'Part III-Sources of Funds'!T27</f>
        <v>0</v>
      </c>
    </row>
    <row r="405" spans="1:20" ht="27.6">
      <c r="A405" s="1330"/>
      <c r="B405" s="1330" t="s">
        <v>242</v>
      </c>
      <c r="C405" s="1330"/>
      <c r="D405" s="1386" t="str">
        <f>'Part III-Sources of Funds'!D28</f>
        <v>GP &amp; LP Equity</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110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12375441</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12375441</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4954</v>
      </c>
      <c r="J414" s="1330"/>
      <c r="K414" s="1334" t="s">
        <v>1806</v>
      </c>
      <c r="L414" s="1334" t="s">
        <v>2214</v>
      </c>
      <c r="M414" s="1334" t="s">
        <v>2214</v>
      </c>
      <c r="N414" s="1330" t="s">
        <v>74</v>
      </c>
      <c r="O414" s="1330"/>
      <c r="P414" s="1341"/>
      <c r="Q414" s="1341"/>
      <c r="R414" s="1393"/>
      <c r="S414" s="1794" t="s">
        <v>2683</v>
      </c>
      <c r="T414" s="1794"/>
    </row>
    <row r="415" spans="1:20" ht="13.8">
      <c r="A415" s="1330"/>
      <c r="B415" s="1330" t="s">
        <v>2614</v>
      </c>
      <c r="C415" s="1330"/>
      <c r="D415" s="1330"/>
      <c r="E415" s="1386" t="str">
        <f>'Part III-Sources of Funds'!E38</f>
        <v>Sterling Bank</v>
      </c>
      <c r="F415" s="1386">
        <f>'Part III-Sources of Funds'!F38</f>
        <v>0</v>
      </c>
      <c r="G415" s="1386">
        <f>'Part III-Sources of Funds'!G38</f>
        <v>0</v>
      </c>
      <c r="H415" s="1386">
        <f>'Part III-Sources of Funds'!H38</f>
        <v>0</v>
      </c>
      <c r="I415" s="1462">
        <f>'Part III-Sources of Funds'!I38</f>
        <v>1700000</v>
      </c>
      <c r="J415" s="1330">
        <f>'Part III-Sources of Funds'!J38</f>
        <v>0</v>
      </c>
      <c r="K415" s="1399">
        <f>'Part III-Sources of Funds'!K38</f>
        <v>6.25E-2</v>
      </c>
      <c r="L415" s="1334">
        <f>'Part III-Sources of Funds'!L38</f>
        <v>18</v>
      </c>
      <c r="M415" s="1334">
        <f>'Part III-Sources of Funds'!M38</f>
        <v>35</v>
      </c>
      <c r="N415" s="1330" t="str">
        <f>'Part III-Sources of Funds'!N38</f>
        <v>Amortizing</v>
      </c>
      <c r="O415" s="1330">
        <f>'Part III-Sources of Funds'!O38</f>
        <v>0</v>
      </c>
      <c r="P415" s="1400">
        <f>'Part III-Sources of Funds'!P38</f>
        <v>119763.60191377226</v>
      </c>
      <c r="Q415" s="1400">
        <f>'Part III-Sources of Funds'!Q38</f>
        <v>0</v>
      </c>
      <c r="R415" s="1393"/>
      <c r="S415" s="1391">
        <f>'Part III-Sources of Funds'!S38</f>
        <v>0</v>
      </c>
      <c r="T415" s="1391">
        <f>'Part III-Sources of Funds'!T38</f>
        <v>0</v>
      </c>
    </row>
    <row r="416" spans="1:20" ht="13.8">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27.6">
      <c r="A420" s="1330"/>
      <c r="B420" s="1330" t="s">
        <v>228</v>
      </c>
      <c r="C420" s="1330"/>
      <c r="D420" s="1401">
        <f>'Part III-Sources of Funds'!D43</f>
        <v>4.7072451750055012E-2</v>
      </c>
      <c r="E420" s="1386" t="str">
        <f>'Part III-Sources of Funds'!E43</f>
        <v>Main Street Homes, LLC</v>
      </c>
      <c r="F420" s="1386">
        <f>'Part III-Sources of Funds'!F43</f>
        <v>0</v>
      </c>
      <c r="G420" s="1386">
        <f>'Part III-Sources of Funds'!G43</f>
        <v>0</v>
      </c>
      <c r="H420" s="1386">
        <f>'Part III-Sources of Funds'!H43</f>
        <v>0</v>
      </c>
      <c r="I420" s="1449">
        <f>'Part III-Sources of Funds'!I43</f>
        <v>77655</v>
      </c>
      <c r="J420" s="1449">
        <f>'Part III-Sources of Funds'!J43</f>
        <v>0</v>
      </c>
      <c r="K420" s="1399">
        <f>'Part III-Sources of Funds'!K43</f>
        <v>0</v>
      </c>
      <c r="L420" s="1334">
        <f>'Part III-Sources of Funds'!L43</f>
        <v>15</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4178</v>
      </c>
      <c r="C422" s="1330"/>
      <c r="D422" s="1393"/>
      <c r="E422" s="1393" t="s">
        <v>4080</v>
      </c>
      <c r="F422" s="1402">
        <f>'Part III-Sources of Funds'!F45</f>
        <v>473763.18126377609</v>
      </c>
      <c r="G422" s="1393">
        <f>'Part III-Sources of Funds'!G45</f>
        <v>0</v>
      </c>
      <c r="H422" s="1394" t="s">
        <v>4177</v>
      </c>
      <c r="I422" s="1402">
        <f>'Part III-Sources of Funds'!I45</f>
        <v>77655</v>
      </c>
      <c r="J422" s="1393">
        <f>'Part III-Sources of Funds'!J45</f>
        <v>0</v>
      </c>
      <c r="K422" s="1394" t="s">
        <v>4179</v>
      </c>
      <c r="L422" s="1403">
        <f>'Part III-Sources of Funds'!L45</f>
        <v>0.16391100674571879</v>
      </c>
      <c r="M422" s="1403">
        <f>'Part III-Sources of Funds'!M45</f>
        <v>0</v>
      </c>
      <c r="N422" s="1400" t="s">
        <v>4966</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Affordable Equity Partners, Inc.</v>
      </c>
      <c r="F426" s="1386">
        <f>'Part III-Sources of Funds'!F49</f>
        <v>0</v>
      </c>
      <c r="G426" s="1386">
        <f>'Part III-Sources of Funds'!G49</f>
        <v>0</v>
      </c>
      <c r="H426" s="1386">
        <f>'Part III-Sources of Funds'!H49</f>
        <v>0</v>
      </c>
      <c r="I426" s="1462">
        <f>'Part III-Sources of Funds'!I49</f>
        <v>8413300</v>
      </c>
      <c r="J426" s="1462">
        <f>'Part III-Sources of Funds'!J49</f>
        <v>0</v>
      </c>
      <c r="K426" s="1393"/>
      <c r="L426" s="1406">
        <f>'Part IV-A-Uses of Funds'!$J$175*10*'Part IV-A-Uses of Funds'!$N$168</f>
        <v>8500000</v>
      </c>
      <c r="M426" s="1406"/>
      <c r="N426" s="1407">
        <f>I426-L426</f>
        <v>-86700</v>
      </c>
      <c r="O426" s="1407"/>
      <c r="P426" s="1408" t="s">
        <v>2560</v>
      </c>
      <c r="Q426" s="1330"/>
      <c r="R426" s="1393"/>
      <c r="S426" s="1391">
        <f>'Part III-Sources of Funds'!S49</f>
        <v>0</v>
      </c>
      <c r="T426" s="1391">
        <f>'Part III-Sources of Funds'!T49</f>
        <v>0</v>
      </c>
    </row>
    <row r="427" spans="1:20" ht="41.4">
      <c r="A427" s="1330"/>
      <c r="B427" s="1330" t="s">
        <v>803</v>
      </c>
      <c r="C427" s="1330"/>
      <c r="D427" s="1330"/>
      <c r="E427" s="1386" t="str">
        <f>'Part III-Sources of Funds'!E50</f>
        <v>Affordable Equity Partners, Inc.</v>
      </c>
      <c r="F427" s="1386">
        <f>'Part III-Sources of Funds'!F50</f>
        <v>0</v>
      </c>
      <c r="G427" s="1386">
        <f>'Part III-Sources of Funds'!G50</f>
        <v>0</v>
      </c>
      <c r="H427" s="1386">
        <f>'Part III-Sources of Funds'!H50</f>
        <v>0</v>
      </c>
      <c r="I427" s="1462">
        <f>'Part III-Sources of Funds'!I50</f>
        <v>3985000</v>
      </c>
      <c r="J427" s="1462">
        <f>'Part III-Sources of Funds'!J50</f>
        <v>0</v>
      </c>
      <c r="K427" s="1393"/>
      <c r="L427" s="1406">
        <f>'Part IV-A-Uses of Funds'!$J$175*10*'Part IV-A-Uses of Funds'!$Q$168</f>
        <v>3900000</v>
      </c>
      <c r="M427" s="1406"/>
      <c r="N427" s="1407">
        <f>I427-L427</f>
        <v>85000</v>
      </c>
      <c r="O427" s="1407"/>
      <c r="P427" s="1409">
        <f>I426/I436</f>
        <v>0.59348627422348865</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0.28110762753980034</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0.87459390176328899</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27.6">
      <c r="A432" s="1330"/>
      <c r="B432" s="1330" t="s">
        <v>741</v>
      </c>
      <c r="C432" s="1386" t="str">
        <f>'Part III-Sources of Funds'!C55</f>
        <v>GP &amp; LP Equity</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110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14176065</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14176065</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3467</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Please see Tab 01 for the Construction and Permanent Debt Commitments from Sterling Bank.</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ht="13.8">
      <c r="A446" s="1330" t="str">
        <f>CONCATENATE("PART FOUR -  USES OF FUNDS","  -  ",'Part I-Project Information'!$O$6," ",'Part I-Project Information'!$F$34,", ",'Part I-Project Information'!F483,", ",'Part I-Project Information'!J484," County")</f>
        <v>PART FOUR -  USES OF FUNDS  -  2019-042 Brennan Place,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2019-042 Brennan Place,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5000</v>
      </c>
      <c r="H453" s="1412"/>
      <c r="I453" s="1330"/>
      <c r="J453" s="1412">
        <f>'Part IV-A-Uses of Funds'!J8</f>
        <v>5000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8000</v>
      </c>
      <c r="H454" s="1412"/>
      <c r="I454" s="1330"/>
      <c r="J454" s="1412">
        <f>'Part IV-A-Uses of Funds'!J9</f>
        <v>8000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6500</v>
      </c>
      <c r="H455" s="1412"/>
      <c r="I455" s="1330"/>
      <c r="J455" s="1412">
        <f>'Part IV-A-Uses of Funds'!J10</f>
        <v>6500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10000</v>
      </c>
      <c r="H456" s="1412"/>
      <c r="I456" s="1330"/>
      <c r="J456" s="1412">
        <f>'Part IV-A-Uses of Funds'!J11</f>
        <v>10000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2500</v>
      </c>
      <c r="C457" s="1330"/>
      <c r="D457" s="1330"/>
      <c r="E457" s="1330"/>
      <c r="F457" s="1330"/>
      <c r="G457" s="1412">
        <f>'Part IV-A-Uses of Funds'!G12</f>
        <v>12500</v>
      </c>
      <c r="H457" s="1412"/>
      <c r="I457" s="1330"/>
      <c r="J457" s="1412">
        <f>'Part IV-A-Uses of Funds'!J12</f>
        <v>12500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42000</v>
      </c>
      <c r="H462" s="1412"/>
      <c r="I462" s="1330"/>
      <c r="J462" s="1412">
        <f>SUM(J453:K461)</f>
        <v>42000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3724</v>
      </c>
      <c r="F464" s="1419">
        <f>IF('Part I-Project Information'!$O$37="","",G464/'Part I-Project Information'!$O$37)</f>
        <v>134615.38461538462</v>
      </c>
      <c r="G464" s="1412">
        <f>'Part IV-A-Uses of Funds'!G19</f>
        <v>700000</v>
      </c>
      <c r="H464" s="1412"/>
      <c r="I464" s="1330"/>
      <c r="J464" s="1347"/>
      <c r="K464" s="1412"/>
      <c r="L464" s="1347"/>
      <c r="M464" s="1347"/>
      <c r="N464" s="1412"/>
      <c r="O464" s="1330"/>
      <c r="P464" s="1347"/>
      <c r="Q464" s="1412"/>
      <c r="R464" s="1330"/>
      <c r="S464" s="1412">
        <f>'Part IV-A-Uses of Funds'!S19</f>
        <v>700000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700000</v>
      </c>
      <c r="H468" s="1412"/>
      <c r="I468" s="1330"/>
      <c r="J468" s="1347"/>
      <c r="K468" s="1412"/>
      <c r="L468" s="1347"/>
      <c r="M468" s="1412">
        <f>SUM(M466:N467)</f>
        <v>0</v>
      </c>
      <c r="N468" s="1412"/>
      <c r="O468" s="1330"/>
      <c r="P468" s="1347"/>
      <c r="Q468" s="1412"/>
      <c r="R468" s="1330"/>
      <c r="S468" s="1412">
        <f>SUM(S464:T467)</f>
        <v>700000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3724</v>
      </c>
      <c r="F470" s="1419">
        <f>IF('Part I-Project Information'!$O$37="","",G470/'Part I-Project Information'!$O$37)</f>
        <v>268449.03846153844</v>
      </c>
      <c r="G470" s="1412">
        <f>'Part IV-A-Uses of Funds'!G25</f>
        <v>1395935</v>
      </c>
      <c r="H470" s="1412"/>
      <c r="I470" s="1330"/>
      <c r="J470" s="1412">
        <f>'Part IV-A-Uses of Funds'!J25</f>
        <v>1326138</v>
      </c>
      <c r="K470" s="1412"/>
      <c r="L470" s="1347"/>
      <c r="M470" s="1412">
        <f>'Part IV-A-Uses of Funds'!M25</f>
        <v>0</v>
      </c>
      <c r="N470" s="1412"/>
      <c r="O470" s="1330"/>
      <c r="P470" s="1412">
        <f>'Part IV-A-Uses of Funds'!P25</f>
        <v>0</v>
      </c>
      <c r="Q470" s="1412"/>
      <c r="R470" s="1330"/>
      <c r="S470" s="1412">
        <f>'Part IV-A-Uses of Funds'!S25</f>
        <v>69797</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1395935</v>
      </c>
      <c r="H472" s="1412"/>
      <c r="I472" s="1330"/>
      <c r="J472" s="1412">
        <f>SUM(J470:K471)</f>
        <v>1326138</v>
      </c>
      <c r="K472" s="1412"/>
      <c r="L472" s="1347"/>
      <c r="M472" s="1412">
        <f>M470</f>
        <v>0</v>
      </c>
      <c r="N472" s="1412"/>
      <c r="O472" s="1330"/>
      <c r="P472" s="1412">
        <f>P470</f>
        <v>0</v>
      </c>
      <c r="Q472" s="1412"/>
      <c r="R472" s="1330"/>
      <c r="S472" s="1412">
        <f>SUM(S470:T471)</f>
        <v>69797</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6700000</v>
      </c>
      <c r="H474" s="1412"/>
      <c r="I474" s="1330"/>
      <c r="J474" s="1412">
        <f>'Part IV-A-Uses of Funds'!J29</f>
        <v>6700000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2780</v>
      </c>
      <c r="C476" s="1330"/>
      <c r="D476" s="1330"/>
      <c r="E476" s="1330"/>
      <c r="F476" s="1330"/>
      <c r="G476" s="1412">
        <f>'Part IV-A-Uses of Funds'!G31</f>
        <v>231706</v>
      </c>
      <c r="H476" s="1412"/>
      <c r="I476" s="1330"/>
      <c r="J476" s="1412">
        <f>'Part IV-A-Uses of Funds'!J31</f>
        <v>231706</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6931706</v>
      </c>
      <c r="H478" s="1412"/>
      <c r="I478" s="1330"/>
      <c r="J478" s="1412">
        <f>SUM(J474:K477)</f>
        <v>6931706</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3728</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499658.45999999996</v>
      </c>
      <c r="F480" s="1425">
        <f>IF(($G$27+$G$33)=0,0,G480/($G$27+$G$33))</f>
        <v>0</v>
      </c>
      <c r="G480" s="1412">
        <f>'Part IV-A-Uses of Funds'!G35</f>
        <v>499658</v>
      </c>
      <c r="H480" s="1412"/>
      <c r="I480" s="1336"/>
      <c r="J480" s="1412">
        <f>'Part IV-A-Uses of Funds'!J35</f>
        <v>499658</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2736</v>
      </c>
      <c r="C481" s="1330"/>
      <c r="D481" s="1425">
        <f>'DCA Underwriting Assumptions'!$R$74</f>
        <v>0.02</v>
      </c>
      <c r="E481" s="1426">
        <f>D481*(G472+G478)</f>
        <v>166552.82</v>
      </c>
      <c r="F481" s="1425">
        <f>IF(($G$27+$G$33)=0,0,G481/($G$27+$G$33))</f>
        <v>0</v>
      </c>
      <c r="G481" s="1412">
        <f>'Part IV-A-Uses of Funds'!G36</f>
        <v>166552</v>
      </c>
      <c r="H481" s="1412"/>
      <c r="I481" s="1336"/>
      <c r="J481" s="1412">
        <f>'Part IV-A-Uses of Funds'!J36</f>
        <v>166552</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2737</v>
      </c>
      <c r="C482" s="1330"/>
      <c r="D482" s="1425">
        <f>'DCA Underwriting Assumptions'!$R$75</f>
        <v>0.06</v>
      </c>
      <c r="E482" s="1426">
        <f>D482*(G472+G478)</f>
        <v>499658.45999999996</v>
      </c>
      <c r="F482" s="1425">
        <f>IF(($G$27+$G$33)=0,0,G482/($G$27+$G$33))</f>
        <v>0</v>
      </c>
      <c r="G482" s="1412">
        <f>'Part IV-A-Uses of Funds'!G37</f>
        <v>499658</v>
      </c>
      <c r="H482" s="1412"/>
      <c r="I482" s="1336"/>
      <c r="J482" s="1412">
        <f>'Part IV-A-Uses of Funds'!J37</f>
        <v>499658</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3729</v>
      </c>
      <c r="C483" s="1330"/>
      <c r="D483" s="2340">
        <f>SUM(D480:D482)</f>
        <v>0.14000000000000001</v>
      </c>
      <c r="E483" s="2341">
        <f>SUM(E480:E482)</f>
        <v>1165869.74</v>
      </c>
      <c r="F483" s="1444" t="s">
        <v>191</v>
      </c>
      <c r="G483" s="1412">
        <f>SUM(G480:H482)</f>
        <v>1165868</v>
      </c>
      <c r="H483" s="1412"/>
      <c r="I483" s="1330"/>
      <c r="J483" s="1412">
        <f>SUM(J480:K482)</f>
        <v>1165868</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4499</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5315</v>
      </c>
      <c r="C488" s="1429"/>
      <c r="D488" s="1330"/>
      <c r="E488" s="1386" t="s">
        <v>2744</v>
      </c>
      <c r="F488" s="1430">
        <f>B489/'Part VI-Revenues &amp; Expenses'!$O$65</f>
        <v>131854.29166666666</v>
      </c>
      <c r="G488" s="1431" t="s">
        <v>4501</v>
      </c>
      <c r="H488" s="1330"/>
      <c r="I488" s="1330"/>
      <c r="J488" s="1432">
        <f>B489/'Part VI-Revenues &amp; Expenses'!$O$67</f>
        <v>131854.29166666666</v>
      </c>
      <c r="K488" s="1432"/>
      <c r="L488" s="1330"/>
      <c r="M488" s="1433" t="s">
        <v>1402</v>
      </c>
      <c r="N488" s="1433"/>
      <c r="O488" s="1330"/>
      <c r="P488" s="1432">
        <f>B489/'Part I-Project Information'!$P$75</f>
        <v>129.21964664888114</v>
      </c>
      <c r="Q488" s="1432"/>
      <c r="R488" s="1330"/>
      <c r="S488" s="1354" t="s">
        <v>2778</v>
      </c>
      <c r="T488" s="1354"/>
      <c r="U488" s="1330"/>
      <c r="V488" s="1418"/>
      <c r="W488" s="1203">
        <f>'Part IV-A-Uses of Funds'!W43</f>
        <v>0</v>
      </c>
      <c r="X488" s="1203"/>
    </row>
    <row r="489" spans="1:24" ht="13.8">
      <c r="A489" s="1330"/>
      <c r="B489" s="1434">
        <f>G472+G478+G483+G486</f>
        <v>9493509</v>
      </c>
      <c r="C489" s="1434"/>
      <c r="D489" s="1330"/>
      <c r="E489" s="1386"/>
      <c r="F489" s="1430">
        <f>B489/'Part VI-Revenues &amp; Expenses'!$O$154</f>
        <v>133.20857888533422</v>
      </c>
      <c r="G489" s="1354" t="s">
        <v>4502</v>
      </c>
      <c r="H489" s="1330"/>
      <c r="I489" s="1330"/>
      <c r="J489" s="1432">
        <f>B489/'Part VI-Revenues &amp; Expenses'!$O$156</f>
        <v>133.20857888533422</v>
      </c>
      <c r="K489" s="1432"/>
      <c r="L489" s="1330"/>
      <c r="M489" s="1354" t="s">
        <v>2777</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4183</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4182</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474675.45</v>
      </c>
      <c r="F492" s="1438">
        <f>G492/B489</f>
        <v>4.9999952599191724E-2</v>
      </c>
      <c r="G492" s="1412">
        <f>'Part IV-A-Uses of Funds'!G47</f>
        <v>474675</v>
      </c>
      <c r="H492" s="1412"/>
      <c r="I492" s="1330"/>
      <c r="J492" s="1412">
        <f>'Part IV-A-Uses of Funds'!J47</f>
        <v>474675</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4503</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3730</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3731</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98957</v>
      </c>
      <c r="H499" s="1412"/>
      <c r="I499" s="1330"/>
      <c r="J499" s="1412">
        <f>'Part IV-A-Uses of Funds'!J54</f>
        <v>98957</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466862</v>
      </c>
      <c r="H500" s="1412"/>
      <c r="I500" s="1330"/>
      <c r="J500" s="1412">
        <f>'Part IV-A-Uses of Funds'!J55</f>
        <v>389512</v>
      </c>
      <c r="K500" s="1412"/>
      <c r="L500" s="1347"/>
      <c r="M500" s="1412">
        <f>'Part IV-A-Uses of Funds'!M55</f>
        <v>0</v>
      </c>
      <c r="N500" s="1412"/>
      <c r="O500" s="1330"/>
      <c r="P500" s="1412">
        <f>'Part IV-A-Uses of Funds'!P55</f>
        <v>0</v>
      </c>
      <c r="Q500" s="1412"/>
      <c r="R500" s="1330"/>
      <c r="S500" s="1412">
        <f>'Part IV-A-Uses of Funds'!S55</f>
        <v>77350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25000</v>
      </c>
      <c r="H501" s="1412"/>
      <c r="I501" s="1330"/>
      <c r="J501" s="1412">
        <f>'Part IV-A-Uses of Funds'!J56</f>
        <v>25000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2687</v>
      </c>
      <c r="C502" s="1330"/>
      <c r="D502" s="1330"/>
      <c r="E502" s="1330"/>
      <c r="F502" s="1330"/>
      <c r="G502" s="1412">
        <f>'Part IV-A-Uses of Funds'!G57</f>
        <v>0</v>
      </c>
      <c r="H502" s="1412"/>
      <c r="I502" s="1330"/>
      <c r="J502" s="1412">
        <f>'Part IV-A-Uses of Funds'!J57</f>
        <v>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10000</v>
      </c>
      <c r="H503" s="1412"/>
      <c r="I503" s="1330"/>
      <c r="J503" s="1412">
        <f>'Part IV-A-Uses of Funds'!J58</f>
        <v>10000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25000</v>
      </c>
      <c r="H504" s="1412"/>
      <c r="I504" s="1330"/>
      <c r="J504" s="1412">
        <f>'Part IV-A-Uses of Funds'!J59</f>
        <v>25000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30000</v>
      </c>
      <c r="H505" s="1412"/>
      <c r="I505" s="1330"/>
      <c r="J505" s="1412">
        <f>'Part IV-A-Uses of Funds'!J60</f>
        <v>25000</v>
      </c>
      <c r="K505" s="1412"/>
      <c r="L505" s="1347"/>
      <c r="M505" s="1412">
        <f>'Part IV-A-Uses of Funds'!M60</f>
        <v>0</v>
      </c>
      <c r="N505" s="1412"/>
      <c r="O505" s="1330"/>
      <c r="P505" s="1412">
        <f>'Part IV-A-Uses of Funds'!P60</f>
        <v>0</v>
      </c>
      <c r="Q505" s="1412"/>
      <c r="R505" s="1330"/>
      <c r="S505" s="1412">
        <f>'Part IV-A-Uses of Funds'!S60</f>
        <v>5000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655819</v>
      </c>
      <c r="H509" s="1412"/>
      <c r="I509" s="1330"/>
      <c r="J509" s="1412">
        <f>SUM(J497:K508)</f>
        <v>573469</v>
      </c>
      <c r="K509" s="1412"/>
      <c r="L509" s="1347"/>
      <c r="M509" s="1412">
        <f>SUM(M497:N508)</f>
        <v>0</v>
      </c>
      <c r="N509" s="1412"/>
      <c r="O509" s="1330"/>
      <c r="P509" s="1412">
        <f>SUM(P497:Q508)</f>
        <v>0</v>
      </c>
      <c r="Q509" s="1412"/>
      <c r="R509" s="1330"/>
      <c r="S509" s="1412">
        <f>SUM(S497:T508)</f>
        <v>82350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172800</v>
      </c>
      <c r="H511" s="1412"/>
      <c r="I511" s="1330"/>
      <c r="J511" s="1412">
        <f>'Part IV-A-Uses of Funds'!J66</f>
        <v>172800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43200</v>
      </c>
      <c r="H512" s="1412"/>
      <c r="I512" s="1330"/>
      <c r="J512" s="1412">
        <f>'Part IV-A-Uses of Funds'!J67</f>
        <v>43200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3843</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20000</v>
      </c>
      <c r="H514" s="1412"/>
      <c r="I514" s="1330"/>
      <c r="J514" s="1412">
        <f>'Part IV-A-Uses of Funds'!J69</f>
        <v>20000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25000</v>
      </c>
      <c r="H515" s="1412"/>
      <c r="I515" s="1330"/>
      <c r="J515" s="1412">
        <f>'Part IV-A-Uses of Funds'!J70</f>
        <v>25000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25000</v>
      </c>
      <c r="H516" s="1412"/>
      <c r="I516" s="1330"/>
      <c r="J516" s="1412">
        <f>'Part IV-A-Uses of Funds'!J71</f>
        <v>25000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90000</v>
      </c>
      <c r="H517" s="1412"/>
      <c r="I517" s="1330"/>
      <c r="J517" s="1412">
        <f>'Part IV-A-Uses of Funds'!J72</f>
        <v>90000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20000</v>
      </c>
      <c r="H518" s="1412"/>
      <c r="I518" s="1330"/>
      <c r="J518" s="1412">
        <f>'Part IV-A-Uses of Funds'!J73</f>
        <v>10000</v>
      </c>
      <c r="K518" s="1412"/>
      <c r="L518" s="1347"/>
      <c r="M518" s="1412">
        <f>'Part IV-A-Uses of Funds'!M73</f>
        <v>0</v>
      </c>
      <c r="N518" s="1412"/>
      <c r="O518" s="1330"/>
      <c r="P518" s="1412">
        <f>'Part IV-A-Uses of Funds'!P73</f>
        <v>0</v>
      </c>
      <c r="Q518" s="1412"/>
      <c r="R518" s="1330"/>
      <c r="S518" s="1412">
        <f>'Part IV-A-Uses of Funds'!S73</f>
        <v>10000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15000</v>
      </c>
      <c r="H519" s="1412"/>
      <c r="I519" s="1330"/>
      <c r="J519" s="1412">
        <f>'Part IV-A-Uses of Funds'!J74</f>
        <v>15000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12500</v>
      </c>
      <c r="H520" s="1412"/>
      <c r="I520" s="1330"/>
      <c r="J520" s="1412">
        <f>'Part IV-A-Uses of Funds'!J75</f>
        <v>12500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443500</v>
      </c>
      <c r="H522" s="1412"/>
      <c r="I522" s="1330"/>
      <c r="J522" s="1412">
        <f>SUM(J511:K521)</f>
        <v>433500</v>
      </c>
      <c r="K522" s="1412"/>
      <c r="L522" s="1347"/>
      <c r="M522" s="1412">
        <f>SUM(M511:N521)</f>
        <v>0</v>
      </c>
      <c r="N522" s="1412"/>
      <c r="O522" s="1330"/>
      <c r="P522" s="1412">
        <f>SUM(P511:Q521)</f>
        <v>0</v>
      </c>
      <c r="Q522" s="1412"/>
      <c r="R522" s="1330"/>
      <c r="S522" s="1412">
        <f>SUM(S511:T521)</f>
        <v>10000</v>
      </c>
      <c r="T522" s="1412"/>
      <c r="U522" s="1330"/>
      <c r="V522" s="1418">
        <f>SUM(V511:V521)</f>
        <v>0</v>
      </c>
      <c r="W522" s="1203">
        <f>'Part IV-A-Uses of Funds'!W77</f>
        <v>0</v>
      </c>
      <c r="X522" s="1203"/>
    </row>
    <row r="523" spans="1:24" ht="13.8">
      <c r="A523" s="1330"/>
      <c r="B523" s="1330" t="s">
        <v>1269</v>
      </c>
      <c r="C523" s="1330"/>
      <c r="D523" s="1442" t="s">
        <v>3732</v>
      </c>
      <c r="E523" s="1443">
        <f>G528/'Part VI-Revenues &amp; Expenses'!$O$67</f>
        <v>1284.7222222222222</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42400</v>
      </c>
      <c r="H524" s="1412"/>
      <c r="I524" s="1330"/>
      <c r="J524" s="1412">
        <f>'Part IV-A-Uses of Funds'!J79</f>
        <v>42400</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30000</v>
      </c>
      <c r="H526" s="1412"/>
      <c r="I526" s="1336"/>
      <c r="J526" s="1412">
        <f>'Part IV-A-Uses of Funds'!J81</f>
        <v>30000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20100</v>
      </c>
      <c r="H527" s="1412"/>
      <c r="I527" s="1336"/>
      <c r="J527" s="1412">
        <f>'Part IV-A-Uses of Funds'!J82</f>
        <v>20100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92500</v>
      </c>
      <c r="H528" s="1412"/>
      <c r="I528" s="1330"/>
      <c r="J528" s="1412">
        <f>SUM(J524:K527)</f>
        <v>92500</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17000</v>
      </c>
      <c r="H530" s="1412"/>
      <c r="I530" s="1330"/>
      <c r="J530" s="1412"/>
      <c r="K530" s="1412"/>
      <c r="L530" s="1347"/>
      <c r="M530" s="1412"/>
      <c r="N530" s="1412"/>
      <c r="O530" s="1330"/>
      <c r="P530" s="1412"/>
      <c r="Q530" s="1412"/>
      <c r="R530" s="1330"/>
      <c r="S530" s="1412">
        <f>'Part IV-A-Uses of Funds'!S85</f>
        <v>17000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15000</v>
      </c>
      <c r="H531" s="1412"/>
      <c r="I531" s="1330"/>
      <c r="J531" s="1412"/>
      <c r="K531" s="1412"/>
      <c r="L531" s="1347"/>
      <c r="M531" s="1412"/>
      <c r="N531" s="1412"/>
      <c r="O531" s="1330"/>
      <c r="P531" s="1412"/>
      <c r="Q531" s="1412"/>
      <c r="R531" s="1330"/>
      <c r="S531" s="1412">
        <f>'Part IV-A-Uses of Funds'!S86</f>
        <v>15000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10000</v>
      </c>
      <c r="H532" s="1412"/>
      <c r="I532" s="1330"/>
      <c r="J532" s="1412"/>
      <c r="K532" s="1412"/>
      <c r="L532" s="1347"/>
      <c r="M532" s="1412"/>
      <c r="N532" s="1412"/>
      <c r="O532" s="1330"/>
      <c r="P532" s="1412"/>
      <c r="Q532" s="1412"/>
      <c r="R532" s="1330"/>
      <c r="S532" s="1412">
        <f>'Part IV-A-Uses of Funds'!S87</f>
        <v>10000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42000</v>
      </c>
      <c r="H536" s="1412"/>
      <c r="I536" s="1330"/>
      <c r="J536" s="1412"/>
      <c r="K536" s="1412"/>
      <c r="L536" s="1347"/>
      <c r="M536" s="1412"/>
      <c r="N536" s="1412"/>
      <c r="O536" s="1330"/>
      <c r="P536" s="1412"/>
      <c r="Q536" s="1412"/>
      <c r="R536" s="1330"/>
      <c r="S536" s="1412">
        <f>SUM(S530:T535)</f>
        <v>42000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4504</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3944</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80000</v>
      </c>
      <c r="F544" s="1446"/>
      <c r="G544" s="1412">
        <f>'Part IV-A-Uses of Funds'!G99</f>
        <v>80000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80000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545" s="1446"/>
      <c r="G545" s="1412">
        <f>'Part IV-A-Uses of Funds'!G100</f>
        <v>57600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57600</v>
      </c>
      <c r="T545" s="1412"/>
      <c r="U545" s="1330"/>
      <c r="V545" s="1418">
        <f>'Part IV-A-Uses of Funds'!V100</f>
        <v>0</v>
      </c>
      <c r="W545" s="1203">
        <f>'Part IV-A-Uses of Funds'!W100</f>
        <v>0</v>
      </c>
      <c r="X545" s="1203"/>
    </row>
    <row r="546" spans="1:24" ht="13.8">
      <c r="A546" s="1330"/>
      <c r="B546" s="1330" t="s">
        <v>4235</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4236</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151100</v>
      </c>
      <c r="H550" s="1412"/>
      <c r="I550" s="1330"/>
      <c r="J550" s="1347"/>
      <c r="K550" s="1347"/>
      <c r="L550" s="1347"/>
      <c r="M550" s="1347"/>
      <c r="N550" s="1347"/>
      <c r="O550" s="1330"/>
      <c r="P550" s="1347"/>
      <c r="Q550" s="1347"/>
      <c r="R550" s="1330"/>
      <c r="S550" s="1412">
        <f>SUM(S541:T549)</f>
        <v>151100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329938</v>
      </c>
      <c r="H558" s="1412"/>
      <c r="I558" s="1330"/>
      <c r="J558" s="1412">
        <f>'Part IV-A-Uses of Funds'!J113</f>
        <v>329938</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4191</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1319753</v>
      </c>
      <c r="H562" s="1412"/>
      <c r="I562" s="1330"/>
      <c r="J562" s="1412">
        <f>'Part IV-A-Uses of Funds'!J117</f>
        <v>1319753</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1649691</v>
      </c>
      <c r="H563" s="2344"/>
      <c r="I563" s="1330"/>
      <c r="J563" s="1412">
        <f>SUM(J558:K562)</f>
        <v>1649691</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50000</v>
      </c>
      <c r="H565" s="1412"/>
      <c r="I565" s="1330"/>
      <c r="J565" s="1445"/>
      <c r="K565" s="1445"/>
      <c r="L565" s="1445"/>
      <c r="M565" s="1445"/>
      <c r="N565" s="1445"/>
      <c r="O565" s="1330"/>
      <c r="P565" s="1445"/>
      <c r="Q565" s="1445"/>
      <c r="R565" s="1330"/>
      <c r="S565" s="1412">
        <f>'Part IV-A-Uses of Funds'!S120</f>
        <v>50000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89629.25</v>
      </c>
      <c r="G566" s="1412">
        <f>'Part IV-A-Uses of Funds'!G121</f>
        <v>89630</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89630</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239140.30095688612</v>
      </c>
      <c r="G567" s="1412">
        <f>'Part IV-A-Uses of Funds'!G122</f>
        <v>239141</v>
      </c>
      <c r="H567" s="1412"/>
      <c r="I567" s="1330"/>
      <c r="J567" s="1486" t="str">
        <f>IF(E567&gt;G567,"WARNING! ODR proposed is below minimum - add comment.","")</f>
        <v/>
      </c>
      <c r="K567" s="1445"/>
      <c r="L567" s="1445"/>
      <c r="M567" s="1445"/>
      <c r="N567" s="1445"/>
      <c r="O567" s="1330"/>
      <c r="P567" s="1445"/>
      <c r="Q567" s="1445"/>
      <c r="R567" s="1330"/>
      <c r="S567" s="1412">
        <f>'Part IV-A-Uses of Funds'!S122</f>
        <v>239141</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3566</v>
      </c>
      <c r="F569" s="1419">
        <f>IF('Part VI-Revenues &amp; Expenses'!$O$67=0,0,G569/'Part VI-Revenues &amp; Expenses'!$O$67)</f>
        <v>694.44444444444446</v>
      </c>
      <c r="G569" s="1412">
        <f>'Part IV-A-Uses of Funds'!G124</f>
        <v>50000</v>
      </c>
      <c r="H569" s="1412"/>
      <c r="I569" s="1330"/>
      <c r="J569" s="1412">
        <f>'Part IV-A-Uses of Funds'!J124</f>
        <v>50000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428771</v>
      </c>
      <c r="H571" s="1412"/>
      <c r="I571" s="1330"/>
      <c r="J571" s="1412">
        <f>SUM(J569:K570)</f>
        <v>50000</v>
      </c>
      <c r="K571" s="1412"/>
      <c r="L571" s="1347"/>
      <c r="M571" s="1412">
        <f>SUM(M569:N570)</f>
        <v>0</v>
      </c>
      <c r="N571" s="1412"/>
      <c r="O571" s="1330"/>
      <c r="P571" s="1412">
        <f>SUM(P569:Q570)</f>
        <v>0</v>
      </c>
      <c r="Q571" s="1412"/>
      <c r="R571" s="1330"/>
      <c r="S571" s="1412">
        <f>SUM(S565:T570)</f>
        <v>378771</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5316</v>
      </c>
      <c r="C577" s="1330"/>
      <c r="D577" s="1330"/>
      <c r="E577" s="1330"/>
      <c r="F577" s="1330"/>
      <c r="G577" s="1412">
        <f>G462+G468+G472+G478+G483+G486+G492+G509+G522+G528+G536+G550+G556+G563+G571+G575</f>
        <v>14176065</v>
      </c>
      <c r="H577" s="1412"/>
      <c r="I577" s="1330"/>
      <c r="J577" s="1412">
        <f>J462+J468+J472+J478+J483+J486+J492+J509+J522+J528+J536+J550+J556+J563+J571+J575</f>
        <v>12739547</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1436518</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5095</v>
      </c>
      <c r="C579" s="1429"/>
      <c r="D579" s="1456">
        <f>IF('Part VI-Revenues &amp; Expenses'!$O$67=0,0,G577/'Part VI-Revenues &amp; Expenses'!$O$67)</f>
        <v>196889.79166666666</v>
      </c>
      <c r="E579" s="1456"/>
      <c r="F579" s="1457" t="s">
        <v>2763</v>
      </c>
      <c r="G579" s="1456">
        <f>IF('Part I-Project Information'!$P$75=0,0,G577/'Part I-Project Information'!$P$75)</f>
        <v>192.95564055098819</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12739547</v>
      </c>
      <c r="K594" s="1462"/>
      <c r="L594" s="1330"/>
      <c r="M594" s="1462">
        <f>M577</f>
        <v>0</v>
      </c>
      <c r="N594" s="1462"/>
      <c r="O594" s="1330"/>
      <c r="P594" s="1462">
        <f>P577</f>
        <v>0</v>
      </c>
      <c r="Q594" s="1462"/>
      <c r="R594" s="1468" t="s">
        <v>4725</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12739547</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16561411.100000001</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0.875</v>
      </c>
      <c r="K599" s="1463"/>
      <c r="L599" s="1330"/>
      <c r="M599" s="1463">
        <f>MIN('Part VI-Revenues &amp; Expenses'!$O$63/'Part VI-Revenues &amp; Expenses'!$O$65,'Part VI-Revenues &amp; Expenses'!$O$152/'Part VI-Revenues &amp; Expenses'!$O$154)</f>
        <v>0.875</v>
      </c>
      <c r="N599" s="1463"/>
      <c r="O599" s="1330"/>
      <c r="P599" s="1463">
        <f>MIN('Part VI-Revenues &amp; Expenses'!$O$63/'Part VI-Revenues &amp; Expenses'!$O$65,'Part VI-Revenues &amp; Expenses'!$O$152/'Part VI-Revenues &amp; Expenses'!$O$154)</f>
        <v>0.875</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14491234.712500002</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2542</v>
      </c>
      <c r="C602" s="1330"/>
      <c r="D602" s="1330"/>
      <c r="E602" s="1330"/>
      <c r="F602" s="1330"/>
      <c r="G602" s="1330"/>
      <c r="H602" s="1330"/>
      <c r="I602" s="1330"/>
      <c r="J602" s="1462">
        <f>J600*J601</f>
        <v>1304211.1241250001</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1304211</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5317</v>
      </c>
      <c r="C607" s="1330"/>
      <c r="D607" s="1330"/>
      <c r="E607" s="1330"/>
      <c r="F607" s="1330"/>
      <c r="G607" s="1335" t="str">
        <f>IF(J608&gt;J607,"TDC exceeds QAP PUCL!","")</f>
        <v/>
      </c>
      <c r="H607" s="1335"/>
      <c r="I607" s="1335"/>
      <c r="J607" s="1467">
        <f>'Part VIII-Threshold Criteria'!$P$63</f>
        <v>14215668</v>
      </c>
      <c r="K607" s="1467"/>
      <c r="L607" s="1467"/>
      <c r="M607" s="1468" t="s">
        <v>2746</v>
      </c>
      <c r="N607" s="1468"/>
      <c r="O607" s="1468"/>
      <c r="P607" s="1468"/>
      <c r="Q607" s="1468"/>
      <c r="R607" s="1468"/>
      <c r="S607" s="1468" t="s">
        <v>3672</v>
      </c>
      <c r="T607" s="1468"/>
      <c r="U607" s="1330"/>
      <c r="V607" s="1418">
        <f>'Part IV-A-Uses of Funds'!V162</f>
        <v>0</v>
      </c>
      <c r="W607" s="1203">
        <f>'Part IV-A-Uses of Funds'!W162</f>
        <v>0</v>
      </c>
      <c r="X607" s="1203"/>
    </row>
    <row r="608" spans="1:24" ht="13.8">
      <c r="A608" s="1330"/>
      <c r="B608" s="1330" t="s">
        <v>5318</v>
      </c>
      <c r="C608" s="1330"/>
      <c r="D608" s="1330"/>
      <c r="E608" s="1330"/>
      <c r="F608" s="1330"/>
      <c r="G608" s="1330"/>
      <c r="H608" s="1330"/>
      <c r="I608" s="1330"/>
      <c r="J608" s="1462">
        <f>'Part IV-A-Uses of Funds'!J163</f>
        <v>14176065</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1700110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12475955</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1247595.5</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5096</v>
      </c>
      <c r="C613" s="1330"/>
      <c r="D613" s="1330"/>
      <c r="E613" s="1330"/>
      <c r="F613" s="1330"/>
      <c r="G613" s="1330"/>
      <c r="H613" s="1330"/>
      <c r="I613" s="1330"/>
      <c r="J613" s="1471">
        <f>N613+Q613</f>
        <v>1.24</v>
      </c>
      <c r="K613" s="1471"/>
      <c r="L613" s="1471"/>
      <c r="M613" s="1334" t="s">
        <v>1289</v>
      </c>
      <c r="N613" s="1821">
        <f>'Part IV-A-Uses of Funds'!N168</f>
        <v>0.85</v>
      </c>
      <c r="O613" s="1821"/>
      <c r="P613" s="1334" t="s">
        <v>612</v>
      </c>
      <c r="Q613" s="1821">
        <f>'Part IV-A-Uses of Funds'!Q168</f>
        <v>0.39</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1006125</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5097</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1000000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5098</v>
      </c>
      <c r="C618" s="1330"/>
      <c r="D618" s="1330"/>
      <c r="E618" s="1330"/>
      <c r="F618" s="1330"/>
      <c r="G618" s="1330"/>
      <c r="H618" s="1330"/>
      <c r="I618" s="1330"/>
      <c r="J618" s="1462">
        <f>'Part IV-A-Uses of Funds'!J173</f>
        <v>1000000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5319</v>
      </c>
      <c r="C620" s="1330"/>
      <c r="D620" s="1336"/>
      <c r="E620" s="1336"/>
      <c r="F620" s="1337"/>
      <c r="G620" s="1330"/>
      <c r="H620" s="1330"/>
      <c r="I620" s="1330"/>
      <c r="J620" s="1462">
        <f>IF(J618="",0,+MIN(J616,J618))</f>
        <v>1000000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Please see Tab 01 for documentation of Local Government Fees (water tap, sewer tap, permits, impact fees).</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2019-042 - Brennan Place  -  Columbus  -  Muscogee,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5099</v>
      </c>
      <c r="B632" s="2350"/>
      <c r="C632" s="2350"/>
      <c r="D632" s="2350"/>
      <c r="E632" s="1822"/>
      <c r="F632" s="2351" t="s">
        <v>3702</v>
      </c>
      <c r="G632" s="1477"/>
      <c r="H632" s="2351" t="s">
        <v>3703</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3705</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3705</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5100</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3705</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5101</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3705</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5102</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2019-042 Brennan Place,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4604</v>
      </c>
      <c r="I713" s="1630" t="str">
        <f>VLOOKUP('Part I-Project Information'!$J$39,'DCA Underwriting Assumptions'!$G$158:$H$317,2)</f>
        <v>Local PHA</v>
      </c>
    </row>
    <row r="715" spans="1:13">
      <c r="A715" s="1489" t="s">
        <v>3800</v>
      </c>
    </row>
    <row r="717" spans="1:13" ht="26.4">
      <c r="A717" s="638" t="s">
        <v>616</v>
      </c>
      <c r="B717" s="638" t="s">
        <v>2227</v>
      </c>
      <c r="F717" s="638" t="s">
        <v>2519</v>
      </c>
      <c r="I717" s="1318" t="str">
        <f>'Part V-Utility Allowances'!I7</f>
        <v>UAPro - Utility Allowances</v>
      </c>
      <c r="J717" s="1318"/>
      <c r="K717" s="1318"/>
      <c r="L717" s="1318"/>
      <c r="M717" s="1318"/>
    </row>
    <row r="718" spans="1:13">
      <c r="F718" s="638" t="s">
        <v>636</v>
      </c>
      <c r="I718" s="1826">
        <f>'Part V-Utility Allowances'!I8</f>
        <v>43466</v>
      </c>
      <c r="J718" s="1826"/>
      <c r="K718" s="1320" t="s">
        <v>540</v>
      </c>
      <c r="L718" s="1794" t="str">
        <f>'Part V-Utility Allowances'!L8</f>
        <v>3+ 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8</v>
      </c>
      <c r="K722" s="1320">
        <f>'Part V-Utility Allowances'!K12</f>
        <v>9</v>
      </c>
      <c r="L722" s="1320">
        <f>'Part V-Utility Allowances'!L12</f>
        <v>10</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4</v>
      </c>
      <c r="K723" s="1320">
        <f>'Part V-Utility Allowances'!K13</f>
        <v>6</v>
      </c>
      <c r="L723" s="1320">
        <f>'Part V-Utility Allowances'!L13</f>
        <v>8</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10</v>
      </c>
      <c r="K724" s="1320">
        <f>'Part V-Utility Allowances'!K14</f>
        <v>13</v>
      </c>
      <c r="L724" s="1320">
        <f>'Part V-Utility Allowances'!L14</f>
        <v>16</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10</v>
      </c>
      <c r="K725" s="1320">
        <f>'Part V-Utility Allowances'!K15</f>
        <v>15</v>
      </c>
      <c r="L725" s="1320">
        <f>'Part V-Utility Allowances'!L15</f>
        <v>22</v>
      </c>
      <c r="M725" s="1320">
        <f>'Part V-Utility Allowances'!M15</f>
        <v>0</v>
      </c>
    </row>
    <row r="726" spans="1:13">
      <c r="B726" s="638" t="s">
        <v>3797</v>
      </c>
      <c r="D726" s="638" t="s">
        <v>1596</v>
      </c>
      <c r="F726" s="2353">
        <f>'Part V-Utility Allowances'!F16</f>
        <v>0</v>
      </c>
      <c r="G726" s="235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3798</v>
      </c>
      <c r="D727" s="638" t="s">
        <v>1596</v>
      </c>
      <c r="F727" s="2353">
        <f>'Part V-Utility Allowances'!F17</f>
        <v>0</v>
      </c>
      <c r="G727" s="235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3799</v>
      </c>
      <c r="D728" s="638" t="s">
        <v>1596</v>
      </c>
      <c r="F728" s="2353" t="str">
        <f>'Part V-Utility Allowances'!F18</f>
        <v>X</v>
      </c>
      <c r="G728" s="2353">
        <f>'Part V-Utility Allowances'!G18</f>
        <v>0</v>
      </c>
      <c r="I728" s="1320">
        <f>'Part V-Utility Allowances'!I18</f>
        <v>0</v>
      </c>
      <c r="J728" s="1320">
        <f>'Part V-Utility Allowances'!J18</f>
        <v>17</v>
      </c>
      <c r="K728" s="1320">
        <f>'Part V-Utility Allowances'!K18</f>
        <v>23</v>
      </c>
      <c r="L728" s="1320">
        <f>'Part V-Utility Allowances'!L18</f>
        <v>30</v>
      </c>
      <c r="M728" s="1320">
        <f>'Part V-Utility Allowances'!M18</f>
        <v>0</v>
      </c>
    </row>
    <row r="729" spans="1:13">
      <c r="B729" s="638" t="s">
        <v>1370</v>
      </c>
      <c r="D729" s="638" t="s">
        <v>4517</v>
      </c>
      <c r="E729" s="1320" t="str">
        <f>'Part V-Utility Allowances'!E19</f>
        <v>Yes</v>
      </c>
      <c r="F729" s="2353">
        <f>'Part V-Utility Allowances'!F19</f>
        <v>0</v>
      </c>
      <c r="G729" s="2353" t="str">
        <f>'Part V-Utility Allowances'!G19</f>
        <v>X</v>
      </c>
      <c r="I729" s="1320">
        <f>'Part V-Utility Allowances'!I19</f>
        <v>0</v>
      </c>
      <c r="J729" s="1320">
        <f>'Part V-Utility Allowances'!J19</f>
        <v>0</v>
      </c>
      <c r="K729" s="1320">
        <f>'Part V-Utility Allowances'!K19</f>
        <v>0</v>
      </c>
      <c r="L729" s="1320">
        <f>'Part V-Utility Allowances'!L19</f>
        <v>0</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t="str">
        <f>'Part V-Utility Allowances'!C21</f>
        <v>Electric Fee</v>
      </c>
      <c r="D731" s="457"/>
      <c r="E731" s="457"/>
      <c r="F731" s="2353" t="str">
        <f>'Part V-Utility Allowances'!F21</f>
        <v>X</v>
      </c>
      <c r="G731" s="2353">
        <f>'Part V-Utility Allowances'!G21</f>
        <v>0</v>
      </c>
      <c r="I731" s="1320">
        <f>'Part V-Utility Allowances'!I21</f>
        <v>0</v>
      </c>
      <c r="J731" s="1320">
        <f>'Part V-Utility Allowances'!J21</f>
        <v>14</v>
      </c>
      <c r="K731" s="1320">
        <f>'Part V-Utility Allowances'!K21</f>
        <v>14</v>
      </c>
      <c r="L731" s="1320">
        <f>'Part V-Utility Allowances'!L21</f>
        <v>14</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63</v>
      </c>
      <c r="K732" s="1320">
        <f>IF(SUM(K722:K731)=0,0,IF(OR($D722="&lt;&lt;Select Fuel &gt;&gt;",$D723="&lt;&lt;Select Fuel &gt;&gt;",$D724="&lt;&lt;Select Fuel &gt;&gt;"),"Select Fuel",IF($E729="&lt;Select&gt;","Submeter?",SUM(K722:K731))))</f>
        <v>80</v>
      </c>
      <c r="L732" s="1320">
        <f>IF(SUM(L722:L731)=0,0,IF(OR($D722="&lt;&lt;Select Fuel &gt;&gt;",$D723="&lt;&lt;Select Fuel &gt;&gt;",$D724="&lt;&lt;Select Fuel &gt;&gt;"),"Select Fuel",IF($E729="&lt;Select&gt;","Submeter?",SUM(L722:L731))))</f>
        <v>100</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3797</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3798</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3799</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4517</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4518</v>
      </c>
      <c r="F751" s="1320"/>
      <c r="G751" s="1320"/>
      <c r="I751" s="1320"/>
      <c r="J751" s="1320"/>
      <c r="K751" s="1320"/>
      <c r="L751" s="1320"/>
      <c r="M751" s="1320"/>
    </row>
    <row r="752" spans="2:13">
      <c r="B752" s="638" t="s">
        <v>572</v>
      </c>
    </row>
    <row r="753" spans="1:357" ht="159.6">
      <c r="B753" s="1203" t="str">
        <f>'Part V-Utility Allowances'!B43</f>
        <v>Applicant has used UAPro utility allowances for Large Apartment (5+ units). The project will be a combination of two/three story walk-up designed buildings.</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2019-042 Brennan Place,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2019-042 Brennan Place,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3422</v>
      </c>
      <c r="MF765" s="1318" t="s">
        <v>3423</v>
      </c>
      <c r="MG765" s="1318" t="s">
        <v>3424</v>
      </c>
      <c r="MH765" s="1318" t="s">
        <v>3425</v>
      </c>
      <c r="MI765" s="1318" t="s">
        <v>3426</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4519</v>
      </c>
      <c r="Q766" s="2320"/>
      <c r="R766" s="1319"/>
      <c r="S766" s="1319"/>
      <c r="T766" s="1319"/>
      <c r="U766" s="1319"/>
      <c r="V766" s="1314"/>
      <c r="W766" s="1493" t="s">
        <v>4618</v>
      </c>
      <c r="X766" s="1493" t="s">
        <v>4619</v>
      </c>
      <c r="Y766" s="1493" t="s">
        <v>4620</v>
      </c>
      <c r="Z766" s="1493" t="s">
        <v>4621</v>
      </c>
      <c r="AA766" s="1493" t="s">
        <v>4622</v>
      </c>
      <c r="AB766" s="1493" t="s">
        <v>4623</v>
      </c>
      <c r="AC766" s="1493" t="s">
        <v>4624</v>
      </c>
      <c r="AD766" s="1493" t="s">
        <v>4625</v>
      </c>
      <c r="AE766" s="1493" t="s">
        <v>4626</v>
      </c>
      <c r="AF766" s="1493" t="s">
        <v>4627</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4629</v>
      </c>
      <c r="AR766" s="1493" t="s">
        <v>4630</v>
      </c>
      <c r="AS766" s="1493" t="s">
        <v>4631</v>
      </c>
      <c r="AT766" s="1493" t="s">
        <v>4632</v>
      </c>
      <c r="AU766" s="1493" t="s">
        <v>4628</v>
      </c>
      <c r="AV766" s="1493" t="s">
        <v>921</v>
      </c>
      <c r="AW766" s="1493" t="s">
        <v>2314</v>
      </c>
      <c r="AX766" s="1493" t="s">
        <v>2315</v>
      </c>
      <c r="AY766" s="1493" t="s">
        <v>2316</v>
      </c>
      <c r="AZ766" s="1493" t="s">
        <v>2317</v>
      </c>
      <c r="BA766" s="1493" t="s">
        <v>4633</v>
      </c>
      <c r="BB766" s="1493" t="s">
        <v>4634</v>
      </c>
      <c r="BC766" s="1493" t="s">
        <v>4635</v>
      </c>
      <c r="BD766" s="1493" t="s">
        <v>4636</v>
      </c>
      <c r="BE766" s="1493" t="s">
        <v>4637</v>
      </c>
      <c r="BF766" s="1493" t="s">
        <v>129</v>
      </c>
      <c r="BG766" s="1493" t="s">
        <v>2318</v>
      </c>
      <c r="BH766" s="1493" t="s">
        <v>2319</v>
      </c>
      <c r="BI766" s="1493" t="s">
        <v>2320</v>
      </c>
      <c r="BJ766" s="1493" t="s">
        <v>1148</v>
      </c>
      <c r="BK766" s="1493" t="s">
        <v>4638</v>
      </c>
      <c r="BL766" s="1493" t="s">
        <v>4639</v>
      </c>
      <c r="BM766" s="1493" t="s">
        <v>4640</v>
      </c>
      <c r="BN766" s="1493" t="s">
        <v>4641</v>
      </c>
      <c r="BO766" s="1493" t="s">
        <v>4642</v>
      </c>
      <c r="BP766" s="1493" t="s">
        <v>556</v>
      </c>
      <c r="BQ766" s="1493" t="s">
        <v>557</v>
      </c>
      <c r="BR766" s="1493" t="s">
        <v>577</v>
      </c>
      <c r="BS766" s="1493" t="s">
        <v>578</v>
      </c>
      <c r="BT766" s="1493" t="s">
        <v>579</v>
      </c>
      <c r="BU766" s="1493" t="s">
        <v>4643</v>
      </c>
      <c r="BV766" s="1493" t="s">
        <v>4644</v>
      </c>
      <c r="BW766" s="1493" t="s">
        <v>4645</v>
      </c>
      <c r="BX766" s="1493" t="s">
        <v>4646</v>
      </c>
      <c r="BY766" s="1493" t="s">
        <v>4647</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4653</v>
      </c>
      <c r="CK766" s="1493" t="s">
        <v>4654</v>
      </c>
      <c r="CL766" s="1493" t="s">
        <v>4655</v>
      </c>
      <c r="CM766" s="1493" t="s">
        <v>4656</v>
      </c>
      <c r="CN766" s="1493" t="s">
        <v>4657</v>
      </c>
      <c r="CO766" s="1493" t="s">
        <v>4648</v>
      </c>
      <c r="CP766" s="1493" t="s">
        <v>4649</v>
      </c>
      <c r="CQ766" s="1493" t="s">
        <v>4650</v>
      </c>
      <c r="CR766" s="1493" t="s">
        <v>4651</v>
      </c>
      <c r="CS766" s="1493" t="s">
        <v>4652</v>
      </c>
      <c r="CT766" s="1493" t="s">
        <v>4658</v>
      </c>
      <c r="CU766" s="1493" t="s">
        <v>4659</v>
      </c>
      <c r="CV766" s="1493" t="s">
        <v>4660</v>
      </c>
      <c r="CW766" s="1493" t="s">
        <v>4661</v>
      </c>
      <c r="CX766" s="1493" t="s">
        <v>4662</v>
      </c>
      <c r="CY766" s="1493" t="s">
        <v>496</v>
      </c>
      <c r="CZ766" s="1493" t="s">
        <v>497</v>
      </c>
      <c r="DA766" s="1493" t="s">
        <v>498</v>
      </c>
      <c r="DB766" s="1493" t="s">
        <v>499</v>
      </c>
      <c r="DC766" s="1493" t="s">
        <v>500</v>
      </c>
      <c r="DD766" s="1493" t="s">
        <v>4663</v>
      </c>
      <c r="DE766" s="1493" t="s">
        <v>4664</v>
      </c>
      <c r="DF766" s="1493" t="s">
        <v>4665</v>
      </c>
      <c r="DG766" s="1493" t="s">
        <v>4666</v>
      </c>
      <c r="DH766" s="1493" t="s">
        <v>4667</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4668</v>
      </c>
      <c r="DT766" s="1493" t="s">
        <v>4669</v>
      </c>
      <c r="DU766" s="1493" t="s">
        <v>4670</v>
      </c>
      <c r="DV766" s="1493" t="s">
        <v>4671</v>
      </c>
      <c r="DW766" s="1493" t="s">
        <v>4672</v>
      </c>
      <c r="DX766" s="1493" t="s">
        <v>4673</v>
      </c>
      <c r="DY766" s="1493" t="s">
        <v>4674</v>
      </c>
      <c r="DZ766" s="1493" t="s">
        <v>4675</v>
      </c>
      <c r="EA766" s="1493" t="s">
        <v>4676</v>
      </c>
      <c r="EB766" s="1493" t="s">
        <v>4677</v>
      </c>
      <c r="EC766" s="1493" t="s">
        <v>2430</v>
      </c>
      <c r="ED766" s="1493" t="s">
        <v>2431</v>
      </c>
      <c r="EE766" s="1493" t="s">
        <v>2432</v>
      </c>
      <c r="EF766" s="1493" t="s">
        <v>2433</v>
      </c>
      <c r="EG766" s="1493" t="s">
        <v>2434</v>
      </c>
      <c r="EH766" s="1493" t="s">
        <v>4678</v>
      </c>
      <c r="EI766" s="1493" t="s">
        <v>4679</v>
      </c>
      <c r="EJ766" s="1493" t="s">
        <v>4680</v>
      </c>
      <c r="EK766" s="1493" t="s">
        <v>4681</v>
      </c>
      <c r="EL766" s="1493" t="s">
        <v>4682</v>
      </c>
      <c r="EM766" s="1493" t="s">
        <v>4683</v>
      </c>
      <c r="EN766" s="1493" t="s">
        <v>4684</v>
      </c>
      <c r="EO766" s="1493" t="s">
        <v>4685</v>
      </c>
      <c r="EP766" s="1493" t="s">
        <v>4686</v>
      </c>
      <c r="EQ766" s="1493" t="s">
        <v>4687</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4688</v>
      </c>
      <c r="FC766" s="1493" t="s">
        <v>4689</v>
      </c>
      <c r="FD766" s="1493" t="s">
        <v>4690</v>
      </c>
      <c r="FE766" s="1493" t="s">
        <v>4691</v>
      </c>
      <c r="FF766" s="1493" t="s">
        <v>4692</v>
      </c>
      <c r="FG766" s="1318" t="s">
        <v>131</v>
      </c>
      <c r="FH766" s="1318" t="s">
        <v>911</v>
      </c>
      <c r="FI766" s="1318" t="s">
        <v>912</v>
      </c>
      <c r="FJ766" s="1318" t="s">
        <v>913</v>
      </c>
      <c r="FK766" s="1318" t="s">
        <v>914</v>
      </c>
      <c r="FL766" s="1493" t="s">
        <v>4693</v>
      </c>
      <c r="FM766" s="1493" t="s">
        <v>4694</v>
      </c>
      <c r="FN766" s="1493" t="s">
        <v>4695</v>
      </c>
      <c r="FO766" s="1493" t="s">
        <v>4696</v>
      </c>
      <c r="FP766" s="1493" t="s">
        <v>4697</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3564</v>
      </c>
      <c r="K767" s="2355" t="str">
        <f>'Part I-Project Information'!$B$6</f>
        <v>April 2019 Final</v>
      </c>
      <c r="L767" s="2356"/>
      <c r="M767" s="1630" t="s">
        <v>576</v>
      </c>
      <c r="N767" s="1314"/>
      <c r="O767" s="1313" t="s">
        <v>5320</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3417</v>
      </c>
      <c r="MK767" s="1319" t="s">
        <v>3418</v>
      </c>
      <c r="ML767" s="1319" t="s">
        <v>3419</v>
      </c>
      <c r="MM767" s="1319" t="s">
        <v>3420</v>
      </c>
      <c r="MN767" s="1319" t="s">
        <v>3421</v>
      </c>
      <c r="MO767" s="1318" t="s">
        <v>3431</v>
      </c>
      <c r="MP767" s="1318" t="s">
        <v>3433</v>
      </c>
      <c r="MQ767" s="1318" t="s">
        <v>3434</v>
      </c>
      <c r="MR767" s="1318" t="s">
        <v>3435</v>
      </c>
      <c r="MS767" s="1318" t="s">
        <v>3436</v>
      </c>
    </row>
    <row r="768" spans="1:357" ht="12.75" customHeight="1">
      <c r="A768" s="2354"/>
      <c r="B768" s="1526" t="s">
        <v>1805</v>
      </c>
      <c r="C768" s="1314"/>
      <c r="D768" s="1314"/>
      <c r="E768" s="1314"/>
      <c r="F768" s="1313" t="str">
        <f>'Part VI-Revenues &amp; Expenses'!F6</f>
        <v>No</v>
      </c>
      <c r="G768" s="1316" t="s">
        <v>3662</v>
      </c>
      <c r="H768" s="1493" t="s">
        <v>3883</v>
      </c>
      <c r="I768" s="1316" t="s">
        <v>798</v>
      </c>
      <c r="J768" s="1316" t="s">
        <v>3665</v>
      </c>
      <c r="K768" s="2356"/>
      <c r="L768" s="2356"/>
      <c r="M768" s="2357" t="str">
        <f>'Part I-Project Information'!$O$40</f>
        <v>Columbus</v>
      </c>
      <c r="N768" s="2357"/>
      <c r="O768" s="1607">
        <f>VLOOKUP('Part I-Project Information'!$O$40,'DCA Underwriting Assumptions'!$C$158:$D$268,2)</f>
        <v>56000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4700</v>
      </c>
      <c r="C769" s="1314"/>
      <c r="D769" s="1314"/>
      <c r="E769" s="1314"/>
      <c r="F769" s="1314"/>
      <c r="G769" s="1316" t="s">
        <v>3663</v>
      </c>
      <c r="H769" s="1493"/>
      <c r="I769" s="1316" t="s">
        <v>799</v>
      </c>
      <c r="J769" s="1316" t="s">
        <v>3666</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4701</v>
      </c>
      <c r="C770" s="1316" t="s">
        <v>172</v>
      </c>
      <c r="D770" s="1316" t="s">
        <v>545</v>
      </c>
      <c r="E770" s="1316" t="s">
        <v>1476</v>
      </c>
      <c r="F770" s="1316" t="s">
        <v>1476</v>
      </c>
      <c r="G770" s="1316" t="s">
        <v>1478</v>
      </c>
      <c r="H770" s="1316" t="s">
        <v>3663</v>
      </c>
      <c r="I770" s="2359" t="s">
        <v>5064</v>
      </c>
      <c r="J770" s="1316" t="s">
        <v>5321</v>
      </c>
      <c r="K770" s="1317" t="s">
        <v>145</v>
      </c>
      <c r="L770" s="1317"/>
      <c r="M770" s="1316" t="s">
        <v>2367</v>
      </c>
      <c r="N770" s="1316" t="s">
        <v>532</v>
      </c>
      <c r="O770" s="1316" t="s">
        <v>383</v>
      </c>
      <c r="P770" s="1493"/>
      <c r="Q770" s="1317" t="s">
        <v>3573</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3365</v>
      </c>
      <c r="IJ770" s="1318" t="s">
        <v>3365</v>
      </c>
      <c r="IK770" s="1318" t="s">
        <v>3365</v>
      </c>
      <c r="IL770" s="1318" t="s">
        <v>3365</v>
      </c>
      <c r="IM770" s="1318" t="s">
        <v>3365</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3361</v>
      </c>
      <c r="JD770" s="1318" t="s">
        <v>3361</v>
      </c>
      <c r="JE770" s="1318" t="s">
        <v>3361</v>
      </c>
      <c r="JF770" s="1318" t="s">
        <v>3361</v>
      </c>
      <c r="JG770" s="1318" t="s">
        <v>3361</v>
      </c>
      <c r="JH770" s="1318" t="s">
        <v>358</v>
      </c>
      <c r="JI770" s="1318" t="s">
        <v>358</v>
      </c>
      <c r="JJ770" s="1318" t="s">
        <v>358</v>
      </c>
      <c r="JK770" s="1318" t="s">
        <v>358</v>
      </c>
      <c r="JL770" s="1318" t="s">
        <v>358</v>
      </c>
      <c r="JM770" s="1318" t="s">
        <v>3360</v>
      </c>
      <c r="JN770" s="1318" t="s">
        <v>3360</v>
      </c>
      <c r="JO770" s="1318" t="s">
        <v>3360</v>
      </c>
      <c r="JP770" s="1318" t="s">
        <v>3360</v>
      </c>
      <c r="JQ770" s="1318" t="s">
        <v>3360</v>
      </c>
      <c r="JR770" s="1318" t="s">
        <v>359</v>
      </c>
      <c r="JS770" s="1318" t="s">
        <v>359</v>
      </c>
      <c r="JT770" s="1318" t="s">
        <v>359</v>
      </c>
      <c r="JU770" s="1318" t="s">
        <v>359</v>
      </c>
      <c r="JV770" s="1318" t="s">
        <v>359</v>
      </c>
      <c r="JW770" s="1318" t="s">
        <v>3359</v>
      </c>
      <c r="JX770" s="1318" t="s">
        <v>3359</v>
      </c>
      <c r="JY770" s="1318" t="s">
        <v>3359</v>
      </c>
      <c r="JZ770" s="1318" t="s">
        <v>3359</v>
      </c>
      <c r="KA770" s="1318" t="s">
        <v>3359</v>
      </c>
      <c r="KB770" s="1318" t="s">
        <v>360</v>
      </c>
      <c r="KC770" s="1318" t="s">
        <v>360</v>
      </c>
      <c r="KD770" s="1318" t="s">
        <v>360</v>
      </c>
      <c r="KE770" s="1318" t="s">
        <v>360</v>
      </c>
      <c r="KF770" s="1318" t="s">
        <v>360</v>
      </c>
      <c r="KG770" s="1318" t="s">
        <v>3362</v>
      </c>
      <c r="KH770" s="1318" t="s">
        <v>3362</v>
      </c>
      <c r="KI770" s="1318" t="s">
        <v>3362</v>
      </c>
      <c r="KJ770" s="1318" t="s">
        <v>3362</v>
      </c>
      <c r="KK770" s="1318" t="s">
        <v>3362</v>
      </c>
      <c r="KL770" s="1318" t="s">
        <v>361</v>
      </c>
      <c r="KM770" s="1318" t="s">
        <v>361</v>
      </c>
      <c r="KN770" s="1318" t="s">
        <v>361</v>
      </c>
      <c r="KO770" s="1318" t="s">
        <v>361</v>
      </c>
      <c r="KP770" s="1318" t="s">
        <v>361</v>
      </c>
      <c r="KQ770" s="1318" t="s">
        <v>3363</v>
      </c>
      <c r="KR770" s="1318" t="s">
        <v>3363</v>
      </c>
      <c r="KS770" s="1318" t="s">
        <v>3363</v>
      </c>
      <c r="KT770" s="1318" t="s">
        <v>3363</v>
      </c>
      <c r="KU770" s="1318" t="s">
        <v>3363</v>
      </c>
      <c r="KV770" s="1318" t="s">
        <v>1461</v>
      </c>
      <c r="KW770" s="1318" t="s">
        <v>1461</v>
      </c>
      <c r="KX770" s="1318" t="s">
        <v>1461</v>
      </c>
      <c r="KY770" s="1318" t="s">
        <v>1461</v>
      </c>
      <c r="KZ770" s="1318" t="s">
        <v>1461</v>
      </c>
      <c r="LA770" s="1318" t="s">
        <v>3364</v>
      </c>
      <c r="LB770" s="1318" t="s">
        <v>3364</v>
      </c>
      <c r="LC770" s="1318" t="s">
        <v>3364</v>
      </c>
      <c r="LD770" s="1318" t="s">
        <v>3364</v>
      </c>
      <c r="LE770" s="1318" t="s">
        <v>3364</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5067</v>
      </c>
      <c r="C771" s="1316" t="s">
        <v>171</v>
      </c>
      <c r="D771" s="1316" t="s">
        <v>173</v>
      </c>
      <c r="E771" s="1316" t="s">
        <v>1477</v>
      </c>
      <c r="F771" s="1316" t="s">
        <v>1279</v>
      </c>
      <c r="G771" s="1316" t="s">
        <v>3664</v>
      </c>
      <c r="H771" s="1316" t="s">
        <v>1478</v>
      </c>
      <c r="I771" s="2359"/>
      <c r="J771" s="1504" t="s">
        <v>350</v>
      </c>
      <c r="K771" s="1316" t="s">
        <v>1530</v>
      </c>
      <c r="L771" s="1316" t="s">
        <v>539</v>
      </c>
      <c r="M771" s="1316" t="s">
        <v>1476</v>
      </c>
      <c r="N771" s="1316" t="s">
        <v>3314</v>
      </c>
      <c r="O771" s="1316" t="s">
        <v>384</v>
      </c>
      <c r="P771" s="1493"/>
      <c r="Q771" s="1316" t="s">
        <v>3574</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3366</v>
      </c>
      <c r="IT771" s="1320" t="s">
        <v>3366</v>
      </c>
      <c r="IU771" s="1320" t="s">
        <v>3366</v>
      </c>
      <c r="IV771" s="1320" t="s">
        <v>3366</v>
      </c>
      <c r="IW771" s="1320" t="s">
        <v>3366</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1</v>
      </c>
      <c r="D774" s="1830">
        <f>'Part VI-Revenues &amp; Expenses'!D12</f>
        <v>1</v>
      </c>
      <c r="E774" s="1831">
        <f>'Part VI-Revenues &amp; Expenses'!E12</f>
        <v>2</v>
      </c>
      <c r="F774" s="1831">
        <f>'Part VI-Revenues &amp; Expenses'!F12</f>
        <v>704</v>
      </c>
      <c r="G774" s="1831">
        <f>'Part VI-Revenues &amp; Expenses'!G12</f>
        <v>0</v>
      </c>
      <c r="H774" s="1831">
        <f>'Part VI-Revenues &amp; Expenses'!H12</f>
        <v>610</v>
      </c>
      <c r="I774" s="1831">
        <f>'Part VI-Revenues &amp; Expenses'!I12</f>
        <v>0</v>
      </c>
      <c r="J774" s="1832">
        <f>'Part VI-Revenues &amp; Expenses'!J12</f>
        <v>0</v>
      </c>
      <c r="K774" s="1505">
        <f t="shared" si="1"/>
        <v>610</v>
      </c>
      <c r="L774" s="1505">
        <f t="shared" si="2"/>
        <v>1220</v>
      </c>
      <c r="M774" s="1816" t="str">
        <f>'Part VI-Revenues &amp; Expenses'!M12</f>
        <v>No</v>
      </c>
      <c r="N774" s="1816" t="str">
        <f>'Part VI-Revenues &amp; Expenses'!N12</f>
        <v>2-Story Walkup</v>
      </c>
      <c r="O774" s="1816" t="str">
        <f>'Part VI-Revenues &amp; Expenses'!O12</f>
        <v>New Construction</v>
      </c>
      <c r="P774" s="1316" t="str">
        <f>'Part VI-Revenues &amp; Expenses'!P12</f>
        <v>No</v>
      </c>
      <c r="Q774" s="1506">
        <f>'Part VI-Revenues &amp; Expenses'!Q12</f>
        <v>24400</v>
      </c>
      <c r="R774" s="1507">
        <f>'Part VI-Revenues &amp; Expenses'!R12</f>
        <v>0.580952380952381</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f t="shared" si="39"/>
        <v>2</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f t="shared" si="143"/>
        <v>1408</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f t="shared" si="163"/>
        <v>2</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f t="shared" si="203"/>
        <v>2</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f t="shared" si="268"/>
        <v>2</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2</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2</v>
      </c>
      <c r="D775" s="1830">
        <f>'Part VI-Revenues &amp; Expenses'!D13</f>
        <v>2</v>
      </c>
      <c r="E775" s="1831">
        <f>'Part VI-Revenues &amp; Expenses'!E13</f>
        <v>5</v>
      </c>
      <c r="F775" s="1831">
        <f>'Part VI-Revenues &amp; Expenses'!F13</f>
        <v>1005</v>
      </c>
      <c r="G775" s="1831">
        <f>'Part VI-Revenues &amp; Expenses'!G13</f>
        <v>0</v>
      </c>
      <c r="H775" s="1831">
        <f>'Part VI-Revenues &amp; Expenses'!H13</f>
        <v>761</v>
      </c>
      <c r="I775" s="1831">
        <f>'Part VI-Revenues &amp; Expenses'!I13</f>
        <v>0</v>
      </c>
      <c r="J775" s="1832">
        <f>'Part VI-Revenues &amp; Expenses'!J13</f>
        <v>0</v>
      </c>
      <c r="K775" s="1505">
        <f t="shared" si="1"/>
        <v>761</v>
      </c>
      <c r="L775" s="1505">
        <f t="shared" si="2"/>
        <v>3805</v>
      </c>
      <c r="M775" s="1816" t="str">
        <f>'Part VI-Revenues &amp; Expenses'!M13</f>
        <v>No</v>
      </c>
      <c r="N775" s="1816" t="str">
        <f>'Part VI-Revenues &amp; Expenses'!N13</f>
        <v>2-Story Walkup</v>
      </c>
      <c r="O775" s="1816" t="str">
        <f>'Part VI-Revenues &amp; Expenses'!O13</f>
        <v>New Construction</v>
      </c>
      <c r="P775" s="1316" t="str">
        <f>'Part VI-Revenues &amp; Expenses'!P13</f>
        <v>No</v>
      </c>
      <c r="Q775" s="1506">
        <f>'Part VI-Revenues &amp; Expenses'!Q13</f>
        <v>30440</v>
      </c>
      <c r="R775" s="1507">
        <f>'Part VI-Revenues &amp; Expenses'!R13</f>
        <v>0.60396825396825393</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f t="shared" si="40"/>
        <v>5</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f t="shared" si="144"/>
        <v>5025</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f t="shared" si="164"/>
        <v>5</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f t="shared" si="204"/>
        <v>5</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f t="shared" si="269"/>
        <v>5</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5</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3</v>
      </c>
      <c r="D776" s="1830">
        <f>'Part VI-Revenues &amp; Expenses'!D14</f>
        <v>2</v>
      </c>
      <c r="E776" s="1831">
        <f>'Part VI-Revenues &amp; Expenses'!E14</f>
        <v>2</v>
      </c>
      <c r="F776" s="1831">
        <f>'Part VI-Revenues &amp; Expenses'!F14</f>
        <v>1110</v>
      </c>
      <c r="G776" s="1831">
        <f>'Part VI-Revenues &amp; Expenses'!G14</f>
        <v>0</v>
      </c>
      <c r="H776" s="1831">
        <f>'Part VI-Revenues &amp; Expenses'!H14</f>
        <v>840</v>
      </c>
      <c r="I776" s="1831">
        <f>'Part VI-Revenues &amp; Expenses'!I14</f>
        <v>0</v>
      </c>
      <c r="J776" s="1832">
        <f>'Part VI-Revenues &amp; Expenses'!J14</f>
        <v>0</v>
      </c>
      <c r="K776" s="1505">
        <f t="shared" si="1"/>
        <v>840</v>
      </c>
      <c r="L776" s="1505">
        <f t="shared" si="2"/>
        <v>1680</v>
      </c>
      <c r="M776" s="1816" t="str">
        <f>'Part VI-Revenues &amp; Expenses'!M14</f>
        <v>No</v>
      </c>
      <c r="N776" s="1816" t="str">
        <f>'Part VI-Revenues &amp; Expenses'!N14</f>
        <v>2-Story Walkup</v>
      </c>
      <c r="O776" s="1816" t="str">
        <f>'Part VI-Revenues &amp; Expenses'!O14</f>
        <v>New Construction</v>
      </c>
      <c r="P776" s="1316" t="str">
        <f>'Part VI-Revenues &amp; Expenses'!P14</f>
        <v>No</v>
      </c>
      <c r="Q776" s="1506">
        <f>'Part VI-Revenues &amp; Expenses'!Q14</f>
        <v>33600</v>
      </c>
      <c r="R776" s="1507">
        <f>'Part VI-Revenues &amp; Expenses'!R14</f>
        <v>0.57692307692307687</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f t="shared" si="41"/>
        <v>2</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f t="shared" si="145"/>
        <v>2220</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f t="shared" si="165"/>
        <v>2</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f t="shared" si="205"/>
        <v>2</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f t="shared" si="270"/>
        <v>2</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2</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50</v>
      </c>
      <c r="C779" s="1829">
        <f>'Part VI-Revenues &amp; Expenses'!C17</f>
        <v>1</v>
      </c>
      <c r="D779" s="1830">
        <f>'Part VI-Revenues &amp; Expenses'!D17</f>
        <v>1</v>
      </c>
      <c r="E779" s="1831">
        <f>'Part VI-Revenues &amp; Expenses'!E17</f>
        <v>3</v>
      </c>
      <c r="F779" s="1831">
        <f>'Part VI-Revenues &amp; Expenses'!F17</f>
        <v>704</v>
      </c>
      <c r="G779" s="1831">
        <f>'Part VI-Revenues &amp; Expenses'!G17</f>
        <v>525</v>
      </c>
      <c r="H779" s="1831">
        <f>'Part VI-Revenues &amp; Expenses'!H17</f>
        <v>522</v>
      </c>
      <c r="I779" s="1831">
        <f>'Part VI-Revenues &amp; Expenses'!I17</f>
        <v>63</v>
      </c>
      <c r="J779" s="1832">
        <f>'Part VI-Revenues &amp; Expenses'!J17</f>
        <v>0</v>
      </c>
      <c r="K779" s="1505">
        <f t="shared" si="1"/>
        <v>459</v>
      </c>
      <c r="L779" s="1505">
        <f t="shared" si="2"/>
        <v>1377</v>
      </c>
      <c r="M779" s="1816" t="str">
        <f>'Part VI-Revenues &amp; Expenses'!M17</f>
        <v>No</v>
      </c>
      <c r="N779" s="1816" t="str">
        <f>'Part VI-Revenues &amp; Expenses'!N17</f>
        <v>2-Story Walkup</v>
      </c>
      <c r="O779" s="1816" t="str">
        <f>'Part VI-Revenues &amp; Expenses'!O17</f>
        <v>New Construction</v>
      </c>
      <c r="P779" s="1316" t="str">
        <f>'Part VI-Revenues &amp; Expenses'!P17</f>
        <v>No</v>
      </c>
      <c r="Q779" s="1506">
        <f>'Part VI-Revenues &amp; Expenses'!Q17</f>
        <v>20880</v>
      </c>
      <c r="R779" s="1507">
        <f>'Part VI-Revenues &amp; Expenses'!R17</f>
        <v>0.49714285714285716</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3</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2112</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3</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3</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f t="shared" si="268"/>
        <v>3</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3</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50</v>
      </c>
      <c r="C780" s="1829">
        <f>'Part VI-Revenues &amp; Expenses'!C18</f>
        <v>2</v>
      </c>
      <c r="D780" s="1830">
        <f>'Part VI-Revenues &amp; Expenses'!D18</f>
        <v>2</v>
      </c>
      <c r="E780" s="1831">
        <f>'Part VI-Revenues &amp; Expenses'!E18</f>
        <v>6</v>
      </c>
      <c r="F780" s="1831">
        <f>'Part VI-Revenues &amp; Expenses'!F18</f>
        <v>1005</v>
      </c>
      <c r="G780" s="1831">
        <f>'Part VI-Revenues &amp; Expenses'!G18</f>
        <v>630</v>
      </c>
      <c r="H780" s="1831">
        <f>'Part VI-Revenues &amp; Expenses'!H18</f>
        <v>625</v>
      </c>
      <c r="I780" s="1831">
        <f>'Part VI-Revenues &amp; Expenses'!I18</f>
        <v>80</v>
      </c>
      <c r="J780" s="1832">
        <f>'Part VI-Revenues &amp; Expenses'!J18</f>
        <v>0</v>
      </c>
      <c r="K780" s="1505">
        <f t="shared" si="1"/>
        <v>545</v>
      </c>
      <c r="L780" s="1505">
        <f t="shared" si="2"/>
        <v>3270</v>
      </c>
      <c r="M780" s="1816" t="str">
        <f>'Part VI-Revenues &amp; Expenses'!M18</f>
        <v>No</v>
      </c>
      <c r="N780" s="1816" t="str">
        <f>'Part VI-Revenues &amp; Expenses'!N18</f>
        <v>2-Story Walkup</v>
      </c>
      <c r="O780" s="1816" t="str">
        <f>'Part VI-Revenues &amp; Expenses'!O18</f>
        <v>New Construction</v>
      </c>
      <c r="P780" s="1316" t="str">
        <f>'Part VI-Revenues &amp; Expenses'!P18</f>
        <v>No</v>
      </c>
      <c r="Q780" s="1506">
        <f>'Part VI-Revenues &amp; Expenses'!Q18</f>
        <v>25000</v>
      </c>
      <c r="R780" s="1507">
        <f>'Part VI-Revenues &amp; Expenses'!R18</f>
        <v>0.49603174603174605</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6</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6030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6</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6</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f t="shared" si="269"/>
        <v>6</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6</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50</v>
      </c>
      <c r="C781" s="1829">
        <f>'Part VI-Revenues &amp; Expenses'!C19</f>
        <v>3</v>
      </c>
      <c r="D781" s="1830">
        <f>'Part VI-Revenues &amp; Expenses'!D19</f>
        <v>2</v>
      </c>
      <c r="E781" s="1831">
        <f>'Part VI-Revenues &amp; Expenses'!E19</f>
        <v>4</v>
      </c>
      <c r="F781" s="1831">
        <f>'Part VI-Revenues &amp; Expenses'!F19</f>
        <v>1110</v>
      </c>
      <c r="G781" s="1831">
        <f>'Part VI-Revenues &amp; Expenses'!G19</f>
        <v>728</v>
      </c>
      <c r="H781" s="1831">
        <f>'Part VI-Revenues &amp; Expenses'!H19</f>
        <v>725</v>
      </c>
      <c r="I781" s="1831">
        <f>'Part VI-Revenues &amp; Expenses'!I19</f>
        <v>100</v>
      </c>
      <c r="J781" s="1832">
        <f>'Part VI-Revenues &amp; Expenses'!J19</f>
        <v>0</v>
      </c>
      <c r="K781" s="1505">
        <f t="shared" si="1"/>
        <v>625</v>
      </c>
      <c r="L781" s="1505">
        <f t="shared" si="2"/>
        <v>2500</v>
      </c>
      <c r="M781" s="1816" t="str">
        <f>'Part VI-Revenues &amp; Expenses'!M19</f>
        <v>No</v>
      </c>
      <c r="N781" s="1816" t="str">
        <f>'Part VI-Revenues &amp; Expenses'!N19</f>
        <v>2-Story Walkup</v>
      </c>
      <c r="O781" s="1816" t="str">
        <f>'Part VI-Revenues &amp; Expenses'!O19</f>
        <v>New Construction</v>
      </c>
      <c r="P781" s="1316" t="str">
        <f>'Part VI-Revenues &amp; Expenses'!P19</f>
        <v>No</v>
      </c>
      <c r="Q781" s="1506">
        <f>'Part VI-Revenues &amp; Expenses'!Q19</f>
        <v>29000</v>
      </c>
      <c r="R781" s="1507">
        <f>'Part VI-Revenues &amp; Expenses'!R19</f>
        <v>0.49793956043956045</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4</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4440</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4</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f t="shared" si="205"/>
        <v>4</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f t="shared" si="270"/>
        <v>4</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4</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1</v>
      </c>
      <c r="D782" s="1830">
        <f>'Part VI-Revenues &amp; Expenses'!D20</f>
        <v>1</v>
      </c>
      <c r="E782" s="1831">
        <f>'Part VI-Revenues &amp; Expenses'!E20</f>
        <v>7</v>
      </c>
      <c r="F782" s="1831">
        <f>'Part VI-Revenues &amp; Expenses'!F20</f>
        <v>704</v>
      </c>
      <c r="G782" s="1831">
        <f>'Part VI-Revenues &amp; Expenses'!G20</f>
        <v>630</v>
      </c>
      <c r="H782" s="1831">
        <f>'Part VI-Revenues &amp; Expenses'!H20</f>
        <v>583</v>
      </c>
      <c r="I782" s="1831">
        <f>'Part VI-Revenues &amp; Expenses'!I20</f>
        <v>63</v>
      </c>
      <c r="J782" s="1832">
        <f>'Part VI-Revenues &amp; Expenses'!J20</f>
        <v>0</v>
      </c>
      <c r="K782" s="1505">
        <f t="shared" si="1"/>
        <v>520</v>
      </c>
      <c r="L782" s="1505">
        <f t="shared" si="2"/>
        <v>3640</v>
      </c>
      <c r="M782" s="1816" t="str">
        <f>'Part VI-Revenues &amp; Expenses'!M20</f>
        <v>No</v>
      </c>
      <c r="N782" s="1816" t="str">
        <f>'Part VI-Revenues &amp; Expenses'!N20</f>
        <v>2-Story Walkup</v>
      </c>
      <c r="O782" s="1816" t="str">
        <f>'Part VI-Revenues &amp; Expenses'!O20</f>
        <v>New Construction</v>
      </c>
      <c r="P782" s="1316" t="str">
        <f>'Part VI-Revenues &amp; Expenses'!P20</f>
        <v>No</v>
      </c>
      <c r="Q782" s="1506">
        <f>'Part VI-Revenues &amp; Expenses'!Q20</f>
        <v>23320</v>
      </c>
      <c r="R782" s="1507">
        <f>'Part VI-Revenues &amp; Expenses'!R20</f>
        <v>0.5552380952380952</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7</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4928</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7</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7</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f t="shared" si="268"/>
        <v>7</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7</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60</v>
      </c>
      <c r="C783" s="1829">
        <f>'Part VI-Revenues &amp; Expenses'!C21</f>
        <v>2</v>
      </c>
      <c r="D783" s="1830">
        <f>'Part VI-Revenues &amp; Expenses'!D21</f>
        <v>2</v>
      </c>
      <c r="E783" s="1831">
        <f>'Part VI-Revenues &amp; Expenses'!E21</f>
        <v>25</v>
      </c>
      <c r="F783" s="1831">
        <f>'Part VI-Revenues &amp; Expenses'!F21</f>
        <v>1005</v>
      </c>
      <c r="G783" s="1831">
        <f>'Part VI-Revenues &amp; Expenses'!G21</f>
        <v>756</v>
      </c>
      <c r="H783" s="1831">
        <f>'Part VI-Revenues &amp; Expenses'!H21</f>
        <v>729</v>
      </c>
      <c r="I783" s="1831">
        <f>'Part VI-Revenues &amp; Expenses'!I21</f>
        <v>80</v>
      </c>
      <c r="J783" s="1832">
        <f>'Part VI-Revenues &amp; Expenses'!J21</f>
        <v>0</v>
      </c>
      <c r="K783" s="1505">
        <f t="shared" si="1"/>
        <v>649</v>
      </c>
      <c r="L783" s="1505">
        <f t="shared" si="2"/>
        <v>16225</v>
      </c>
      <c r="M783" s="1816" t="str">
        <f>'Part VI-Revenues &amp; Expenses'!M21</f>
        <v>No</v>
      </c>
      <c r="N783" s="1816" t="str">
        <f>'Part VI-Revenues &amp; Expenses'!N21</f>
        <v>2-Story Walkup</v>
      </c>
      <c r="O783" s="1816" t="str">
        <f>'Part VI-Revenues &amp; Expenses'!O21</f>
        <v>New Construction</v>
      </c>
      <c r="P783" s="1316" t="str">
        <f>'Part VI-Revenues &amp; Expenses'!P21</f>
        <v>No</v>
      </c>
      <c r="Q783" s="1506">
        <f>'Part VI-Revenues &amp; Expenses'!Q21</f>
        <v>29160</v>
      </c>
      <c r="R783" s="1507">
        <f>'Part VI-Revenues &amp; Expenses'!R21</f>
        <v>0.57857142857142863</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25</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25125</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25</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25</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f t="shared" si="269"/>
        <v>25</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25</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3</v>
      </c>
      <c r="D784" s="1830">
        <f>'Part VI-Revenues &amp; Expenses'!D22</f>
        <v>2</v>
      </c>
      <c r="E784" s="1831">
        <f>'Part VI-Revenues &amp; Expenses'!E22</f>
        <v>18</v>
      </c>
      <c r="F784" s="1831">
        <f>'Part VI-Revenues &amp; Expenses'!F22</f>
        <v>1110</v>
      </c>
      <c r="G784" s="1831">
        <f>'Part VI-Revenues &amp; Expenses'!G22</f>
        <v>873</v>
      </c>
      <c r="H784" s="1831">
        <f>'Part VI-Revenues &amp; Expenses'!H22</f>
        <v>865</v>
      </c>
      <c r="I784" s="1831">
        <f>'Part VI-Revenues &amp; Expenses'!I22</f>
        <v>100</v>
      </c>
      <c r="J784" s="1832">
        <f>'Part VI-Revenues &amp; Expenses'!J22</f>
        <v>0</v>
      </c>
      <c r="K784" s="1505">
        <f t="shared" si="1"/>
        <v>765</v>
      </c>
      <c r="L784" s="1505">
        <f t="shared" si="2"/>
        <v>13770</v>
      </c>
      <c r="M784" s="1816" t="str">
        <f>'Part VI-Revenues &amp; Expenses'!M22</f>
        <v>No</v>
      </c>
      <c r="N784" s="1816" t="str">
        <f>'Part VI-Revenues &amp; Expenses'!N22</f>
        <v>2-Story Walkup</v>
      </c>
      <c r="O784" s="1816" t="str">
        <f>'Part VI-Revenues &amp; Expenses'!O22</f>
        <v>New Construction</v>
      </c>
      <c r="P784" s="1316" t="str">
        <f>'Part VI-Revenues &amp; Expenses'!P22</f>
        <v>No</v>
      </c>
      <c r="Q784" s="1506">
        <f>'Part VI-Revenues &amp; Expenses'!Q22</f>
        <v>34600</v>
      </c>
      <c r="R784" s="1507">
        <f>'Part VI-Revenues &amp; Expenses'!R22</f>
        <v>0.59409340659340659</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18</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19980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18</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f t="shared" si="205"/>
        <v>18</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f t="shared" si="270"/>
        <v>18</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18</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80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80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4705</v>
      </c>
      <c r="C810" s="457"/>
      <c r="D810" s="1511" t="s">
        <v>1018</v>
      </c>
      <c r="E810" s="1510">
        <f>SUM(E772:E809)</f>
        <v>72</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71268</v>
      </c>
      <c r="G810" s="2363" t="s">
        <v>4702</v>
      </c>
      <c r="H810" s="1578" t="s">
        <v>4703</v>
      </c>
      <c r="I810" s="2364" t="str">
        <f>IF(O829=0,"",IF(SUM(O820:O824)/O829&gt;=0.4,"Pass","Fail"))</f>
        <v>Pass</v>
      </c>
      <c r="J810" s="458"/>
      <c r="K810" s="1511" t="s">
        <v>1302</v>
      </c>
      <c r="L810" s="1509">
        <f>SUM(L772:L809)</f>
        <v>47487</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7</v>
      </c>
      <c r="AI810" s="1321">
        <f t="shared" si="338"/>
        <v>25</v>
      </c>
      <c r="AJ810" s="1321">
        <f t="shared" si="338"/>
        <v>18</v>
      </c>
      <c r="AK810" s="1321">
        <f t="shared" si="338"/>
        <v>0</v>
      </c>
      <c r="AL810" s="1321">
        <f>SUM(AL772:AL809)</f>
        <v>0</v>
      </c>
      <c r="AM810" s="1321">
        <f>SUM(AM772:AM809)</f>
        <v>3</v>
      </c>
      <c r="AN810" s="1321">
        <f>SUM(AN772:AN809)</f>
        <v>6</v>
      </c>
      <c r="AO810" s="1321">
        <f>SUM(AO772:AO809)</f>
        <v>4</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2</v>
      </c>
      <c r="BH810" s="1321">
        <f t="shared" si="338"/>
        <v>5</v>
      </c>
      <c r="BI810" s="1321">
        <f t="shared" si="338"/>
        <v>2</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4928</v>
      </c>
      <c r="ET810" s="1321">
        <f t="shared" si="338"/>
        <v>25125</v>
      </c>
      <c r="EU810" s="1321">
        <f t="shared" si="338"/>
        <v>19980</v>
      </c>
      <c r="EV810" s="1321">
        <f t="shared" si="338"/>
        <v>0</v>
      </c>
      <c r="EW810" s="1321">
        <f t="shared" si="338"/>
        <v>0</v>
      </c>
      <c r="EX810" s="1321">
        <f t="shared" si="338"/>
        <v>2112</v>
      </c>
      <c r="EY810" s="1321">
        <f t="shared" si="338"/>
        <v>6030</v>
      </c>
      <c r="EZ810" s="1321">
        <f t="shared" si="338"/>
        <v>4440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1408</v>
      </c>
      <c r="FS810" s="1321">
        <f t="shared" si="340"/>
        <v>5025</v>
      </c>
      <c r="FT810" s="1321">
        <f t="shared" si="340"/>
        <v>2220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10</v>
      </c>
      <c r="GH810" s="1321">
        <f t="shared" si="340"/>
        <v>31</v>
      </c>
      <c r="GI810" s="1321">
        <f t="shared" si="340"/>
        <v>22</v>
      </c>
      <c r="GJ810" s="1321">
        <f t="shared" si="340"/>
        <v>0</v>
      </c>
      <c r="GK810" s="1321">
        <f t="shared" si="340"/>
        <v>0</v>
      </c>
      <c r="GL810" s="1321">
        <f t="shared" si="340"/>
        <v>2</v>
      </c>
      <c r="GM810" s="1321">
        <f t="shared" si="340"/>
        <v>5</v>
      </c>
      <c r="GN810" s="1321">
        <f t="shared" si="340"/>
        <v>2</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12</v>
      </c>
      <c r="IA810" s="1321">
        <f t="shared" si="341"/>
        <v>36</v>
      </c>
      <c r="IB810" s="1321">
        <f t="shared" si="341"/>
        <v>24</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12</v>
      </c>
      <c r="KN810" s="1321">
        <f t="shared" si="342"/>
        <v>36</v>
      </c>
      <c r="KO810" s="1321">
        <f t="shared" si="342"/>
        <v>24</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12</v>
      </c>
      <c r="ML810" s="1321">
        <f t="shared" si="342"/>
        <v>36</v>
      </c>
      <c r="MM810" s="1321">
        <f t="shared" si="342"/>
        <v>24</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57.936507936507937</v>
      </c>
      <c r="C811" s="2365"/>
      <c r="D811" s="1313" t="s">
        <v>4612</v>
      </c>
      <c r="E811" s="1510">
        <f>SUM(E779:E809)</f>
        <v>63</v>
      </c>
      <c r="F811" s="2362">
        <f>(E779*F779+E780*F780+E781*F781+E782*F782+E783*F783+E784*F784+E785*F785+E786*F786+E787*F787+E788*F788+E789*F789+E790*F790+E791*F791+E792*F792+E793*F793+E794*F794+E795*F795+E796*F796+E797*F797+E798*F798+E799*F799+E800*F800+E801*F801+E802*F802+E803*F803+E804*F804+E805*F805+E806*F806+E807*F807+E808*F808+E809*F809)</f>
        <v>62615</v>
      </c>
      <c r="G811" s="2363"/>
      <c r="H811" s="1578" t="s">
        <v>4704</v>
      </c>
      <c r="I811" s="2364" t="str">
        <f>IF(O829=0,"",IF(SUM(O821:O824)/O829&gt;=0.2,"Pass","Fail"))</f>
        <v>Fail</v>
      </c>
      <c r="J811" s="458"/>
      <c r="K811" s="1511" t="s">
        <v>814</v>
      </c>
      <c r="L811" s="1509">
        <f>L810*12</f>
        <v>569844</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5322</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4613</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4614</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7</v>
      </c>
      <c r="L820" s="1516">
        <f>AI810</f>
        <v>25</v>
      </c>
      <c r="M820" s="1516">
        <f>AJ810</f>
        <v>18</v>
      </c>
      <c r="N820" s="1516">
        <f>AK810</f>
        <v>0</v>
      </c>
      <c r="O820" s="1516">
        <f t="shared" si="343"/>
        <v>50</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3</v>
      </c>
      <c r="L821" s="1516">
        <f>AN810</f>
        <v>6</v>
      </c>
      <c r="M821" s="1516">
        <f>AO810</f>
        <v>4</v>
      </c>
      <c r="N821" s="1516">
        <f>AP810</f>
        <v>0</v>
      </c>
      <c r="O821" s="1516">
        <f t="shared" si="343"/>
        <v>13</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4615</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4616</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4617</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4699</v>
      </c>
      <c r="D825" s="1314"/>
      <c r="E825" s="1314"/>
      <c r="F825" s="1314"/>
      <c r="H825" s="1051"/>
      <c r="J825" s="1516">
        <f>SUM(J818:J824)</f>
        <v>0</v>
      </c>
      <c r="K825" s="1516">
        <f>SUM(K818:K824)</f>
        <v>10</v>
      </c>
      <c r="L825" s="1516">
        <f>SUM(L818:L824)</f>
        <v>31</v>
      </c>
      <c r="M825" s="1516">
        <f>SUM(M818:M824)</f>
        <v>22</v>
      </c>
      <c r="N825" s="1516">
        <f>SUM(N818:N824)</f>
        <v>0</v>
      </c>
      <c r="O825" s="1516">
        <f t="shared" si="343"/>
        <v>63</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2</v>
      </c>
      <c r="L826" s="1516">
        <f>BH810</f>
        <v>5</v>
      </c>
      <c r="M826" s="1516">
        <f>BI810</f>
        <v>2</v>
      </c>
      <c r="N826" s="1516">
        <f>BJ810</f>
        <v>0</v>
      </c>
      <c r="O826" s="1516">
        <f t="shared" si="343"/>
        <v>9</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12</v>
      </c>
      <c r="L827" s="2370">
        <f>SUM(L825:L826)</f>
        <v>36</v>
      </c>
      <c r="M827" s="2370">
        <f>SUM(M825:M826)</f>
        <v>24</v>
      </c>
      <c r="N827" s="2370">
        <f>SUM(N825:N826)</f>
        <v>0</v>
      </c>
      <c r="O827" s="2370">
        <f t="shared" si="343"/>
        <v>72</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12</v>
      </c>
      <c r="L829" s="1516">
        <f>SUM(L827:L828)</f>
        <v>36</v>
      </c>
      <c r="M829" s="1516">
        <f>SUM(M827:M828)</f>
        <v>24</v>
      </c>
      <c r="N829" s="1516">
        <f>SUM(N827:N828)</f>
        <v>0</v>
      </c>
      <c r="O829" s="1516">
        <f t="shared" si="343"/>
        <v>72</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4720</v>
      </c>
      <c r="D832" s="1521"/>
      <c r="E832" s="1521"/>
      <c r="F832" s="1521"/>
      <c r="G832" s="1317"/>
      <c r="H832" s="457"/>
      <c r="I832" s="2371" t="s">
        <v>4719</v>
      </c>
      <c r="J832" s="1519"/>
      <c r="O832" s="1519"/>
      <c r="P832" s="1051" t="s">
        <v>4718</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4613</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4614</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5323</v>
      </c>
      <c r="E835" s="1521"/>
      <c r="F835" s="1521"/>
      <c r="G835" s="1521"/>
      <c r="H835" s="457" t="s">
        <v>1149</v>
      </c>
      <c r="I835" s="2372" t="str">
        <f>'Part VI-Revenues &amp; Expenses'!I73</f>
        <v/>
      </c>
      <c r="J835" s="2373">
        <f>'Part VI-Revenues &amp; Expenses'!J73</f>
        <v>0</v>
      </c>
      <c r="K835" s="2373">
        <f>'Part VI-Revenues &amp; Expenses'!K73</f>
        <v>0.7</v>
      </c>
      <c r="L835" s="2373">
        <f>'Part VI-Revenues &amp; Expenses'!L73</f>
        <v>0.80645161290322576</v>
      </c>
      <c r="M835" s="2373">
        <f>'Part VI-Revenues &amp; Expenses'!M73</f>
        <v>0.81818181818181823</v>
      </c>
      <c r="N835" s="2373">
        <f>'Part VI-Revenues &amp; Expenses'!N73</f>
        <v>0</v>
      </c>
      <c r="O835" s="2373">
        <f>'Part VI-Revenues &amp; Expenses'!O73</f>
        <v>0.79365079365079361</v>
      </c>
      <c r="P835" s="2374">
        <f t="shared" si="344"/>
        <v>0.77487781036168135</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0.3</v>
      </c>
      <c r="L836" s="2373">
        <f>'Part VI-Revenues &amp; Expenses'!L74</f>
        <v>0.19354838709677419</v>
      </c>
      <c r="M836" s="2373">
        <f>'Part VI-Revenues &amp; Expenses'!M74</f>
        <v>0.18181818181818182</v>
      </c>
      <c r="N836" s="2373">
        <f>'Part VI-Revenues &amp; Expenses'!N74</f>
        <v>0</v>
      </c>
      <c r="O836" s="2373">
        <f>'Part VI-Revenues &amp; Expenses'!O74</f>
        <v>0.20634920634920634</v>
      </c>
      <c r="P836" s="2374">
        <f t="shared" si="344"/>
        <v>0.22512218963831865</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4615</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4616</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4617</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4613</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4614</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4615</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4616</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4617</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5324</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4613</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4614</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4615</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4616</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4617</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10</v>
      </c>
      <c r="L863" s="1516">
        <f>GH810</f>
        <v>31</v>
      </c>
      <c r="M863" s="1516">
        <f>GI810</f>
        <v>22</v>
      </c>
      <c r="N863" s="1516">
        <f>GJ810</f>
        <v>0</v>
      </c>
      <c r="O863" s="1516">
        <f t="shared" ref="O863:O873" si="347">SUM(J863:N863)</f>
        <v>63</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2</v>
      </c>
      <c r="L864" s="1516">
        <f>GM810</f>
        <v>5</v>
      </c>
      <c r="M864" s="1516">
        <f>GN810</f>
        <v>2</v>
      </c>
      <c r="N864" s="1516">
        <f>GO810</f>
        <v>0</v>
      </c>
      <c r="O864" s="1516">
        <f t="shared" si="347"/>
        <v>9</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12</v>
      </c>
      <c r="L865" s="1516">
        <f>SUM(L863:L864)+GR810</f>
        <v>36</v>
      </c>
      <c r="M865" s="1516">
        <f>SUM(M863:M864)+GS810</f>
        <v>24</v>
      </c>
      <c r="N865" s="1516">
        <f>SUM(N863:N864)+GT810</f>
        <v>0</v>
      </c>
      <c r="O865" s="1516">
        <f t="shared" si="347"/>
        <v>72</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4522</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3356</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5325</v>
      </c>
      <c r="D877" s="1521"/>
      <c r="E877" s="1317" t="s">
        <v>39</v>
      </c>
      <c r="F877" s="1314"/>
      <c r="G877" s="1335"/>
      <c r="J877" s="1516">
        <f t="shared" ref="J877:O877" si="348">SUM(J878:J885)</f>
        <v>0</v>
      </c>
      <c r="K877" s="1516">
        <f t="shared" si="348"/>
        <v>12</v>
      </c>
      <c r="L877" s="1516">
        <f t="shared" si="348"/>
        <v>36</v>
      </c>
      <c r="M877" s="1516">
        <f t="shared" si="348"/>
        <v>24</v>
      </c>
      <c r="N877" s="1516">
        <f t="shared" si="348"/>
        <v>0</v>
      </c>
      <c r="O877" s="1516">
        <f t="shared" si="348"/>
        <v>72</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3356</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3356</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12</v>
      </c>
      <c r="L882" s="1516">
        <f>KN810</f>
        <v>36</v>
      </c>
      <c r="M882" s="1516">
        <f>KO810</f>
        <v>24</v>
      </c>
      <c r="N882" s="1516">
        <f>KP810</f>
        <v>0</v>
      </c>
      <c r="O882" s="1516">
        <f t="shared" si="349"/>
        <v>72</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3356</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3356</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3356</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3356</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3356</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3356</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5324</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5326</v>
      </c>
      <c r="D897" s="1521"/>
      <c r="E897" s="1317" t="s">
        <v>3351</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3356</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3352</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3356</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3353</v>
      </c>
      <c r="F901" s="1335"/>
      <c r="H901" s="1524"/>
      <c r="J901" s="1516">
        <f t="shared" ref="J901:N902" si="353">J882</f>
        <v>0</v>
      </c>
      <c r="K901" s="1516">
        <f t="shared" si="353"/>
        <v>12</v>
      </c>
      <c r="L901" s="1516">
        <f t="shared" si="353"/>
        <v>36</v>
      </c>
      <c r="M901" s="1516">
        <f t="shared" si="353"/>
        <v>24</v>
      </c>
      <c r="N901" s="1516">
        <f t="shared" si="353"/>
        <v>0</v>
      </c>
      <c r="O901" s="1516">
        <f t="shared" si="351"/>
        <v>72</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3356</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3354</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3356</v>
      </c>
      <c r="J904" s="1516">
        <f t="shared" si="354"/>
        <v>0</v>
      </c>
      <c r="K904" s="1516">
        <f t="shared" si="354"/>
        <v>0</v>
      </c>
      <c r="L904" s="1516">
        <f t="shared" si="354"/>
        <v>0</v>
      </c>
      <c r="M904" s="1516">
        <f t="shared" si="354"/>
        <v>0</v>
      </c>
      <c r="N904" s="1516">
        <f t="shared" si="354"/>
        <v>0</v>
      </c>
      <c r="O904" s="1516">
        <f t="shared" si="351"/>
        <v>0</v>
      </c>
      <c r="P904" s="1319" t="s">
        <v>5103</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4613</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4614</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4928</v>
      </c>
      <c r="L909" s="1530">
        <f>ET810</f>
        <v>25125</v>
      </c>
      <c r="M909" s="1530">
        <f>EU810</f>
        <v>19980</v>
      </c>
      <c r="N909" s="1530">
        <f>EV810</f>
        <v>0</v>
      </c>
      <c r="O909" s="1530">
        <f t="shared" si="355"/>
        <v>50033</v>
      </c>
      <c r="P909" s="1607">
        <f t="shared" si="356"/>
        <v>1000.66</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2112</v>
      </c>
      <c r="L910" s="1530">
        <f>EY810</f>
        <v>6030</v>
      </c>
      <c r="M910" s="1530">
        <f>EZ810</f>
        <v>4440</v>
      </c>
      <c r="N910" s="1530">
        <f>FA810</f>
        <v>0</v>
      </c>
      <c r="O910" s="1530">
        <f t="shared" si="355"/>
        <v>12582</v>
      </c>
      <c r="P910" s="1607">
        <f t="shared" si="356"/>
        <v>967.84615384615381</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4615</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4616</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4617</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4698</v>
      </c>
      <c r="J914" s="1530">
        <f>SUM(J907:J913)</f>
        <v>0</v>
      </c>
      <c r="K914" s="1530">
        <f>SUM(K907:K913)</f>
        <v>7040</v>
      </c>
      <c r="L914" s="1530">
        <f>SUM(L907:L913)</f>
        <v>31155</v>
      </c>
      <c r="M914" s="1530">
        <f>SUM(M907:M913)</f>
        <v>24420</v>
      </c>
      <c r="N914" s="1530">
        <f>SUM(N907:N913)</f>
        <v>0</v>
      </c>
      <c r="O914" s="1530">
        <f>SUM(J914:N914)</f>
        <v>62615</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1408</v>
      </c>
      <c r="L915" s="1530">
        <f>FS810</f>
        <v>5025</v>
      </c>
      <c r="M915" s="1530">
        <f>FT810</f>
        <v>2220</v>
      </c>
      <c r="N915" s="1530">
        <f>FU810</f>
        <v>0</v>
      </c>
      <c r="O915" s="1530">
        <f>SUM(J915:N915)</f>
        <v>8653</v>
      </c>
      <c r="P915" s="1607">
        <f>IF(OR(O826=0,O826=""),"",O915/O826)</f>
        <v>961.44444444444446</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8448</v>
      </c>
      <c r="L916" s="1530">
        <f>SUM(L914:L915)</f>
        <v>36180</v>
      </c>
      <c r="M916" s="1530">
        <f>SUM(M914:M915)</f>
        <v>26640</v>
      </c>
      <c r="N916" s="1530">
        <f>SUM(N914:N915)</f>
        <v>0</v>
      </c>
      <c r="O916" s="1530">
        <f>SUM(J916:N916)</f>
        <v>71268</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8448</v>
      </c>
      <c r="L918" s="1530">
        <f>SUM(L916:L917)</f>
        <v>36180</v>
      </c>
      <c r="M918" s="1530">
        <f>SUM(M916:M917)</f>
        <v>26640</v>
      </c>
      <c r="N918" s="1530">
        <f>SUM(N916:N917)</f>
        <v>0</v>
      </c>
      <c r="O918" s="1530">
        <f>SUM(J918:N918)</f>
        <v>71268</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5327</v>
      </c>
      <c r="D921" s="1314"/>
      <c r="E921" s="1314"/>
      <c r="F921" s="1314"/>
      <c r="G921" s="1314"/>
      <c r="H921" s="1314"/>
      <c r="I921" s="1314"/>
      <c r="J921" s="1545" t="str">
        <f>'Part VI-Revenues &amp; Expenses'!J159</f>
        <v/>
      </c>
      <c r="K921" s="1545">
        <f>'Part VI-Revenues &amp; Expenses'!K159</f>
        <v>704</v>
      </c>
      <c r="L921" s="1545">
        <f>'Part VI-Revenues &amp; Expenses'!L159</f>
        <v>1005</v>
      </c>
      <c r="M921" s="1545">
        <f>'Part VI-Revenues &amp; Expenses'!M159</f>
        <v>1110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4525</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11396.880000000001</v>
      </c>
      <c r="I935" s="1834"/>
      <c r="J935" s="1204"/>
      <c r="K935" s="1532" t="s">
        <v>5104</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5105</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5106</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5105</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5106</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5105</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5106</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5105</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5106</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55587</v>
      </c>
      <c r="G977" s="1530"/>
      <c r="H977" s="1314"/>
      <c r="I977" s="1314" t="s">
        <v>1378</v>
      </c>
      <c r="J977" s="1314"/>
      <c r="K977" s="1530">
        <f>'Part VI-Revenues &amp; Expenses'!K215</f>
        <v>0</v>
      </c>
      <c r="L977" s="1530"/>
      <c r="M977" s="1314"/>
      <c r="N977" s="1314" t="s">
        <v>929</v>
      </c>
      <c r="O977" s="1314"/>
      <c r="P977" s="1545">
        <f>'Part VI-Revenues &amp; Expenses'!P215</f>
        <v>57600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40020</v>
      </c>
      <c r="G978" s="1530"/>
      <c r="H978" s="1314"/>
      <c r="I978" s="1314" t="s">
        <v>1379</v>
      </c>
      <c r="J978" s="1314"/>
      <c r="K978" s="1530">
        <f>'Part VI-Revenues &amp; Expenses'!K216</f>
        <v>600</v>
      </c>
      <c r="L978" s="1530"/>
      <c r="M978" s="1314"/>
      <c r="N978" s="1314" t="s">
        <v>147</v>
      </c>
      <c r="O978" s="1314"/>
      <c r="P978" s="1545">
        <f>'Part VI-Revenues &amp; Expenses'!P216</f>
        <v>28700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378" t="s">
        <v>191</v>
      </c>
      <c r="K979" s="1530">
        <f>SUM(K977:L978)</f>
        <v>600</v>
      </c>
      <c r="L979" s="1530"/>
      <c r="M979" s="1314"/>
      <c r="N979" s="1837" t="str">
        <f>'Part VI-Revenues &amp; Expenses'!N217</f>
        <v>Personal Property Taxes</v>
      </c>
      <c r="O979" s="1837"/>
      <c r="P979" s="1545">
        <f>'Part VI-Revenues &amp; Expenses'!P217</f>
        <v>500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Eneriched Property Services</v>
      </c>
      <c r="C980" s="457"/>
      <c r="D980" s="457"/>
      <c r="E980" s="457"/>
      <c r="F980" s="1530">
        <f>'Part VI-Revenues &amp; Expenses'!F218</f>
        <v>12000</v>
      </c>
      <c r="G980" s="1530"/>
      <c r="H980" s="1314"/>
      <c r="I980" s="1314"/>
      <c r="J980" s="1314"/>
      <c r="K980" s="1314"/>
      <c r="L980" s="1314"/>
      <c r="M980" s="1314"/>
      <c r="N980" s="2378" t="s">
        <v>191</v>
      </c>
      <c r="O980" s="1314"/>
      <c r="P980" s="1545">
        <f>SUM(P977:P979)</f>
        <v>86800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107607</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34560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2500</v>
      </c>
      <c r="G984" s="1530"/>
      <c r="H984" s="1314"/>
      <c r="I984" s="1314" t="s">
        <v>1602</v>
      </c>
      <c r="J984" s="1314"/>
      <c r="K984" s="1530">
        <f>'Part VI-Revenues &amp; Expenses'!K222</f>
        <v>1200</v>
      </c>
      <c r="L984" s="1530"/>
      <c r="M984" s="1314"/>
      <c r="N984" s="1548">
        <f>+P983/(O829*0.93)</f>
        <v>516.1290322580644</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2000</v>
      </c>
      <c r="G985" s="1530"/>
      <c r="H985" s="1314"/>
      <c r="I985" s="1314" t="s">
        <v>2049</v>
      </c>
      <c r="J985" s="1314"/>
      <c r="K985" s="1530">
        <f>'Part VI-Revenues &amp; Expenses'!K223</f>
        <v>7000</v>
      </c>
      <c r="L985" s="1530"/>
      <c r="M985" s="1314"/>
      <c r="N985" s="1548">
        <f>+P983/(O829*0.93)/12</f>
        <v>43.010752688172033</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0</v>
      </c>
      <c r="G986" s="1530"/>
      <c r="H986" s="1314"/>
      <c r="I986" s="1314" t="s">
        <v>1603</v>
      </c>
      <c r="J986" s="1314"/>
      <c r="K986" s="1530">
        <f>'Part VI-Revenues &amp; Expenses'!K224</f>
        <v>2000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4500</v>
      </c>
      <c r="G988" s="1530"/>
      <c r="H988" s="1314"/>
      <c r="I988" s="1314"/>
      <c r="J988" s="2378" t="s">
        <v>191</v>
      </c>
      <c r="K988" s="1545">
        <f>SUM(K984:K987)</f>
        <v>10200</v>
      </c>
      <c r="L988" s="1545"/>
      <c r="M988" s="1721" t="str">
        <f>IF(P990="","",IF(P988&lt;P990, "WARNING! OE below required minimum.",""))</f>
        <v/>
      </c>
      <c r="N988" s="1314" t="s">
        <v>2186</v>
      </c>
      <c r="O988" s="1314"/>
      <c r="P988" s="1545">
        <f>F981+F990+F1001+K979+K988+K998+P980+P983</f>
        <v>358517</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Miscellaneous Administrative Expenses</v>
      </c>
      <c r="C989" s="457"/>
      <c r="D989" s="457"/>
      <c r="E989" s="457"/>
      <c r="F989" s="1530">
        <f>'Part VI-Revenues &amp; Expenses'!F227</f>
        <v>7250</v>
      </c>
      <c r="G989" s="1530"/>
      <c r="H989" s="1314"/>
      <c r="I989" s="1314"/>
      <c r="J989" s="1516"/>
      <c r="K989" s="1314"/>
      <c r="L989" s="1314"/>
      <c r="M989" s="1721"/>
      <c r="N989" s="1549" t="s">
        <v>2758</v>
      </c>
      <c r="O989" s="1548">
        <f>+P988/O829</f>
        <v>4979.4027777777774</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16250</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5009</v>
      </c>
      <c r="K992" s="1314"/>
      <c r="L992" s="1314"/>
      <c r="M992" s="1314"/>
      <c r="N992" s="1314" t="s">
        <v>3480</v>
      </c>
      <c r="O992" s="1314"/>
      <c r="P992" s="1838">
        <f>'Part VI-Revenues &amp; Expenses'!P230</f>
        <v>18000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14850</v>
      </c>
      <c r="G993" s="1530"/>
      <c r="H993" s="1314"/>
      <c r="I993" s="1314" t="s">
        <v>1368</v>
      </c>
      <c r="J993" s="1419">
        <f>K993/12/O829</f>
        <v>13.888888888888889</v>
      </c>
      <c r="K993" s="1530">
        <f>'Part VI-Revenues &amp; Expenses'!K231</f>
        <v>12000</v>
      </c>
      <c r="L993" s="1530"/>
      <c r="M993" s="1721" t="str">
        <f>IF(P992&lt;P1001, "WARNING! RR proposed is below the DCA required minimum.","")</f>
        <v/>
      </c>
      <c r="N993" s="457" t="s">
        <v>5008</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14850</v>
      </c>
      <c r="G994" s="1530"/>
      <c r="H994" s="1314"/>
      <c r="I994" s="1314" t="s">
        <v>1369</v>
      </c>
      <c r="J994" s="1419">
        <f>K994/12/O829</f>
        <v>0</v>
      </c>
      <c r="K994" s="1530">
        <f>'Part VI-Revenues &amp; Expenses'!K232</f>
        <v>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15000</v>
      </c>
      <c r="G995" s="1530"/>
      <c r="H995" s="1314"/>
      <c r="I995" s="1314" t="s">
        <v>2352</v>
      </c>
      <c r="J995" s="1419">
        <f>K995/12/O829</f>
        <v>37.5</v>
      </c>
      <c r="K995" s="1530">
        <f>'Part VI-Revenues &amp; Expenses'!K233</f>
        <v>32400</v>
      </c>
      <c r="L995" s="1530"/>
      <c r="M995" s="1721"/>
      <c r="N995" s="1554" t="s">
        <v>2714</v>
      </c>
      <c r="O995" s="1555" t="s">
        <v>3844</v>
      </c>
      <c r="P995" s="1555" t="s">
        <v>3437</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4000</v>
      </c>
      <c r="G996" s="1530"/>
      <c r="H996" s="1314"/>
      <c r="I996" s="1314" t="s">
        <v>1371</v>
      </c>
      <c r="J996" s="1314"/>
      <c r="K996" s="1530">
        <f>'Part VI-Revenues &amp; Expenses'!K234</f>
        <v>5000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1200</v>
      </c>
      <c r="G997" s="1530"/>
      <c r="H997" s="1314"/>
      <c r="I997" s="1837" t="str">
        <f>'Part VI-Revenues &amp; Expenses'!I235</f>
        <v>Cable TV &amp; Internet</v>
      </c>
      <c r="J997" s="1837"/>
      <c r="K997" s="1530">
        <f>'Part VI-Revenues &amp; Expenses'!K235</f>
        <v>1200</v>
      </c>
      <c r="L997" s="1530"/>
      <c r="M997" s="1721"/>
      <c r="N997" s="1335" t="s">
        <v>3429</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50600</v>
      </c>
      <c r="L998" s="1545"/>
      <c r="M998" s="1721"/>
      <c r="N998" s="1335" t="s">
        <v>3428</v>
      </c>
      <c r="O998" s="1557" t="str">
        <f>CONCATENATE(SUM(MJ810:MN810)," units x $",'DCA Underwriting Assumptions'!$Q$65," =")</f>
        <v>72 units x $250 =</v>
      </c>
      <c r="P998" s="1557">
        <f>SUM(MJ810:MN810)*'DCA Underwriting Assumptions'!$Q$65</f>
        <v>18000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2000</v>
      </c>
      <c r="G999" s="1530"/>
      <c r="H999" s="1314"/>
      <c r="I999" s="1314"/>
      <c r="J999" s="1516"/>
      <c r="K999" s="1314"/>
      <c r="L999" s="1314"/>
      <c r="M999" s="1721"/>
      <c r="N999" s="1335" t="s">
        <v>3432</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3427</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51900</v>
      </c>
      <c r="G1001" s="1530"/>
      <c r="H1001" s="1314"/>
      <c r="I1001" s="1314"/>
      <c r="J1001" s="1516"/>
      <c r="K1001" s="1314"/>
      <c r="L1001" s="1314"/>
      <c r="M1001" s="1314"/>
      <c r="N1001" s="1511" t="s">
        <v>2717</v>
      </c>
      <c r="O1001" s="1506">
        <f>SUM(ME810:MI810)+SUM(MJ810:MN810)+SUM(MO810:MS810)+O875</f>
        <v>72</v>
      </c>
      <c r="P1001" s="1506">
        <f>SUM(P997:P1000)</f>
        <v>18000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376517</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4994</v>
      </c>
      <c r="C1005" s="2378"/>
      <c r="D1005" s="1314"/>
      <c r="E1005" s="1314"/>
      <c r="F1005" s="2379" t="s">
        <v>4995</v>
      </c>
      <c r="G1005" s="1516"/>
      <c r="H1005" s="1545">
        <f>'Part VI-Revenues &amp; Expenses'!H243</f>
        <v>0</v>
      </c>
      <c r="I1005" s="1545"/>
      <c r="J1005" s="1516"/>
      <c r="K1005" s="1624" t="s">
        <v>4996</v>
      </c>
      <c r="L1005" s="1607">
        <f>'Part VI-Revenues &amp; Expenses'!K243</f>
        <v>0</v>
      </c>
      <c r="M1005" s="1314"/>
      <c r="N1005" s="1314" t="s">
        <v>4998</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5071</v>
      </c>
      <c r="C1007" s="2378"/>
      <c r="F1007" s="1516"/>
      <c r="G1007" s="1516"/>
      <c r="I1007" s="1313" t="str">
        <f>'Part VI-Revenues &amp; Expenses'!I245</f>
        <v>&lt;&lt;Select&gt;&gt;</v>
      </c>
      <c r="J1007" s="2379" t="s">
        <v>5073</v>
      </c>
      <c r="K1007" s="1313" t="str">
        <f>'Part VI-Revenues &amp; Expenses'!K245</f>
        <v>&lt;&lt;Select&gt;&gt;</v>
      </c>
      <c r="L1007" s="1313" t="s">
        <v>5074</v>
      </c>
      <c r="M1007" s="1607" t="str">
        <f>'Part VI-Revenues &amp; Expenses'!L245</f>
        <v>Yrs in period</v>
      </c>
      <c r="N1007" s="1314" t="s">
        <v>5072</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4100</v>
      </c>
      <c r="B1009" s="638" t="s">
        <v>572</v>
      </c>
      <c r="M1009" s="638" t="s">
        <v>4993</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The project will be a combination of two/three story walk-up designed buildings.
Please see Tab 1 in the application for documentation of real estate taxes and insurance calculations.
Please see Tab 30 for the Enriched Property Services documentation. The Enriched Property Services line item above represents the costs associated for the Preventive Health services provided by MercyMed. The combination of the full-time management staff and MercyMed will fulfill the required functions of the Health Services Coordinator.</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4099</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2019-042 Brennan Place, ,  County</v>
      </c>
      <c r="B1016" s="1794"/>
      <c r="C1016" s="1794"/>
      <c r="D1016" s="1794"/>
      <c r="E1016" s="1794"/>
      <c r="F1016" s="1794"/>
      <c r="G1016" s="1794"/>
      <c r="H1016" s="1794"/>
      <c r="I1016" s="1794"/>
      <c r="J1016" s="1794"/>
      <c r="K1016" s="1794"/>
      <c r="L1016" s="1314"/>
      <c r="M1016" s="1314"/>
      <c r="N1016" s="1314" t="str">
        <f>A1016</f>
        <v>PART SEVEN - OPERATING PRO FORMA  -  2019-042 Brennan Place,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5107</v>
      </c>
      <c r="N1018" s="638" t="str">
        <f>A1018</f>
        <v>I.  OPERATING ASSUMPTIONS</v>
      </c>
      <c r="O1018" s="1794"/>
    </row>
    <row r="1019" spans="1:318">
      <c r="C1019" s="2380"/>
    </row>
    <row r="1020" spans="1:318" ht="12.75" customHeight="1">
      <c r="A1020" s="638" t="s">
        <v>2188</v>
      </c>
      <c r="B1020" s="1559">
        <v>0.02</v>
      </c>
      <c r="C1020" s="2380"/>
      <c r="D1020" s="1521" t="s">
        <v>4530</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2508</v>
      </c>
      <c r="G1023" s="1840" t="str">
        <f>'Part VII-Pro Forma'!G8</f>
        <v>Yes</v>
      </c>
      <c r="H1023" s="1563" t="s">
        <v>1444</v>
      </c>
      <c r="K1023" s="1841">
        <f>'Part VII-Pro Forma'!K8</f>
        <v>34560</v>
      </c>
      <c r="N1023" s="1521">
        <f>'Part VII-Pro Forma'!N8</f>
        <v>0</v>
      </c>
      <c r="O1023" s="1521"/>
    </row>
    <row r="1024" spans="1:318">
      <c r="A1024" s="638" t="s">
        <v>1418</v>
      </c>
      <c r="B1024" s="1559">
        <v>0.02</v>
      </c>
      <c r="D1024" s="1314" t="s">
        <v>1718</v>
      </c>
      <c r="G1024" s="1840">
        <f>'Part VII-Pro Forma'!G9</f>
        <v>0</v>
      </c>
      <c r="H1024" s="1563" t="s">
        <v>2356</v>
      </c>
      <c r="K1024" s="1842">
        <f>'Part VII-Pro Forma'!K9</f>
        <v>0</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569844</v>
      </c>
      <c r="C1029" s="1564">
        <f>'Part VII-Pro Forma'!C14</f>
        <v>581240.88</v>
      </c>
      <c r="D1029" s="1564">
        <f>'Part VII-Pro Forma'!D14</f>
        <v>592865.69759999996</v>
      </c>
      <c r="E1029" s="1564">
        <f>'Part VII-Pro Forma'!E14</f>
        <v>604723.01155199995</v>
      </c>
      <c r="F1029" s="1564">
        <f>'Part VII-Pro Forma'!F14</f>
        <v>616817.47178303997</v>
      </c>
      <c r="G1029" s="1564">
        <f>'Part VII-Pro Forma'!G14</f>
        <v>629153.82121870085</v>
      </c>
      <c r="H1029" s="1564">
        <f>'Part VII-Pro Forma'!H14</f>
        <v>641736.89764307486</v>
      </c>
      <c r="I1029" s="1564">
        <f>'Part VII-Pro Forma'!I14</f>
        <v>654571.63559593621</v>
      </c>
      <c r="J1029" s="1564">
        <f>'Part VII-Pro Forma'!J14</f>
        <v>667663.06830785505</v>
      </c>
      <c r="K1029" s="1564">
        <f>'Part VII-Pro Forma'!K14</f>
        <v>681016.32967401214</v>
      </c>
      <c r="N1029" s="1521">
        <f>'Part VII-Pro Forma'!N14</f>
        <v>0</v>
      </c>
      <c r="O1029" s="1521"/>
    </row>
    <row r="1030" spans="1:15">
      <c r="A1030" s="638" t="s">
        <v>1016</v>
      </c>
      <c r="B1030" s="1564">
        <f>'Part VII-Pro Forma'!B15</f>
        <v>11396.880000000001</v>
      </c>
      <c r="C1030" s="1564">
        <f>'Part VII-Pro Forma'!C15</f>
        <v>11624.817600000002</v>
      </c>
      <c r="D1030" s="1564">
        <f>'Part VII-Pro Forma'!D15</f>
        <v>11857.313952</v>
      </c>
      <c r="E1030" s="1564">
        <f>'Part VII-Pro Forma'!E15</f>
        <v>12094.460231040001</v>
      </c>
      <c r="F1030" s="1564">
        <f>'Part VII-Pro Forma'!F15</f>
        <v>12336.349435660801</v>
      </c>
      <c r="G1030" s="1564">
        <f>'Part VII-Pro Forma'!G15</f>
        <v>12583.076424374018</v>
      </c>
      <c r="H1030" s="1564">
        <f>'Part VII-Pro Forma'!H15</f>
        <v>12834.737952861498</v>
      </c>
      <c r="I1030" s="1564">
        <f>'Part VII-Pro Forma'!I15</f>
        <v>13091.432711918726</v>
      </c>
      <c r="J1030" s="1564">
        <f>'Part VII-Pro Forma'!J15</f>
        <v>13353.261366157101</v>
      </c>
      <c r="K1030" s="1564">
        <f>'Part VII-Pro Forma'!K15</f>
        <v>13620.326593480244</v>
      </c>
      <c r="N1030" s="1521">
        <f>'Part VII-Pro Forma'!N15</f>
        <v>0</v>
      </c>
      <c r="O1030" s="1521"/>
    </row>
    <row r="1031" spans="1:15">
      <c r="A1031" s="638" t="s">
        <v>2405</v>
      </c>
      <c r="B1031" s="1564">
        <f>'Part VII-Pro Forma'!B16</f>
        <v>-40686.861600000004</v>
      </c>
      <c r="C1031" s="1564">
        <f>'Part VII-Pro Forma'!C16</f>
        <v>-41500.598832000003</v>
      </c>
      <c r="D1031" s="1564">
        <f>'Part VII-Pro Forma'!D16</f>
        <v>-42330.610808639998</v>
      </c>
      <c r="E1031" s="1564">
        <f>'Part VII-Pro Forma'!E16</f>
        <v>-43177.223024812803</v>
      </c>
      <c r="F1031" s="1564">
        <f>'Part VII-Pro Forma'!F16</f>
        <v>-44040.767485309058</v>
      </c>
      <c r="G1031" s="1564">
        <f>'Part VII-Pro Forma'!G16</f>
        <v>-44921.582835015244</v>
      </c>
      <c r="H1031" s="1564">
        <f>'Part VII-Pro Forma'!H16</f>
        <v>-45820.014491715549</v>
      </c>
      <c r="I1031" s="1564">
        <f>'Part VII-Pro Forma'!I16</f>
        <v>-46736.414781549851</v>
      </c>
      <c r="J1031" s="1564">
        <f>'Part VII-Pro Forma'!J16</f>
        <v>-47671.143077180852</v>
      </c>
      <c r="K1031" s="1564">
        <f>'Part VII-Pro Forma'!K16</f>
        <v>-48624.565938724467</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4935</v>
      </c>
      <c r="B1034" s="1564">
        <f>'Part VII-Pro Forma'!B19</f>
        <v>540554.01839999994</v>
      </c>
      <c r="C1034" s="1564">
        <f>'Part VII-Pro Forma'!C19</f>
        <v>551365.09876799991</v>
      </c>
      <c r="D1034" s="1564">
        <f>'Part VII-Pro Forma'!D19</f>
        <v>562392.40074335993</v>
      </c>
      <c r="E1034" s="1564">
        <f>'Part VII-Pro Forma'!E19</f>
        <v>573640.24875822722</v>
      </c>
      <c r="F1034" s="1564">
        <f>'Part VII-Pro Forma'!F19</f>
        <v>585113.05373339169</v>
      </c>
      <c r="G1034" s="1564">
        <f>'Part VII-Pro Forma'!G19</f>
        <v>596815.3148080596</v>
      </c>
      <c r="H1034" s="1564">
        <f>'Part VII-Pro Forma'!H19</f>
        <v>608751.62110422074</v>
      </c>
      <c r="I1034" s="1564">
        <f>'Part VII-Pro Forma'!I19</f>
        <v>620926.6535263051</v>
      </c>
      <c r="J1034" s="1564">
        <f>'Part VII-Pro Forma'!J19</f>
        <v>633345.18659683131</v>
      </c>
      <c r="K1034" s="1564">
        <f>'Part VII-Pro Forma'!K19</f>
        <v>646012.0903287679</v>
      </c>
      <c r="N1034" s="1521">
        <f>'Part VII-Pro Forma'!N19</f>
        <v>0</v>
      </c>
      <c r="O1034" s="1521"/>
    </row>
    <row r="1035" spans="1:15">
      <c r="A1035" s="638" t="s">
        <v>614</v>
      </c>
      <c r="B1035" s="1564">
        <f>'Part VII-Pro Forma'!B20</f>
        <v>-323957</v>
      </c>
      <c r="C1035" s="1564">
        <f>'Part VII-Pro Forma'!C20</f>
        <v>-333675.71000000002</v>
      </c>
      <c r="D1035" s="1564">
        <f>'Part VII-Pro Forma'!D20</f>
        <v>-343685.98129999998</v>
      </c>
      <c r="E1035" s="1564">
        <f>'Part VII-Pro Forma'!E20</f>
        <v>-353996.56073899998</v>
      </c>
      <c r="F1035" s="1564">
        <f>'Part VII-Pro Forma'!F20</f>
        <v>-364616.45756116998</v>
      </c>
      <c r="G1035" s="1564">
        <f>'Part VII-Pro Forma'!G20</f>
        <v>-375554.95128800505</v>
      </c>
      <c r="H1035" s="1564">
        <f>'Part VII-Pro Forma'!H20</f>
        <v>-386821.59982664522</v>
      </c>
      <c r="I1035" s="1564">
        <f>'Part VII-Pro Forma'!I20</f>
        <v>-398426.24782144459</v>
      </c>
      <c r="J1035" s="1564">
        <f>'Part VII-Pro Forma'!J20</f>
        <v>-410379.0352560879</v>
      </c>
      <c r="K1035" s="1564">
        <f>'Part VII-Pro Forma'!K20</f>
        <v>-422690.40631377057</v>
      </c>
      <c r="N1035" s="1521">
        <f>'Part VII-Pro Forma'!N20</f>
        <v>0</v>
      </c>
      <c r="O1035" s="1521"/>
    </row>
    <row r="1036" spans="1:15">
      <c r="A1036" s="638" t="s">
        <v>1115</v>
      </c>
      <c r="B1036" s="1564">
        <f>'Part VII-Pro Forma'!B21</f>
        <v>-34560</v>
      </c>
      <c r="C1036" s="1564">
        <f>'Part VII-Pro Forma'!C21</f>
        <v>-35597</v>
      </c>
      <c r="D1036" s="1564">
        <f>'Part VII-Pro Forma'!D21</f>
        <v>-36665</v>
      </c>
      <c r="E1036" s="1564">
        <f>'Part VII-Pro Forma'!E21</f>
        <v>-37765</v>
      </c>
      <c r="F1036" s="1564">
        <f>'Part VII-Pro Forma'!F21</f>
        <v>-38898</v>
      </c>
      <c r="G1036" s="1564">
        <f>'Part VII-Pro Forma'!G21</f>
        <v>-40065</v>
      </c>
      <c r="H1036" s="1564">
        <f>'Part VII-Pro Forma'!H21</f>
        <v>-41266</v>
      </c>
      <c r="I1036" s="1564">
        <f>'Part VII-Pro Forma'!I21</f>
        <v>-42504</v>
      </c>
      <c r="J1036" s="1564">
        <f>'Part VII-Pro Forma'!J21</f>
        <v>-43780</v>
      </c>
      <c r="K1036" s="1564">
        <f>'Part VII-Pro Forma'!K21</f>
        <v>-45093</v>
      </c>
      <c r="N1036" s="1521">
        <f>'Part VII-Pro Forma'!N21</f>
        <v>0</v>
      </c>
      <c r="O1036" s="1521"/>
    </row>
    <row r="1037" spans="1:15">
      <c r="A1037" s="638" t="s">
        <v>1202</v>
      </c>
      <c r="B1037" s="1564">
        <f>'Part VII-Pro Forma'!B22</f>
        <v>-18000</v>
      </c>
      <c r="C1037" s="1564">
        <f>'Part VII-Pro Forma'!C22</f>
        <v>-18540</v>
      </c>
      <c r="D1037" s="1564">
        <f>'Part VII-Pro Forma'!D22</f>
        <v>-19096.2</v>
      </c>
      <c r="E1037" s="1564">
        <f>'Part VII-Pro Forma'!E22</f>
        <v>-19669.085999999999</v>
      </c>
      <c r="F1037" s="1564">
        <f>'Part VII-Pro Forma'!F22</f>
        <v>-20259.158579999999</v>
      </c>
      <c r="G1037" s="1564">
        <f>'Part VII-Pro Forma'!G22</f>
        <v>-20866.933337399998</v>
      </c>
      <c r="H1037" s="1564">
        <f>'Part VII-Pro Forma'!H22</f>
        <v>-21492.941337521999</v>
      </c>
      <c r="I1037" s="1564">
        <f>'Part VII-Pro Forma'!I22</f>
        <v>-22137.72957764766</v>
      </c>
      <c r="J1037" s="1564">
        <f>'Part VII-Pro Forma'!J22</f>
        <v>-22801.861464977086</v>
      </c>
      <c r="K1037" s="1564">
        <f>'Part VII-Pro Forma'!K22</f>
        <v>-23485.9173089264</v>
      </c>
      <c r="N1037" s="1521">
        <f>'Part VII-Pro Forma'!N22</f>
        <v>0</v>
      </c>
      <c r="O1037" s="1521"/>
    </row>
    <row r="1038" spans="1:15">
      <c r="A1038" s="638" t="s">
        <v>4934</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164037.01839999994</v>
      </c>
      <c r="C1039" s="1564">
        <f t="shared" ref="C1039:J1039" si="364">SUM(C1034:C1038)</f>
        <v>163552.38876799989</v>
      </c>
      <c r="D1039" s="1564">
        <f t="shared" si="364"/>
        <v>162945.21944335994</v>
      </c>
      <c r="E1039" s="1564">
        <f t="shared" si="364"/>
        <v>162209.60201922723</v>
      </c>
      <c r="F1039" s="1564">
        <f t="shared" si="364"/>
        <v>161339.43759222172</v>
      </c>
      <c r="G1039" s="1564">
        <f t="shared" si="364"/>
        <v>160328.43018265456</v>
      </c>
      <c r="H1039" s="1564">
        <f t="shared" si="364"/>
        <v>159171.07994005352</v>
      </c>
      <c r="I1039" s="1564">
        <f t="shared" si="364"/>
        <v>157858.67612721285</v>
      </c>
      <c r="J1039" s="1564">
        <f t="shared" si="364"/>
        <v>156384.28987576632</v>
      </c>
      <c r="K1039" s="1564">
        <f>SUM(K1034:K1038)</f>
        <v>154742.76670607092</v>
      </c>
      <c r="N1039" s="1521">
        <f>'Part VII-Pro Forma'!N24</f>
        <v>0</v>
      </c>
      <c r="O1039" s="1521"/>
    </row>
    <row r="1040" spans="1:15">
      <c r="A1040" s="638" t="s">
        <v>1591</v>
      </c>
      <c r="B1040" s="1564">
        <f>'Part VII-Pro Forma'!B25</f>
        <v>-119763.60191377226</v>
      </c>
      <c r="C1040" s="1564">
        <f>'Part VII-Pro Forma'!C25</f>
        <v>-119763.60191377226</v>
      </c>
      <c r="D1040" s="1564">
        <f>'Part VII-Pro Forma'!D25</f>
        <v>-119763.60191377226</v>
      </c>
      <c r="E1040" s="1564">
        <f>'Part VII-Pro Forma'!E25</f>
        <v>-119763.60191377226</v>
      </c>
      <c r="F1040" s="1564">
        <f>'Part VII-Pro Forma'!F25</f>
        <v>-119763.60191377226</v>
      </c>
      <c r="G1040" s="1564">
        <f>'Part VII-Pro Forma'!G25</f>
        <v>-119763.60191377226</v>
      </c>
      <c r="H1040" s="1564">
        <f>'Part VII-Pro Forma'!H25</f>
        <v>-119763.60191377226</v>
      </c>
      <c r="I1040" s="1564">
        <f>'Part VII-Pro Forma'!I25</f>
        <v>-119763.60191377226</v>
      </c>
      <c r="J1040" s="1564">
        <f>'Part VII-Pro Forma'!J25</f>
        <v>-119763.60191377226</v>
      </c>
      <c r="K1040" s="1564">
        <f>'Part VII-Pro Forma'!K25</f>
        <v>-119763.60191377226</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3847</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4078</v>
      </c>
      <c r="B1046" s="1564">
        <f>'Part VII-Pro Forma'!B31</f>
        <v>-39273</v>
      </c>
      <c r="C1046" s="1564">
        <f>'Part VII-Pro Forma'!C31</f>
        <v>-38382</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0.41648622768116184</v>
      </c>
      <c r="C1047" s="1564">
        <f>'Part VII-Pro Forma'!C32</f>
        <v>406.78685422762646</v>
      </c>
      <c r="D1047" s="1564">
        <f>'Part VII-Pro Forma'!D32</f>
        <v>38181.617529587675</v>
      </c>
      <c r="E1047" s="1564">
        <f>'Part VII-Pro Forma'!E32</f>
        <v>37446.000105454965</v>
      </c>
      <c r="F1047" s="1564">
        <f>'Part VII-Pro Forma'!F32</f>
        <v>36575.835678449454</v>
      </c>
      <c r="G1047" s="1564">
        <f>'Part VII-Pro Forma'!G32</f>
        <v>35564.828268882295</v>
      </c>
      <c r="H1047" s="1564">
        <f>'Part VII-Pro Forma'!H32</f>
        <v>34407.478026281256</v>
      </c>
      <c r="I1047" s="1564">
        <f>'Part VII-Pro Forma'!I32</f>
        <v>33095.074213440588</v>
      </c>
      <c r="J1047" s="1564">
        <f>'Part VII-Pro Forma'!J32</f>
        <v>31620.687961994059</v>
      </c>
      <c r="K1047" s="1564">
        <f>'Part VII-Pro Forma'!K32</f>
        <v>29979.164792298659</v>
      </c>
      <c r="N1047" s="1521">
        <f>'Part VII-Pro Forma'!N32</f>
        <v>0</v>
      </c>
      <c r="O1047" s="1521"/>
    </row>
    <row r="1048" spans="1:15">
      <c r="A1048" s="638" t="str">
        <f>IF('Part III-Sources of Funds'!$E$38 = "Neither", "", "DCR Mortgage A")</f>
        <v>DCR Mortgage A</v>
      </c>
      <c r="B1048" s="1565">
        <f>'Part VII-Pro Forma'!B33</f>
        <v>1.3696733880641281</v>
      </c>
      <c r="C1048" s="1565">
        <f>'Part VII-Pro Forma'!C33</f>
        <v>1.3656268361547343</v>
      </c>
      <c r="D1048" s="1565">
        <f>'Part VII-Pro Forma'!D33</f>
        <v>1.360557104492212</v>
      </c>
      <c r="E1048" s="1565">
        <f>'Part VII-Pro Forma'!E33</f>
        <v>1.3544148591657703</v>
      </c>
      <c r="F1048" s="1565">
        <f>'Part VII-Pro Forma'!F33</f>
        <v>1.347149175660092</v>
      </c>
      <c r="G1048" s="1565">
        <f>'Part VII-Pro Forma'!G33</f>
        <v>1.3387074839155912</v>
      </c>
      <c r="H1048" s="1565">
        <f>'Part VII-Pro Forma'!H33</f>
        <v>1.3290438613783007</v>
      </c>
      <c r="I1048" s="1565">
        <f>'Part VII-Pro Forma'!I33</f>
        <v>1.3180855752891298</v>
      </c>
      <c r="J1048" s="1565">
        <f>'Part VII-Pro Forma'!J33</f>
        <v>1.305774771105835</v>
      </c>
      <c r="K1048" s="1565">
        <f>'Part VII-Pro Forma'!K33</f>
        <v>1.2920684100456752</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f>'Part VII-Pro Forma'!B37</f>
        <v>1.3696733880641281</v>
      </c>
      <c r="C1052" s="1565">
        <f>'Part VII-Pro Forma'!C37</f>
        <v>1.3656268361547343</v>
      </c>
      <c r="D1052" s="1565">
        <f>'Part VII-Pro Forma'!D37</f>
        <v>1.360557104492212</v>
      </c>
      <c r="E1052" s="1565">
        <f>'Part VII-Pro Forma'!E37</f>
        <v>1.3544148591657703</v>
      </c>
      <c r="F1052" s="1565">
        <f>'Part VII-Pro Forma'!F37</f>
        <v>1.347149175660092</v>
      </c>
      <c r="G1052" s="1565">
        <f>'Part VII-Pro Forma'!G37</f>
        <v>1.3387074839155912</v>
      </c>
      <c r="H1052" s="1565">
        <f>'Part VII-Pro Forma'!H37</f>
        <v>1.3290438613783007</v>
      </c>
      <c r="I1052" s="1565">
        <f>'Part VII-Pro Forma'!I37</f>
        <v>1.3180855752891298</v>
      </c>
      <c r="J1052" s="1565">
        <f>'Part VII-Pro Forma'!J37</f>
        <v>1.305774771105835</v>
      </c>
      <c r="K1052" s="1565">
        <f>'Part VII-Pro Forma'!K37</f>
        <v>1.2920684100456752</v>
      </c>
      <c r="N1052" s="1521">
        <f>'Part VII-Pro Forma'!N37</f>
        <v>0</v>
      </c>
      <c r="O1052" s="1521"/>
    </row>
    <row r="1053" spans="1:15">
      <c r="A1053" s="638" t="s">
        <v>770</v>
      </c>
      <c r="B1053" s="1566">
        <f>'Part VII-Pro Forma'!B38</f>
        <v>1.4356696202296308</v>
      </c>
      <c r="C1053" s="1566">
        <f>'Part VII-Pro Forma'!C38</f>
        <v>1.4217303470224065</v>
      </c>
      <c r="D1053" s="1566">
        <f>'Part VII-Pro Forma'!D38</f>
        <v>1.4079268225477397</v>
      </c>
      <c r="E1053" s="1566">
        <f>'Part VII-Pro Forma'!E38</f>
        <v>1.3942574606556435</v>
      </c>
      <c r="F1053" s="1566">
        <f>'Part VII-Pro Forma'!F38</f>
        <v>1.3807208175472523</v>
      </c>
      <c r="G1053" s="1566">
        <f>'Part VII-Pro Forma'!G38</f>
        <v>1.3673155731133801</v>
      </c>
      <c r="H1053" s="1566">
        <f>'Part VII-Pro Forma'!H38</f>
        <v>1.3540435258338532</v>
      </c>
      <c r="I1053" s="1566">
        <f>'Part VII-Pro Forma'!I38</f>
        <v>1.3408974142713466</v>
      </c>
      <c r="J1053" s="1566">
        <f>'Part VII-Pro Forma'!J38</f>
        <v>1.3278765428169315</v>
      </c>
      <c r="K1053" s="1566">
        <f>'Part VII-Pro Forma'!K38</f>
        <v>1.3149856082300713</v>
      </c>
      <c r="N1053" s="1521">
        <f>'Part VII-Pro Forma'!N38</f>
        <v>0</v>
      </c>
      <c r="O1053" s="1521"/>
    </row>
    <row r="1054" spans="1:15">
      <c r="A1054" s="638" t="s">
        <v>2617</v>
      </c>
      <c r="B1054" s="1564">
        <f>'Part VII-Pro Forma'!B39</f>
        <v>1686092.4896486134</v>
      </c>
      <c r="C1054" s="1564">
        <f>'Part VII-Pro Forma'!C39</f>
        <v>1671290.4229947689</v>
      </c>
      <c r="D1054" s="1564">
        <f>'Part VII-Pro Forma'!D39</f>
        <v>1655536.2605538252</v>
      </c>
      <c r="E1054" s="1564">
        <f>'Part VII-Pro Forma'!E39</f>
        <v>1638768.7617970766</v>
      </c>
      <c r="F1054" s="1564">
        <f>'Part VII-Pro Forma'!F39</f>
        <v>1620922.7470938843</v>
      </c>
      <c r="G1054" s="1564">
        <f>'Part VII-Pro Forma'!G39</f>
        <v>1601928.8443414911</v>
      </c>
      <c r="H1054" s="1564">
        <f>'Part VII-Pro Forma'!H39</f>
        <v>1581713.2192976074</v>
      </c>
      <c r="I1054" s="1564">
        <f>'Part VII-Pro Forma'!I39</f>
        <v>1560197.2885674995</v>
      </c>
      <c r="J1054" s="1564">
        <f>'Part VII-Pro Forma'!J39</f>
        <v>1537297.4141298865</v>
      </c>
      <c r="K1054" s="1564">
        <f>'Part VII-Pro Forma'!K39</f>
        <v>1512924.5782141888</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4079</v>
      </c>
      <c r="B1058" s="1564">
        <f>'Part VII-Pro Forma'!B43</f>
        <v>38382</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694636.65626749233</v>
      </c>
      <c r="C1061" s="1564">
        <f>'Part VII-Pro Forma'!C46</f>
        <v>708529.38939284207</v>
      </c>
      <c r="D1061" s="1564">
        <f>'Part VII-Pro Forma'!D46</f>
        <v>722699.977180699</v>
      </c>
      <c r="E1061" s="1564">
        <f>'Part VII-Pro Forma'!E46</f>
        <v>737153.97672431299</v>
      </c>
      <c r="F1061" s="1564">
        <f>'Part VII-Pro Forma'!F46</f>
        <v>751897.05625879928</v>
      </c>
      <c r="G1061" s="1564">
        <f>'Part VII-Pro Forma'!G46</f>
        <v>766934.99738397507</v>
      </c>
      <c r="H1061" s="1564">
        <f>'Part VII-Pro Forma'!H46</f>
        <v>782273.69733165472</v>
      </c>
      <c r="I1061" s="1564">
        <f>'Part VII-Pro Forma'!I46</f>
        <v>797919.17127828789</v>
      </c>
      <c r="J1061" s="1564">
        <f>'Part VII-Pro Forma'!J46</f>
        <v>813877.55470385356</v>
      </c>
      <c r="K1061" s="1564">
        <f>'Part VII-Pro Forma'!K46</f>
        <v>830155.10579793062</v>
      </c>
      <c r="N1061" s="1521">
        <f>'Part VII-Pro Forma'!N46</f>
        <v>0</v>
      </c>
      <c r="O1061" s="1521"/>
    </row>
    <row r="1062" spans="1:15">
      <c r="A1062" s="638" t="s">
        <v>1016</v>
      </c>
      <c r="B1062" s="1564">
        <f>'Part VII-Pro Forma'!B47</f>
        <v>13892.733125349849</v>
      </c>
      <c r="C1062" s="1564">
        <f>'Part VII-Pro Forma'!C47</f>
        <v>14170.587787856843</v>
      </c>
      <c r="D1062" s="1564">
        <f>'Part VII-Pro Forma'!D47</f>
        <v>14453.999543613982</v>
      </c>
      <c r="E1062" s="1564">
        <f>'Part VII-Pro Forma'!E47</f>
        <v>14743.079534486262</v>
      </c>
      <c r="F1062" s="1564">
        <f>'Part VII-Pro Forma'!F47</f>
        <v>15037.941125175988</v>
      </c>
      <c r="G1062" s="1564">
        <f>'Part VII-Pro Forma'!G47</f>
        <v>15338.699947679503</v>
      </c>
      <c r="H1062" s="1564">
        <f>'Part VII-Pro Forma'!H47</f>
        <v>15645.473946633096</v>
      </c>
      <c r="I1062" s="1564">
        <f>'Part VII-Pro Forma'!I47</f>
        <v>15958.383425565758</v>
      </c>
      <c r="J1062" s="1564">
        <f>'Part VII-Pro Forma'!J47</f>
        <v>16277.551094077073</v>
      </c>
      <c r="K1062" s="1564">
        <f>'Part VII-Pro Forma'!K47</f>
        <v>16603.102115958613</v>
      </c>
      <c r="N1062" s="1521">
        <f>'Part VII-Pro Forma'!N47</f>
        <v>0</v>
      </c>
      <c r="O1062" s="1521"/>
    </row>
    <row r="1063" spans="1:15">
      <c r="A1063" s="638" t="s">
        <v>2405</v>
      </c>
      <c r="B1063" s="1564">
        <f>'Part VII-Pro Forma'!B48</f>
        <v>-49597.057257498956</v>
      </c>
      <c r="C1063" s="1564">
        <f>'Part VII-Pro Forma'!C48</f>
        <v>-50588.998402648926</v>
      </c>
      <c r="D1063" s="1564">
        <f>'Part VII-Pro Forma'!D48</f>
        <v>-51600.778370701912</v>
      </c>
      <c r="E1063" s="1564">
        <f>'Part VII-Pro Forma'!E48</f>
        <v>-52632.793938115952</v>
      </c>
      <c r="F1063" s="1564">
        <f>'Part VII-Pro Forma'!F48</f>
        <v>-53685.449816878274</v>
      </c>
      <c r="G1063" s="1564">
        <f>'Part VII-Pro Forma'!G48</f>
        <v>-54759.158813215829</v>
      </c>
      <c r="H1063" s="1564">
        <f>'Part VII-Pro Forma'!H48</f>
        <v>-55854.341989480148</v>
      </c>
      <c r="I1063" s="1564">
        <f>'Part VII-Pro Forma'!I48</f>
        <v>-56971.42882926976</v>
      </c>
      <c r="J1063" s="1564">
        <f>'Part VII-Pro Forma'!J48</f>
        <v>-58110.857405855146</v>
      </c>
      <c r="K1063" s="1564">
        <f>'Part VII-Pro Forma'!K48</f>
        <v>-59273.074553972248</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4935</v>
      </c>
      <c r="B1066" s="1564">
        <f>'Part VII-Pro Forma'!B51</f>
        <v>658932.33213534323</v>
      </c>
      <c r="C1066" s="1564">
        <f>'Part VII-Pro Forma'!C51</f>
        <v>672110.97877804993</v>
      </c>
      <c r="D1066" s="1564">
        <f>'Part VII-Pro Forma'!D51</f>
        <v>685553.19835361105</v>
      </c>
      <c r="E1066" s="1564">
        <f>'Part VII-Pro Forma'!E51</f>
        <v>699264.26232068334</v>
      </c>
      <c r="F1066" s="1564">
        <f>'Part VII-Pro Forma'!F51</f>
        <v>713249.547567097</v>
      </c>
      <c r="G1066" s="1564">
        <f>'Part VII-Pro Forma'!G51</f>
        <v>727514.53851843881</v>
      </c>
      <c r="H1066" s="1564">
        <f>'Part VII-Pro Forma'!H51</f>
        <v>742064.82928880758</v>
      </c>
      <c r="I1066" s="1564">
        <f>'Part VII-Pro Forma'!I51</f>
        <v>756906.12587458396</v>
      </c>
      <c r="J1066" s="1564">
        <f>'Part VII-Pro Forma'!J51</f>
        <v>772044.24839207553</v>
      </c>
      <c r="K1066" s="1564">
        <f>'Part VII-Pro Forma'!K51</f>
        <v>787485.13335991697</v>
      </c>
      <c r="N1066" s="1521">
        <f>'Part VII-Pro Forma'!N51</f>
        <v>0</v>
      </c>
      <c r="O1066" s="1521"/>
    </row>
    <row r="1067" spans="1:15">
      <c r="A1067" s="638" t="s">
        <v>614</v>
      </c>
      <c r="B1067" s="1564">
        <f>'Part VII-Pro Forma'!B52</f>
        <v>-435371.11850318365</v>
      </c>
      <c r="C1067" s="1564">
        <f>'Part VII-Pro Forma'!C52</f>
        <v>-448432.25205827918</v>
      </c>
      <c r="D1067" s="1564">
        <f>'Part VII-Pro Forma'!D52</f>
        <v>-461885.21962002746</v>
      </c>
      <c r="E1067" s="1564">
        <f>'Part VII-Pro Forma'!E52</f>
        <v>-475741.77620862832</v>
      </c>
      <c r="F1067" s="1564">
        <f>'Part VII-Pro Forma'!F52</f>
        <v>-490014.02949488722</v>
      </c>
      <c r="G1067" s="1564">
        <f>'Part VII-Pro Forma'!G52</f>
        <v>-504714.45037973387</v>
      </c>
      <c r="H1067" s="1564">
        <f>'Part VII-Pro Forma'!H52</f>
        <v>-519855.88389112579</v>
      </c>
      <c r="I1067" s="1564">
        <f>'Part VII-Pro Forma'!I52</f>
        <v>-535451.56040785951</v>
      </c>
      <c r="J1067" s="1564">
        <f>'Part VII-Pro Forma'!J52</f>
        <v>-551515.10722009535</v>
      </c>
      <c r="K1067" s="1564">
        <f>'Part VII-Pro Forma'!K52</f>
        <v>-568060.56043669814</v>
      </c>
      <c r="N1067" s="1521">
        <f>'Part VII-Pro Forma'!N52</f>
        <v>0</v>
      </c>
      <c r="O1067" s="1521"/>
    </row>
    <row r="1068" spans="1:15">
      <c r="A1068" s="638" t="s">
        <v>1115</v>
      </c>
      <c r="B1068" s="1564">
        <f>'Part VII-Pro Forma'!B53</f>
        <v>-46446</v>
      </c>
      <c r="C1068" s="1564">
        <f>'Part VII-Pro Forma'!C53</f>
        <v>-47839</v>
      </c>
      <c r="D1068" s="1564">
        <f>'Part VII-Pro Forma'!D53</f>
        <v>-49274</v>
      </c>
      <c r="E1068" s="1564">
        <f>'Part VII-Pro Forma'!E53</f>
        <v>-50753</v>
      </c>
      <c r="F1068" s="1564">
        <f>'Part VII-Pro Forma'!F53</f>
        <v>-52275</v>
      </c>
      <c r="G1068" s="1564">
        <f>'Part VII-Pro Forma'!G53</f>
        <v>-53843</v>
      </c>
      <c r="H1068" s="1564">
        <f>'Part VII-Pro Forma'!H53</f>
        <v>-55459</v>
      </c>
      <c r="I1068" s="1564">
        <f>'Part VII-Pro Forma'!I53</f>
        <v>-57122</v>
      </c>
      <c r="J1068" s="1564">
        <f>'Part VII-Pro Forma'!J53</f>
        <v>-58836</v>
      </c>
      <c r="K1068" s="1564">
        <f>'Part VII-Pro Forma'!K53</f>
        <v>-60601</v>
      </c>
      <c r="N1068" s="1521">
        <f>'Part VII-Pro Forma'!N53</f>
        <v>0</v>
      </c>
      <c r="O1068" s="1521"/>
    </row>
    <row r="1069" spans="1:15">
      <c r="A1069" s="638" t="s">
        <v>1202</v>
      </c>
      <c r="B1069" s="1564">
        <f>'Part VII-Pro Forma'!B54</f>
        <v>-24190.494828194191</v>
      </c>
      <c r="C1069" s="1564">
        <f>'Part VII-Pro Forma'!C54</f>
        <v>-24916.209673040019</v>
      </c>
      <c r="D1069" s="1564">
        <f>'Part VII-Pro Forma'!D54</f>
        <v>-25663.695963231214</v>
      </c>
      <c r="E1069" s="1564">
        <f>'Part VII-Pro Forma'!E54</f>
        <v>-26433.606842128149</v>
      </c>
      <c r="F1069" s="1564">
        <f>'Part VII-Pro Forma'!F54</f>
        <v>-27226.615047391999</v>
      </c>
      <c r="G1069" s="1564">
        <f>'Part VII-Pro Forma'!G54</f>
        <v>-28043.413498813759</v>
      </c>
      <c r="H1069" s="1564">
        <f>'Part VII-Pro Forma'!H54</f>
        <v>-28884.715903778168</v>
      </c>
      <c r="I1069" s="1564">
        <f>'Part VII-Pro Forma'!I54</f>
        <v>-29751.257380891511</v>
      </c>
      <c r="J1069" s="1564">
        <f>'Part VII-Pro Forma'!J54</f>
        <v>-30643.795102318258</v>
      </c>
      <c r="K1069" s="1564">
        <f>'Part VII-Pro Forma'!K54</f>
        <v>-31563.108955387805</v>
      </c>
      <c r="N1069" s="1521">
        <f>'Part VII-Pro Forma'!N54</f>
        <v>0</v>
      </c>
      <c r="O1069" s="1521"/>
    </row>
    <row r="1070" spans="1:15">
      <c r="A1070" s="638" t="s">
        <v>4934</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152924.71880396537</v>
      </c>
      <c r="C1071" s="1564">
        <f t="shared" ref="C1071:J1071" si="366">SUM(C1066:C1070)</f>
        <v>150923.51704673073</v>
      </c>
      <c r="D1071" s="1564">
        <f t="shared" si="366"/>
        <v>148730.28277035238</v>
      </c>
      <c r="E1071" s="1564">
        <f t="shared" si="366"/>
        <v>146335.87926992687</v>
      </c>
      <c r="F1071" s="1564">
        <f t="shared" si="366"/>
        <v>143733.90302481779</v>
      </c>
      <c r="G1071" s="1564">
        <f t="shared" si="366"/>
        <v>140913.67463989119</v>
      </c>
      <c r="H1071" s="1564">
        <f t="shared" si="366"/>
        <v>137865.22949390364</v>
      </c>
      <c r="I1071" s="1564">
        <f t="shared" si="366"/>
        <v>134581.30808583295</v>
      </c>
      <c r="J1071" s="1564">
        <f t="shared" si="366"/>
        <v>131049.34606966193</v>
      </c>
      <c r="K1071" s="1564">
        <f>SUM(K1066:K1070)</f>
        <v>127260.46396783102</v>
      </c>
      <c r="N1071" s="1521">
        <f>'Part VII-Pro Forma'!N56</f>
        <v>0</v>
      </c>
      <c r="O1071" s="1521"/>
    </row>
    <row r="1072" spans="1:15">
      <c r="A1072" s="638" t="str">
        <f>$A1040</f>
        <v>Mortgage A</v>
      </c>
      <c r="B1072" s="1564">
        <f>IF('Part III-Sources of Funds'!$P$38="", 0,-'Part III-Sources of Funds'!$P$38)</f>
        <v>-119763.60191377226</v>
      </c>
      <c r="C1072" s="1564">
        <f>IF('Part III-Sources of Funds'!$P$38="", 0,-'Part III-Sources of Funds'!$P$38)</f>
        <v>-119763.60191377226</v>
      </c>
      <c r="D1072" s="1564">
        <f>IF('Part III-Sources of Funds'!$P$38="", 0,-'Part III-Sources of Funds'!$P$38)</f>
        <v>-119763.60191377226</v>
      </c>
      <c r="E1072" s="1564">
        <f>IF('Part III-Sources of Funds'!$P$38="", 0,-'Part III-Sources of Funds'!$P$38)</f>
        <v>-119763.60191377226</v>
      </c>
      <c r="F1072" s="1564">
        <f>IF('Part III-Sources of Funds'!$P$38="", 0,-'Part III-Sources of Funds'!$P$38)</f>
        <v>-119763.60191377226</v>
      </c>
      <c r="G1072" s="1564">
        <f>IF('Part III-Sources of Funds'!$P$38="", 0,-'Part III-Sources of Funds'!$P$38)</f>
        <v>-119763.60191377226</v>
      </c>
      <c r="H1072" s="1564">
        <f>IF('Part III-Sources of Funds'!$P$38="", 0,-'Part III-Sources of Funds'!$P$38)</f>
        <v>-119763.60191377226</v>
      </c>
      <c r="I1072" s="1564">
        <f>IF('Part III-Sources of Funds'!$P$38="", 0,-'Part III-Sources of Funds'!$P$38)</f>
        <v>-119763.60191377226</v>
      </c>
      <c r="J1072" s="1564">
        <f>IF('Part III-Sources of Funds'!$P$38="", 0,-'Part III-Sources of Funds'!$P$38)</f>
        <v>-119763.60191377226</v>
      </c>
      <c r="K1072" s="1564">
        <f>IF('Part III-Sources of Funds'!$P$38="", 0,-'Part III-Sources of Funds'!$P$38)</f>
        <v>-119763.60191377226</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4078</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28161.116890193109</v>
      </c>
      <c r="C1079" s="1564">
        <f>'Part VII-Pro Forma'!C64</f>
        <v>26159.915132958471</v>
      </c>
      <c r="D1079" s="1564">
        <f>'Part VII-Pro Forma'!D64</f>
        <v>23966.680856580118</v>
      </c>
      <c r="E1079" s="1564">
        <f>'Part VII-Pro Forma'!E64</f>
        <v>21572.277356154606</v>
      </c>
      <c r="F1079" s="1564">
        <f>'Part VII-Pro Forma'!F64</f>
        <v>18970.301111045526</v>
      </c>
      <c r="G1079" s="1564">
        <f>'Part VII-Pro Forma'!G64</f>
        <v>16150.072726118931</v>
      </c>
      <c r="H1079" s="1564">
        <f>'Part VII-Pro Forma'!H64</f>
        <v>13101.627580131375</v>
      </c>
      <c r="I1079" s="1564">
        <f>'Part VII-Pro Forma'!I64</f>
        <v>9817.7061720606871</v>
      </c>
      <c r="J1079" s="1564">
        <f>'Part VII-Pro Forma'!J64</f>
        <v>6285.744155889668</v>
      </c>
      <c r="K1079" s="1564">
        <f>'Part VII-Pro Forma'!K64</f>
        <v>2496.8620540587581</v>
      </c>
      <c r="N1079" s="1521">
        <f>'Part VII-Pro Forma'!N64</f>
        <v>0</v>
      </c>
      <c r="O1079" s="1521"/>
    </row>
    <row r="1080" spans="1:15">
      <c r="A1080" s="638" t="str">
        <f>$A1048</f>
        <v>DCR Mortgage A</v>
      </c>
      <c r="B1080" s="1565">
        <f>'Part VII-Pro Forma'!B65</f>
        <v>1.276888105904401</v>
      </c>
      <c r="C1080" s="1565">
        <f>'Part VII-Pro Forma'!C65</f>
        <v>1.2601785069506599</v>
      </c>
      <c r="D1080" s="1565">
        <f>'Part VII-Pro Forma'!D65</f>
        <v>1.2418654782730703</v>
      </c>
      <c r="E1080" s="1565">
        <f>'Part VII-Pro Forma'!E65</f>
        <v>1.2218727303750114</v>
      </c>
      <c r="F1080" s="1565">
        <f>'Part VII-Pro Forma'!F65</f>
        <v>1.2001467952534004</v>
      </c>
      <c r="G1080" s="1565">
        <f>'Part VII-Pro Forma'!G65</f>
        <v>1.1765985022840797</v>
      </c>
      <c r="H1080" s="1565">
        <f>'Part VII-Pro Forma'!H65</f>
        <v>1.1511446490492514</v>
      </c>
      <c r="I1080" s="1565">
        <f>'Part VII-Pro Forma'!I65</f>
        <v>1.1237246202959825</v>
      </c>
      <c r="J1080" s="1565">
        <f>'Part VII-Pro Forma'!J65</f>
        <v>1.0942335064706488</v>
      </c>
      <c r="K1080" s="1565">
        <f>'Part VII-Pro Forma'!K65</f>
        <v>1.0625971658689455</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f>'Part VII-Pro Forma'!B69</f>
        <v>1.276888105904401</v>
      </c>
      <c r="C1084" s="1565">
        <f>'Part VII-Pro Forma'!C69</f>
        <v>1.2601785069506599</v>
      </c>
      <c r="D1084" s="1565">
        <f>'Part VII-Pro Forma'!D69</f>
        <v>1.2418654782730703</v>
      </c>
      <c r="E1084" s="1565">
        <f>'Part VII-Pro Forma'!E69</f>
        <v>1.2218727303750114</v>
      </c>
      <c r="F1084" s="1565">
        <f>'Part VII-Pro Forma'!F69</f>
        <v>1.2001467952534004</v>
      </c>
      <c r="G1084" s="1565">
        <f>'Part VII-Pro Forma'!G69</f>
        <v>1.1765985022840797</v>
      </c>
      <c r="H1084" s="1565">
        <f>'Part VII-Pro Forma'!H69</f>
        <v>1.1511446490492514</v>
      </c>
      <c r="I1084" s="1565">
        <f>'Part VII-Pro Forma'!I69</f>
        <v>1.1237246202959825</v>
      </c>
      <c r="J1084" s="1565">
        <f>'Part VII-Pro Forma'!J69</f>
        <v>1.0942335064706488</v>
      </c>
      <c r="K1084" s="1565">
        <f>'Part VII-Pro Forma'!K69</f>
        <v>1.0625971658689455</v>
      </c>
      <c r="N1084" s="1521">
        <f>'Part VII-Pro Forma'!N69</f>
        <v>0</v>
      </c>
      <c r="O1084" s="1521"/>
    </row>
    <row r="1085" spans="1:15">
      <c r="A1085" s="638" t="s">
        <v>770</v>
      </c>
      <c r="B1085" s="1566">
        <f>'Part VII-Pro Forma'!B70</f>
        <v>1.3022182172263423</v>
      </c>
      <c r="C1085" s="1566">
        <f>'Part VII-Pro Forma'!C70</f>
        <v>1.2895762621483291</v>
      </c>
      <c r="D1085" s="1566">
        <f>'Part VII-Pro Forma'!D70</f>
        <v>1.2770565086789498</v>
      </c>
      <c r="E1085" s="1566">
        <f>'Part VII-Pro Forma'!E70</f>
        <v>1.2646561177824251</v>
      </c>
      <c r="F1085" s="1566">
        <f>'Part VII-Pro Forma'!F70</f>
        <v>1.2523792004701417</v>
      </c>
      <c r="G1085" s="1566">
        <f>'Part VII-Pro Forma'!G70</f>
        <v>1.2402207076685563</v>
      </c>
      <c r="H1085" s="1566">
        <f>'Part VII-Pro Forma'!H70</f>
        <v>1.2281782866799349</v>
      </c>
      <c r="I1085" s="1566">
        <f>'Part VII-Pro Forma'!I70</f>
        <v>1.2162557305106814</v>
      </c>
      <c r="J1085" s="1566">
        <f>'Part VII-Pro Forma'!J70</f>
        <v>1.2044467835779222</v>
      </c>
      <c r="K1085" s="1566">
        <f>'Part VII-Pro Forma'!K70</f>
        <v>1.192753270011871</v>
      </c>
      <c r="N1085" s="1521">
        <f>'Part VII-Pro Forma'!N70</f>
        <v>0</v>
      </c>
      <c r="O1085" s="1521"/>
    </row>
    <row r="1086" spans="1:15">
      <c r="A1086" s="638" t="s">
        <v>2617</v>
      </c>
      <c r="B1086" s="1564">
        <f>'Part VII-Pro Forma'!B71</f>
        <v>1486984.0372652905</v>
      </c>
      <c r="C1086" s="1564">
        <f>'Part VII-Pro Forma'!C71</f>
        <v>1459374.953650689</v>
      </c>
      <c r="D1086" s="1564">
        <f>'Part VII-Pro Forma'!D71</f>
        <v>1429990.0036783777</v>
      </c>
      <c r="E1086" s="1564">
        <f>'Part VII-Pro Forma'!E71</f>
        <v>1398714.9604017306</v>
      </c>
      <c r="F1086" s="1564">
        <f>'Part VII-Pro Forma'!F71</f>
        <v>1365428.2495896374</v>
      </c>
      <c r="G1086" s="1564">
        <f>'Part VII-Pro Forma'!G71</f>
        <v>1330000.4771358336</v>
      </c>
      <c r="H1086" s="1564">
        <f>'Part VII-Pro Forma'!H71</f>
        <v>1292293.9260703404</v>
      </c>
      <c r="I1086" s="1564">
        <f>'Part VII-Pro Forma'!I71</f>
        <v>1252162.0212177678</v>
      </c>
      <c r="J1086" s="1564">
        <f>'Part VII-Pro Forma'!J71</f>
        <v>1209448.7594214682</v>
      </c>
      <c r="K1086" s="1564">
        <f>'Part VII-Pro Forma'!K71</f>
        <v>1163988.1031186746</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4079</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846758.20791388932</v>
      </c>
      <c r="C1093" s="1564">
        <f>'Part VII-Pro Forma'!C78</f>
        <v>863693.372072167</v>
      </c>
      <c r="D1093" s="1564">
        <f>'Part VII-Pro Forma'!D78</f>
        <v>880967.23951361037</v>
      </c>
      <c r="E1093" s="1564">
        <f>'Part VII-Pro Forma'!E78</f>
        <v>898586.58430388244</v>
      </c>
      <c r="F1093" s="1564">
        <f>'Part VII-Pro Forma'!F78</f>
        <v>916558.3159899601</v>
      </c>
      <c r="G1093" s="1564">
        <f>'Part VII-Pro Forma'!G78</f>
        <v>934889.48230975936</v>
      </c>
      <c r="H1093" s="1564">
        <f>'Part VII-Pro Forma'!H78</f>
        <v>953587.27195595461</v>
      </c>
      <c r="I1093" s="1564">
        <f>'Part VII-Pro Forma'!I78</f>
        <v>972659.01739507355</v>
      </c>
      <c r="J1093" s="1564">
        <f>'Part VII-Pro Forma'!J78</f>
        <v>992112.1977429752</v>
      </c>
      <c r="K1093" s="1564">
        <f>'Part VII-Pro Forma'!K78</f>
        <v>1011954.4416978345</v>
      </c>
      <c r="N1093" s="1521">
        <f>'Part VII-Pro Forma'!N78</f>
        <v>0</v>
      </c>
      <c r="O1093" s="1521"/>
    </row>
    <row r="1094" spans="1:15">
      <c r="A1094" s="638" t="s">
        <v>1016</v>
      </c>
      <c r="B1094" s="1564">
        <f>'Part VII-Pro Forma'!B79</f>
        <v>16935.164158277788</v>
      </c>
      <c r="C1094" s="1564">
        <f>'Part VII-Pro Forma'!C79</f>
        <v>17273.867441443341</v>
      </c>
      <c r="D1094" s="1564">
        <f>'Part VII-Pro Forma'!D79</f>
        <v>17619.344790272211</v>
      </c>
      <c r="E1094" s="1564">
        <f>'Part VII-Pro Forma'!E79</f>
        <v>17971.731686077652</v>
      </c>
      <c r="F1094" s="1564">
        <f>'Part VII-Pro Forma'!F79</f>
        <v>18331.166319799206</v>
      </c>
      <c r="G1094" s="1564">
        <f>'Part VII-Pro Forma'!G79</f>
        <v>18697.78964619519</v>
      </c>
      <c r="H1094" s="1564">
        <f>'Part VII-Pro Forma'!H79</f>
        <v>19071.745439119095</v>
      </c>
      <c r="I1094" s="1564">
        <f>'Part VII-Pro Forma'!I79</f>
        <v>19453.180347901474</v>
      </c>
      <c r="J1094" s="1564">
        <f>'Part VII-Pro Forma'!J79</f>
        <v>19842.243954859507</v>
      </c>
      <c r="K1094" s="1564">
        <f>'Part VII-Pro Forma'!K79</f>
        <v>20239.088833956692</v>
      </c>
      <c r="N1094" s="1521">
        <f>'Part VII-Pro Forma'!N79</f>
        <v>0</v>
      </c>
      <c r="O1094" s="1521"/>
    </row>
    <row r="1095" spans="1:15">
      <c r="A1095" s="638" t="s">
        <v>2405</v>
      </c>
      <c r="B1095" s="1564">
        <f>'Part VII-Pro Forma'!B80</f>
        <v>-60458.536045051704</v>
      </c>
      <c r="C1095" s="1564">
        <f>'Part VII-Pro Forma'!C80</f>
        <v>-61667.706765952731</v>
      </c>
      <c r="D1095" s="1564">
        <f>'Part VII-Pro Forma'!D80</f>
        <v>-62901.060901271783</v>
      </c>
      <c r="E1095" s="1564">
        <f>'Part VII-Pro Forma'!E80</f>
        <v>-64159.082119297214</v>
      </c>
      <c r="F1095" s="1564">
        <f>'Part VII-Pro Forma'!F80</f>
        <v>-65442.263761683163</v>
      </c>
      <c r="G1095" s="1564">
        <f>'Part VII-Pro Forma'!G80</f>
        <v>-66751.109036916823</v>
      </c>
      <c r="H1095" s="1564">
        <f>'Part VII-Pro Forma'!H80</f>
        <v>-68086.131217655158</v>
      </c>
      <c r="I1095" s="1564">
        <f>'Part VII-Pro Forma'!I80</f>
        <v>-69447.853842008248</v>
      </c>
      <c r="J1095" s="1564">
        <f>'Part VII-Pro Forma'!J80</f>
        <v>-70836.810918848438</v>
      </c>
      <c r="K1095" s="1564">
        <f>'Part VII-Pro Forma'!K80</f>
        <v>-72253.547137225396</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4935</v>
      </c>
      <c r="B1098" s="1564">
        <f>'Part VII-Pro Forma'!B83</f>
        <v>803234.83602711535</v>
      </c>
      <c r="C1098" s="1564">
        <f>'Part VII-Pro Forma'!C83</f>
        <v>819299.53274765762</v>
      </c>
      <c r="D1098" s="1564">
        <f>'Part VII-Pro Forma'!D83</f>
        <v>835685.52340261079</v>
      </c>
      <c r="E1098" s="1564">
        <f>'Part VII-Pro Forma'!E83</f>
        <v>852399.23387066287</v>
      </c>
      <c r="F1098" s="1564">
        <f>'Part VII-Pro Forma'!F83</f>
        <v>869447.21854807623</v>
      </c>
      <c r="G1098" s="1564">
        <f>'Part VII-Pro Forma'!G83</f>
        <v>886836.16291903774</v>
      </c>
      <c r="H1098" s="1564">
        <f>'Part VII-Pro Forma'!H83</f>
        <v>904572.88617741852</v>
      </c>
      <c r="I1098" s="1564">
        <f>'Part VII-Pro Forma'!I83</f>
        <v>922664.34390096669</v>
      </c>
      <c r="J1098" s="1564">
        <f>'Part VII-Pro Forma'!J83</f>
        <v>941117.63077898626</v>
      </c>
      <c r="K1098" s="1564">
        <f>'Part VII-Pro Forma'!K83</f>
        <v>959939.98339456588</v>
      </c>
      <c r="N1098" s="1521">
        <f>'Part VII-Pro Forma'!N83</f>
        <v>0</v>
      </c>
      <c r="O1098" s="1521"/>
    </row>
    <row r="1099" spans="1:15">
      <c r="A1099" s="638" t="s">
        <v>614</v>
      </c>
      <c r="B1099" s="1564">
        <f>'Part VII-Pro Forma'!B84</f>
        <v>-585102.37724979909</v>
      </c>
      <c r="C1099" s="1564">
        <f>'Part VII-Pro Forma'!C84</f>
        <v>-602655.448567293</v>
      </c>
      <c r="D1099" s="1564">
        <f>'Part VII-Pro Forma'!D84</f>
        <v>-620735.11202431191</v>
      </c>
      <c r="E1099" s="1564">
        <f>'Part VII-Pro Forma'!E84</f>
        <v>-639357.16538504127</v>
      </c>
      <c r="F1099" s="1564">
        <f>'Part VII-Pro Forma'!F84</f>
        <v>-658537.8803465924</v>
      </c>
      <c r="G1099" s="1564">
        <f>'Part VII-Pro Forma'!G84</f>
        <v>-678294.01675699011</v>
      </c>
      <c r="H1099" s="1564">
        <f>'Part VII-Pro Forma'!H84</f>
        <v>-698642.83725969994</v>
      </c>
      <c r="I1099" s="1564">
        <f>'Part VII-Pro Forma'!I84</f>
        <v>-719602.12237749086</v>
      </c>
      <c r="J1099" s="1564">
        <f>'Part VII-Pro Forma'!J84</f>
        <v>-741190.18604881561</v>
      </c>
      <c r="K1099" s="1564">
        <f>'Part VII-Pro Forma'!K84</f>
        <v>-763425.89163027995</v>
      </c>
      <c r="N1099" s="1521">
        <f>'Part VII-Pro Forma'!N84</f>
        <v>0</v>
      </c>
      <c r="O1099" s="1521"/>
    </row>
    <row r="1100" spans="1:15">
      <c r="A1100" s="638" t="s">
        <v>1115</v>
      </c>
      <c r="B1100" s="1564">
        <f>'Part VII-Pro Forma'!B85</f>
        <v>-62419</v>
      </c>
      <c r="C1100" s="1564">
        <f>'Part VII-Pro Forma'!C85</f>
        <v>-64292</v>
      </c>
      <c r="D1100" s="1564">
        <f>'Part VII-Pro Forma'!D85</f>
        <v>-66221</v>
      </c>
      <c r="E1100" s="1564">
        <f>'Part VII-Pro Forma'!E85</f>
        <v>-68207</v>
      </c>
      <c r="F1100" s="1564">
        <f>'Part VII-Pro Forma'!F85</f>
        <v>-70253</v>
      </c>
      <c r="G1100" s="1564">
        <f>'Part VII-Pro Forma'!G85</f>
        <v>-72361</v>
      </c>
      <c r="H1100" s="1564">
        <f>'Part VII-Pro Forma'!H85</f>
        <v>-74532</v>
      </c>
      <c r="I1100" s="1564">
        <f>'Part VII-Pro Forma'!I85</f>
        <v>-76768</v>
      </c>
      <c r="J1100" s="1564">
        <f>'Part VII-Pro Forma'!J85</f>
        <v>-79071</v>
      </c>
      <c r="K1100" s="1564">
        <f>'Part VII-Pro Forma'!K85</f>
        <v>-81443</v>
      </c>
      <c r="N1100" s="1521">
        <f>'Part VII-Pro Forma'!N85</f>
        <v>0</v>
      </c>
      <c r="O1100" s="1521"/>
    </row>
    <row r="1101" spans="1:15">
      <c r="A1101" s="638" t="s">
        <v>1202</v>
      </c>
      <c r="B1101" s="1564">
        <f>'Part VII-Pro Forma'!B86</f>
        <v>-32510.00222404944</v>
      </c>
      <c r="C1101" s="1564">
        <f>'Part VII-Pro Forma'!C86</f>
        <v>-33485.302290770916</v>
      </c>
      <c r="D1101" s="1564">
        <f>'Part VII-Pro Forma'!D86</f>
        <v>-34489.861359494047</v>
      </c>
      <c r="E1101" s="1564">
        <f>'Part VII-Pro Forma'!E86</f>
        <v>-35524.557200278869</v>
      </c>
      <c r="F1101" s="1564">
        <f>'Part VII-Pro Forma'!F86</f>
        <v>-36590.293916287235</v>
      </c>
      <c r="G1101" s="1564">
        <f>'Part VII-Pro Forma'!G86</f>
        <v>-37688.002733775851</v>
      </c>
      <c r="H1101" s="1564">
        <f>'Part VII-Pro Forma'!H86</f>
        <v>-38818.642815789128</v>
      </c>
      <c r="I1101" s="1564">
        <f>'Part VII-Pro Forma'!I86</f>
        <v>-39983.202100262803</v>
      </c>
      <c r="J1101" s="1564">
        <f>'Part VII-Pro Forma'!J86</f>
        <v>-41182.698163270681</v>
      </c>
      <c r="K1101" s="1564">
        <f>'Part VII-Pro Forma'!K86</f>
        <v>-42418.179108168799</v>
      </c>
      <c r="N1101" s="1521">
        <f>'Part VII-Pro Forma'!N86</f>
        <v>0</v>
      </c>
      <c r="O1101" s="1521"/>
    </row>
    <row r="1102" spans="1:15">
      <c r="A1102" s="638" t="s">
        <v>4934</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123203.45655326682</v>
      </c>
      <c r="C1103" s="1564">
        <f t="shared" ref="C1103:J1103" si="369">SUM(C1098:C1102)</f>
        <v>118866.78188959369</v>
      </c>
      <c r="D1103" s="1564">
        <f t="shared" si="369"/>
        <v>114239.55001880485</v>
      </c>
      <c r="E1103" s="1564">
        <f t="shared" si="369"/>
        <v>109310.51128534273</v>
      </c>
      <c r="F1103" s="1564">
        <f t="shared" si="369"/>
        <v>104066.04428519659</v>
      </c>
      <c r="G1103" s="1564">
        <f t="shared" si="369"/>
        <v>98493.143428271782</v>
      </c>
      <c r="H1103" s="1564">
        <f t="shared" si="369"/>
        <v>92579.40610192946</v>
      </c>
      <c r="I1103" s="1564">
        <f t="shared" si="369"/>
        <v>86311.019423213031</v>
      </c>
      <c r="J1103" s="1564">
        <f t="shared" si="369"/>
        <v>79673.746566899965</v>
      </c>
      <c r="K1103" s="1564">
        <f>SUM(K1098:K1102)</f>
        <v>72652.912656117129</v>
      </c>
      <c r="N1103" s="1521">
        <f>'Part VII-Pro Forma'!N88</f>
        <v>0</v>
      </c>
      <c r="O1103" s="1521"/>
    </row>
    <row r="1104" spans="1:15">
      <c r="A1104" s="638" t="str">
        <f>$A1072</f>
        <v>Mortgage A</v>
      </c>
      <c r="B1104" s="1564">
        <f>IF('Part III-Sources of Funds'!$P$38="", 0,-'Part III-Sources of Funds'!$P$38)</f>
        <v>-119763.60191377226</v>
      </c>
      <c r="C1104" s="1564">
        <f>IF('Part III-Sources of Funds'!$P$38="", 0,-'Part III-Sources of Funds'!$P$38)</f>
        <v>-119763.60191377226</v>
      </c>
      <c r="D1104" s="1564">
        <f>IF('Part III-Sources of Funds'!$P$38="", 0,-'Part III-Sources of Funds'!$P$38)</f>
        <v>-119763.60191377226</v>
      </c>
      <c r="E1104" s="1564">
        <f>IF('Part III-Sources of Funds'!$P$38="", 0,-'Part III-Sources of Funds'!$P$38)</f>
        <v>-119763.60191377226</v>
      </c>
      <c r="F1104" s="1564">
        <f>IF('Part III-Sources of Funds'!$P$38="", 0,-'Part III-Sources of Funds'!$P$38)</f>
        <v>-119763.60191377226</v>
      </c>
      <c r="G1104" s="1564">
        <f>IF('Part III-Sources of Funds'!$P$38="", 0,-'Part III-Sources of Funds'!$P$38)</f>
        <v>-119763.60191377226</v>
      </c>
      <c r="H1104" s="1564">
        <f>IF('Part III-Sources of Funds'!$P$38="", 0,-'Part III-Sources of Funds'!$P$38)</f>
        <v>-119763.60191377226</v>
      </c>
      <c r="I1104" s="1564">
        <f>IF('Part III-Sources of Funds'!$P$38="", 0,-'Part III-Sources of Funds'!$P$38)</f>
        <v>-119763.60191377226</v>
      </c>
      <c r="J1104" s="1564">
        <f>IF('Part III-Sources of Funds'!$P$38="", 0,-'Part III-Sources of Funds'!$P$38)</f>
        <v>-119763.60191377226</v>
      </c>
      <c r="K1104" s="1564">
        <f>IF('Part III-Sources of Funds'!$P$38="", 0,-'Part III-Sources of Funds'!$P$38)</f>
        <v>-119763.60191377226</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-1560.1453605054412</v>
      </c>
      <c r="C1110" s="1564">
        <f>'Part VII-Pro Forma'!C95</f>
        <v>-5896.8200241785671</v>
      </c>
      <c r="D1110" s="1564">
        <f>'Part VII-Pro Forma'!D95</f>
        <v>-10524.051894967415</v>
      </c>
      <c r="E1110" s="1564">
        <f>'Part VII-Pro Forma'!E95</f>
        <v>-15453.090628429534</v>
      </c>
      <c r="F1110" s="1564">
        <f>'Part VII-Pro Forma'!F95</f>
        <v>-20697.557628575669</v>
      </c>
      <c r="G1110" s="1564">
        <f>'Part VII-Pro Forma'!G95</f>
        <v>-26270.45848550048</v>
      </c>
      <c r="H1110" s="1564">
        <f>'Part VII-Pro Forma'!H95</f>
        <v>-32184.195811842801</v>
      </c>
      <c r="I1110" s="1564">
        <f>'Part VII-Pro Forma'!I95</f>
        <v>-38452.582490559231</v>
      </c>
      <c r="J1110" s="1564">
        <f>'Part VII-Pro Forma'!J95</f>
        <v>-45089.855346872297</v>
      </c>
      <c r="K1110" s="1564">
        <f>'Part VII-Pro Forma'!K95</f>
        <v>-52110.689257655133</v>
      </c>
      <c r="N1110" s="1521">
        <f>'Part VII-Pro Forma'!N95</f>
        <v>0</v>
      </c>
      <c r="O1110" s="1521"/>
    </row>
    <row r="1111" spans="1:15">
      <c r="A1111" s="638" t="str">
        <f>$A1080</f>
        <v>DCR Mortgage A</v>
      </c>
      <c r="B1111" s="1565">
        <f>'Part VII-Pro Forma'!B96</f>
        <v>1.0287220372845098</v>
      </c>
      <c r="C1111" s="1565">
        <f>'Part VII-Pro Forma'!C96</f>
        <v>0.99251174806161668</v>
      </c>
      <c r="D1111" s="1565">
        <f>'Part VII-Pro Forma'!D96</f>
        <v>0.95387536942196649</v>
      </c>
      <c r="E1111" s="1565">
        <f>'Part VII-Pro Forma'!E96</f>
        <v>0.91271896919102702</v>
      </c>
      <c r="F1111" s="1565">
        <f>'Part VII-Pro Forma'!F96</f>
        <v>0.86892881161107993</v>
      </c>
      <c r="G1111" s="1565">
        <f>'Part VII-Pro Forma'!G96</f>
        <v>0.82239630283652587</v>
      </c>
      <c r="H1111" s="1565">
        <f>'Part VII-Pro Forma'!H96</f>
        <v>0.7730178837522359</v>
      </c>
      <c r="I1111" s="1565">
        <f>'Part VII-Pro Forma'!I96</f>
        <v>0.72067821979298419</v>
      </c>
      <c r="J1111" s="1565">
        <f>'Part VII-Pro Forma'!J96</f>
        <v>0.66525843656792905</v>
      </c>
      <c r="K1111" s="1565">
        <f>'Part VII-Pro Forma'!K96</f>
        <v>0.60663600205032231</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f>'Part VII-Pro Forma'!B100</f>
        <v>1.0287220372845098</v>
      </c>
      <c r="C1115" s="1565">
        <f>'Part VII-Pro Forma'!C100</f>
        <v>0.99251174806161668</v>
      </c>
      <c r="D1115" s="1565">
        <f>'Part VII-Pro Forma'!D100</f>
        <v>0.95387536942196649</v>
      </c>
      <c r="E1115" s="1565">
        <f>'Part VII-Pro Forma'!E100</f>
        <v>0.91271896919102702</v>
      </c>
      <c r="F1115" s="1565">
        <f>'Part VII-Pro Forma'!F100</f>
        <v>0.86892881161107993</v>
      </c>
      <c r="G1115" s="1565">
        <f>'Part VII-Pro Forma'!G100</f>
        <v>0.82239630283652587</v>
      </c>
      <c r="H1115" s="1565">
        <f>'Part VII-Pro Forma'!H100</f>
        <v>0.7730178837522359</v>
      </c>
      <c r="I1115" s="1565">
        <f>'Part VII-Pro Forma'!I100</f>
        <v>0.72067821979298419</v>
      </c>
      <c r="J1115" s="1565">
        <f>'Part VII-Pro Forma'!J100</f>
        <v>0.66525843656792905</v>
      </c>
      <c r="K1115" s="1565">
        <f>'Part VII-Pro Forma'!K100</f>
        <v>0.60663600205032231</v>
      </c>
      <c r="N1115" s="1521">
        <f>'Part VII-Pro Forma'!N100</f>
        <v>0</v>
      </c>
      <c r="O1115" s="1521"/>
    </row>
    <row r="1116" spans="1:15">
      <c r="A1116" s="638" t="s">
        <v>770</v>
      </c>
      <c r="B1116" s="1566">
        <f>'Part VII-Pro Forma'!B101</f>
        <v>1.1811731932849796</v>
      </c>
      <c r="C1116" s="1566">
        <f>'Part VII-Pro Forma'!C101</f>
        <v>1.1697047742898603</v>
      </c>
      <c r="D1116" s="1566">
        <f>'Part VII-Pro Forma'!D101</f>
        <v>1.158348031915662</v>
      </c>
      <c r="E1116" s="1566">
        <f>'Part VII-Pro Forma'!E101</f>
        <v>1.147102907045924</v>
      </c>
      <c r="F1116" s="1566">
        <f>'Part VII-Pro Forma'!F101</f>
        <v>1.1359662972967948</v>
      </c>
      <c r="G1116" s="1566">
        <f>'Part VII-Pro Forma'!G101</f>
        <v>1.1249369132384706</v>
      </c>
      <c r="H1116" s="1566">
        <f>'Part VII-Pro Forma'!H101</f>
        <v>1.1140149624025584</v>
      </c>
      <c r="I1116" s="1566">
        <f>'Part VII-Pro Forma'!I101</f>
        <v>1.1031992303935763</v>
      </c>
      <c r="J1116" s="1566">
        <f>'Part VII-Pro Forma'!J101</f>
        <v>1.0924886089820847</v>
      </c>
      <c r="K1116" s="1566">
        <f>'Part VII-Pro Forma'!K101</f>
        <v>1.0818820819688619</v>
      </c>
      <c r="N1116" s="1521">
        <f>'Part VII-Pro Forma'!N101</f>
        <v>0</v>
      </c>
      <c r="O1116" s="1521"/>
    </row>
    <row r="1117" spans="1:15">
      <c r="A1117" s="638" t="s">
        <v>2617</v>
      </c>
      <c r="B1117" s="1564">
        <f>'Part VII-Pro Forma'!B102</f>
        <v>1115603.3349092898</v>
      </c>
      <c r="C1117" s="1564">
        <f>'Part VII-Pro Forma'!C102</f>
        <v>1064106.3706093698</v>
      </c>
      <c r="D1117" s="1564">
        <f>'Part VII-Pro Forma'!D102</f>
        <v>1009297.0281189606</v>
      </c>
      <c r="E1117" s="1564">
        <f>'Part VII-Pro Forma'!E102</f>
        <v>950962.2492621874</v>
      </c>
      <c r="F1117" s="1564">
        <f>'Part VII-Pro Forma'!F102</f>
        <v>888875.27157468651</v>
      </c>
      <c r="G1117" s="1564">
        <f>'Part VII-Pro Forma'!G102</f>
        <v>822794.74681890151</v>
      </c>
      <c r="H1117" s="1564">
        <f>'Part VII-Pro Forma'!H102</f>
        <v>752463.8028006847</v>
      </c>
      <c r="I1117" s="1564">
        <f>'Part VII-Pro Forma'!I102</f>
        <v>677609.04484023876</v>
      </c>
      <c r="J1117" s="1564">
        <f>'Part VII-Pro Forma'!J102</f>
        <v>597939.49301585788</v>
      </c>
      <c r="K1117" s="1564">
        <f>'Part VII-Pro Forma'!K102</f>
        <v>513145.45104925818</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2404</v>
      </c>
      <c r="B1123" s="1564">
        <f>'Part VII-Pro Forma'!B108</f>
        <v>1032193.5305317914</v>
      </c>
      <c r="C1123" s="1564">
        <f>'Part VII-Pro Forma'!C108</f>
        <v>1052837.401142427</v>
      </c>
      <c r="D1123" s="1564">
        <f>'Part VII-Pro Forma'!D108</f>
        <v>1073894.1491652757</v>
      </c>
      <c r="E1123" s="1564">
        <f>'Part VII-Pro Forma'!E108</f>
        <v>1095372.0321485812</v>
      </c>
      <c r="F1123" s="1564">
        <f>'Part VII-Pro Forma'!F108</f>
        <v>1117279.4727915528</v>
      </c>
      <c r="G1123" s="1564"/>
      <c r="H1123" s="1564"/>
      <c r="I1123" s="1564"/>
      <c r="J1123" s="1564"/>
      <c r="K1123" s="1564"/>
      <c r="N1123" s="1521">
        <f>'Part VII-Pro Forma'!N108</f>
        <v>0</v>
      </c>
      <c r="O1123" s="1521"/>
    </row>
    <row r="1124" spans="1:15">
      <c r="A1124" s="638" t="s">
        <v>1016</v>
      </c>
      <c r="B1124" s="1564">
        <f>'Part VII-Pro Forma'!B109</f>
        <v>20643.87061063583</v>
      </c>
      <c r="C1124" s="1564">
        <f>'Part VII-Pro Forma'!C109</f>
        <v>21056.74802284854</v>
      </c>
      <c r="D1124" s="1564">
        <f>'Part VII-Pro Forma'!D109</f>
        <v>21477.882983305517</v>
      </c>
      <c r="E1124" s="1564">
        <f>'Part VII-Pro Forma'!E109</f>
        <v>21907.440642971629</v>
      </c>
      <c r="F1124" s="1564">
        <f>'Part VII-Pro Forma'!F109</f>
        <v>22345.589455831057</v>
      </c>
      <c r="G1124" s="1564"/>
      <c r="H1124" s="1564"/>
      <c r="I1124" s="1564"/>
      <c r="J1124" s="1564"/>
      <c r="K1124" s="1564"/>
      <c r="N1124" s="1521">
        <f>'Part VII-Pro Forma'!N109</f>
        <v>0</v>
      </c>
      <c r="O1124" s="1521"/>
    </row>
    <row r="1125" spans="1:15">
      <c r="A1125" s="638" t="s">
        <v>2405</v>
      </c>
      <c r="B1125" s="1564">
        <f>'Part VII-Pro Forma'!B110</f>
        <v>-73698.618079969907</v>
      </c>
      <c r="C1125" s="1564">
        <f>'Part VII-Pro Forma'!C110</f>
        <v>-75172.590441569293</v>
      </c>
      <c r="D1125" s="1564">
        <f>'Part VII-Pro Forma'!D110</f>
        <v>-76676.0422504007</v>
      </c>
      <c r="E1125" s="1564">
        <f>'Part VII-Pro Forma'!E110</f>
        <v>-78209.563095408696</v>
      </c>
      <c r="F1125" s="1564">
        <f>'Part VII-Pro Forma'!F110</f>
        <v>-79773.75435731688</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4935</v>
      </c>
      <c r="B1128" s="1564">
        <f>'Part VII-Pro Forma'!B113</f>
        <v>979138.78306245734</v>
      </c>
      <c r="C1128" s="1564">
        <f>'Part VII-Pro Forma'!C113</f>
        <v>998721.55872370617</v>
      </c>
      <c r="D1128" s="1564">
        <f>'Part VII-Pro Forma'!D113</f>
        <v>1018695.9898981806</v>
      </c>
      <c r="E1128" s="1564">
        <f>'Part VII-Pro Forma'!E113</f>
        <v>1039069.9096961441</v>
      </c>
      <c r="F1128" s="1564">
        <f>'Part VII-Pro Forma'!F113</f>
        <v>1059851.3078900669</v>
      </c>
      <c r="G1128" s="1564"/>
      <c r="H1128" s="1564"/>
      <c r="I1128" s="1564"/>
      <c r="J1128" s="1564"/>
      <c r="K1128" s="1564"/>
      <c r="N1128" s="1521">
        <f>'Part VII-Pro Forma'!N113</f>
        <v>0</v>
      </c>
      <c r="O1128" s="1521"/>
    </row>
    <row r="1129" spans="1:15">
      <c r="A1129" s="638" t="s">
        <v>614</v>
      </c>
      <c r="B1129" s="1564">
        <f>'Part VII-Pro Forma'!B114</f>
        <v>-786328.6683791884</v>
      </c>
      <c r="C1129" s="1564">
        <f>'Part VII-Pro Forma'!C114</f>
        <v>-809918.52843056421</v>
      </c>
      <c r="D1129" s="1564">
        <f>'Part VII-Pro Forma'!D114</f>
        <v>-834216.08428348089</v>
      </c>
      <c r="E1129" s="1564">
        <f>'Part VII-Pro Forma'!E114</f>
        <v>-859242.56681198545</v>
      </c>
      <c r="F1129" s="1564">
        <f>'Part VII-Pro Forma'!F114</f>
        <v>-885019.84381634486</v>
      </c>
      <c r="G1129" s="1564"/>
      <c r="H1129" s="1564"/>
      <c r="I1129" s="1564"/>
      <c r="J1129" s="1564"/>
      <c r="K1129" s="1564"/>
      <c r="N1129" s="1521">
        <f>'Part VII-Pro Forma'!N114</f>
        <v>0</v>
      </c>
      <c r="O1129" s="1521"/>
    </row>
    <row r="1130" spans="1:15">
      <c r="A1130" s="638" t="s">
        <v>1115</v>
      </c>
      <c r="B1130" s="1564">
        <f>'Part VII-Pro Forma'!B115</f>
        <v>-83886</v>
      </c>
      <c r="C1130" s="1564">
        <f>'Part VII-Pro Forma'!C115</f>
        <v>-86403</v>
      </c>
      <c r="D1130" s="1564">
        <f>'Part VII-Pro Forma'!D115</f>
        <v>-88995</v>
      </c>
      <c r="E1130" s="1564">
        <f>'Part VII-Pro Forma'!E115</f>
        <v>-91665</v>
      </c>
      <c r="F1130" s="1564">
        <f>'Part VII-Pro Forma'!F115</f>
        <v>-94415</v>
      </c>
      <c r="G1130" s="1564"/>
      <c r="H1130" s="1564"/>
      <c r="I1130" s="1564"/>
      <c r="J1130" s="1564"/>
      <c r="K1130" s="1564"/>
      <c r="N1130" s="1521">
        <f>'Part VII-Pro Forma'!N115</f>
        <v>0</v>
      </c>
      <c r="O1130" s="1521"/>
    </row>
    <row r="1131" spans="1:15">
      <c r="A1131" s="638" t="s">
        <v>1202</v>
      </c>
      <c r="B1131" s="1564">
        <f>'Part VII-Pro Forma'!B116</f>
        <v>-43690.724481413861</v>
      </c>
      <c r="C1131" s="1564">
        <f>'Part VII-Pro Forma'!C116</f>
        <v>-45001.446215856289</v>
      </c>
      <c r="D1131" s="1564">
        <f>'Part VII-Pro Forma'!D116</f>
        <v>-46351.489602331967</v>
      </c>
      <c r="E1131" s="1564">
        <f>'Part VII-Pro Forma'!E116</f>
        <v>-47742.034290401927</v>
      </c>
      <c r="F1131" s="1564">
        <f>'Part VII-Pro Forma'!F116</f>
        <v>-49174.295319113975</v>
      </c>
      <c r="G1131" s="1564"/>
      <c r="H1131" s="1564"/>
      <c r="I1131" s="1564"/>
      <c r="J1131" s="1564"/>
      <c r="K1131" s="1564"/>
      <c r="N1131" s="1521">
        <f>'Part VII-Pro Forma'!N116</f>
        <v>0</v>
      </c>
      <c r="O1131" s="1521"/>
    </row>
    <row r="1132" spans="1:15">
      <c r="A1132" s="638" t="s">
        <v>4934</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65233.39020185508</v>
      </c>
      <c r="C1133" s="1564">
        <f t="shared" si="371"/>
        <v>57398.584077285668</v>
      </c>
      <c r="D1133" s="1564">
        <f t="shared" si="371"/>
        <v>49133.416012367736</v>
      </c>
      <c r="E1133" s="1564">
        <f t="shared" si="371"/>
        <v>40420.308593756672</v>
      </c>
      <c r="F1133" s="1564">
        <f>SUM(F1128:F1132)</f>
        <v>31242.168754608043</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-119763.60191377226</v>
      </c>
      <c r="C1134" s="1564">
        <f>IF('Part III-Sources of Funds'!$P$38="", 0,-'Part III-Sources of Funds'!$P$38)</f>
        <v>-119763.60191377226</v>
      </c>
      <c r="D1134" s="1564">
        <f>IF('Part III-Sources of Funds'!$P$38="", 0,-'Part III-Sources of Funds'!$P$38)</f>
        <v>-119763.60191377226</v>
      </c>
      <c r="E1134" s="1564">
        <f>IF('Part III-Sources of Funds'!$P$38="", 0,-'Part III-Sources of Funds'!$P$38)</f>
        <v>-119763.60191377226</v>
      </c>
      <c r="F1134" s="1564">
        <f>IF('Part III-Sources of Funds'!$P$38="", 0,-'Part III-Sources of Funds'!$P$38)</f>
        <v>-119763.60191377226</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-59530.211711917182</v>
      </c>
      <c r="C1140" s="1564">
        <f>'Part VII-Pro Forma'!C125</f>
        <v>-67365.017836486601</v>
      </c>
      <c r="D1140" s="1564">
        <f>'Part VII-Pro Forma'!D125</f>
        <v>-75630.185901404533</v>
      </c>
      <c r="E1140" s="1564">
        <f>'Part VII-Pro Forma'!E125</f>
        <v>-84343.293320015597</v>
      </c>
      <c r="F1140" s="1564">
        <f>'Part VII-Pro Forma'!F125</f>
        <v>-93521.433159164211</v>
      </c>
      <c r="G1140" s="1564"/>
      <c r="H1140" s="1564"/>
      <c r="I1140" s="1564"/>
      <c r="J1140" s="1564"/>
      <c r="K1140" s="1564"/>
      <c r="N1140" s="1521">
        <f>'Part VII-Pro Forma'!N125</f>
        <v>0</v>
      </c>
      <c r="O1140" s="1521"/>
    </row>
    <row r="1141" spans="1:15">
      <c r="A1141" s="638" t="str">
        <f>$A1111</f>
        <v>DCR Mortgage A</v>
      </c>
      <c r="B1141" s="1565">
        <f>'Part VII-Pro Forma'!B126</f>
        <v>0.54468460500062454</v>
      </c>
      <c r="C1141" s="1565">
        <f>'Part VII-Pro Forma'!C126</f>
        <v>0.47926567972305695</v>
      </c>
      <c r="D1141" s="1565">
        <f>'Part VII-Pro Forma'!D126</f>
        <v>0.41025332594574898</v>
      </c>
      <c r="E1141" s="1565">
        <f>'Part VII-Pro Forma'!E126</f>
        <v>0.33750077609438134</v>
      </c>
      <c r="F1141" s="1565">
        <f>'Part VII-Pro Forma'!F126</f>
        <v>0.26086530678245523</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f>'Part VII-Pro Forma'!B130</f>
        <v>0.54468460500062454</v>
      </c>
      <c r="C1145" s="1565">
        <f>'Part VII-Pro Forma'!C130</f>
        <v>0.47926567972305695</v>
      </c>
      <c r="D1145" s="1565">
        <f>'Part VII-Pro Forma'!D130</f>
        <v>0.41025332594574898</v>
      </c>
      <c r="E1145" s="1565">
        <f>'Part VII-Pro Forma'!E130</f>
        <v>0.33750077609438134</v>
      </c>
      <c r="F1145" s="1565">
        <f>'Part VII-Pro Forma'!F130</f>
        <v>0.26086530678245523</v>
      </c>
      <c r="G1145" s="1564"/>
      <c r="H1145" s="1564"/>
      <c r="I1145" s="1564"/>
      <c r="J1145" s="1564"/>
      <c r="K1145" s="1564"/>
      <c r="N1145" s="1521">
        <f>'Part VII-Pro Forma'!N130</f>
        <v>0</v>
      </c>
      <c r="O1145" s="1521"/>
    </row>
    <row r="1146" spans="1:15">
      <c r="A1146" s="638" t="s">
        <v>770</v>
      </c>
      <c r="B1146" s="1566">
        <f>'Part VII-Pro Forma'!B131</f>
        <v>1.0713787124044307</v>
      </c>
      <c r="C1146" s="1566">
        <f>'Part VII-Pro Forma'!C131</f>
        <v>1.0609765039452541</v>
      </c>
      <c r="D1146" s="1566">
        <f>'Part VII-Pro Forma'!D131</f>
        <v>1.0506758587178657</v>
      </c>
      <c r="E1146" s="1566">
        <f>'Part VII-Pro Forma'!E131</f>
        <v>1.0404749659431471</v>
      </c>
      <c r="F1146" s="1566">
        <f>'Part VII-Pro Forma'!F131</f>
        <v>1.0303732171589171</v>
      </c>
      <c r="G1146" s="1564"/>
      <c r="H1146" s="1564"/>
      <c r="I1146" s="1564"/>
      <c r="J1146" s="1564"/>
      <c r="K1146" s="1564"/>
      <c r="N1146" s="1521">
        <f>'Part VII-Pro Forma'!N131</f>
        <v>0</v>
      </c>
      <c r="O1146" s="1521"/>
    </row>
    <row r="1147" spans="1:15">
      <c r="A1147" s="638" t="s">
        <v>2617</v>
      </c>
      <c r="B1147" s="1564">
        <f>'Part VII-Pro Forma'!B132</f>
        <v>422897.30243555986</v>
      </c>
      <c r="C1147" s="1564">
        <f>'Part VII-Pro Forma'!C132</f>
        <v>326844.22913816496</v>
      </c>
      <c r="D1147" s="1564">
        <f>'Part VII-Pro Forma'!D132</f>
        <v>224612.847867765</v>
      </c>
      <c r="E1147" s="1564">
        <f>'Part VII-Pro Forma'!E132</f>
        <v>115805.75864433937</v>
      </c>
      <c r="F1147" s="1564">
        <f>'Part VII-Pro Forma'!F132</f>
        <v>2.805609256029129E-8</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2019-042 Brennan Place,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4531</v>
      </c>
      <c r="K1164" s="1570"/>
      <c r="L1164" s="1570"/>
      <c r="M1164" s="1570"/>
      <c r="N1164" s="1570"/>
      <c r="O1164" s="1570"/>
      <c r="P1164" s="2385"/>
      <c r="Q1164" s="2385"/>
      <c r="R1164" s="2356"/>
      <c r="S1164" s="2356"/>
    </row>
    <row r="1165" spans="1:19">
      <c r="A1165" s="1572" t="s">
        <v>3450</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399999999999999">
      <c r="B1189" s="1549" t="s">
        <v>3749</v>
      </c>
      <c r="C1189" s="1549"/>
      <c r="D1189" s="1549"/>
      <c r="E1189" s="1549"/>
      <c r="F1189" s="1549"/>
      <c r="G1189" s="1578"/>
      <c r="H1189" s="1578"/>
      <c r="I1189" s="1578"/>
      <c r="J1189" s="1578"/>
      <c r="K1189" s="1316"/>
      <c r="L1189" s="1316"/>
      <c r="M1189" s="1316"/>
      <c r="N1189" s="1316"/>
      <c r="O1189" s="1316"/>
      <c r="P1189" s="1316"/>
      <c r="S1189" s="2389"/>
      <c r="T1189" s="2389"/>
    </row>
    <row r="1190" spans="1:22" ht="316.2">
      <c r="A1190" s="1583" t="str">
        <f>'Part VIII-Threshold Criteria'!A32</f>
        <v>Applicant believes that the proposed project is feasible, viable and in conformance with the plan. The overall development and construction costs are considered reasonable and were evaluated by an experienced General Contractor and Engineer.
Residential Square Footage: 1BR / 1BA - 715, 2BR / 2BA - 1,013 and 3BR / 2BA - 1,105</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3632</v>
      </c>
      <c r="L1195" s="457"/>
      <c r="M1195" s="457"/>
      <c r="N1195" s="457"/>
    </row>
    <row r="1196" spans="1:22">
      <c r="A1196" s="1585"/>
      <c r="B1196" s="1585"/>
      <c r="C1196" s="1585"/>
      <c r="D1196" s="1585"/>
      <c r="E1196" s="1585"/>
      <c r="F1196" s="1585"/>
      <c r="G1196" s="1335" t="s">
        <v>346</v>
      </c>
      <c r="H1196" s="1335"/>
      <c r="I1196" s="457"/>
      <c r="J1196" s="1314"/>
      <c r="K1196" s="457" t="s">
        <v>3633</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3452</v>
      </c>
      <c r="G1198" s="1587" t="s">
        <v>5036</v>
      </c>
      <c r="H1198" s="1587"/>
      <c r="I1198" s="1587"/>
      <c r="K1198" s="1587" t="s">
        <v>3452</v>
      </c>
      <c r="L1198" s="1587" t="s">
        <v>5035</v>
      </c>
      <c r="M1198" s="1587"/>
      <c r="N1198" s="1587"/>
      <c r="R1198" s="1315"/>
      <c r="V1198" s="1314"/>
    </row>
    <row r="1199" spans="1:22" ht="12.75" customHeight="1">
      <c r="A1199" s="1573" t="s">
        <v>3357</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3885</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Columbus</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5034</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14176065</v>
      </c>
      <c r="Q1203" s="2391"/>
    </row>
    <row r="1204" spans="1:22">
      <c r="C1204" s="1314"/>
      <c r="D1204" s="1595" t="s">
        <v>3367</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3352</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5328</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4082</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3627</v>
      </c>
      <c r="Q1210" s="457"/>
      <c r="S1210" s="1702"/>
      <c r="T1210" s="1702"/>
      <c r="U1210" s="1702"/>
      <c r="V1210" s="1702"/>
    </row>
    <row r="1211" spans="1:22" ht="12.75" customHeight="1">
      <c r="C1211" s="1314"/>
      <c r="D1211" s="1595" t="s">
        <v>3367</v>
      </c>
      <c r="E1211" s="1596"/>
      <c r="F1211" s="1597">
        <f>SUM(F1206:F1210)</f>
        <v>0</v>
      </c>
      <c r="G1211" s="2392"/>
      <c r="H1211" s="1599"/>
      <c r="I1211" s="1600">
        <f>SUM(I1206:I1210)</f>
        <v>0</v>
      </c>
      <c r="J1211" s="1601"/>
      <c r="K1211" s="1597">
        <f>SUM(K1206:K1210)</f>
        <v>0</v>
      </c>
      <c r="L1211" s="1601"/>
      <c r="M1211" s="1599"/>
      <c r="N1211" s="1600">
        <f>SUM(N1206:N1210)</f>
        <v>0</v>
      </c>
      <c r="O1211" s="1606"/>
      <c r="P1211" s="1504" t="s">
        <v>3245</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3353</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f>IF('Part VI-Revenues &amp; Expenses'!$K$139 =0,"",'Part VI-Revenues &amp; Expenses'!$K$139)</f>
        <v>12</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12 units = </v>
      </c>
      <c r="I1214" s="1592">
        <f>IF(F1214="","",F1214*G1214)</f>
        <v>1701192</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2441</v>
      </c>
      <c r="E1215" s="1578">
        <v>2</v>
      </c>
      <c r="F1215" s="1590">
        <f>IF('Part VI-Revenues &amp; Expenses'!$L$139 =0,"",'Part VI-Revenues &amp; Expenses'!$L$139)</f>
        <v>36</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36 units = </v>
      </c>
      <c r="I1215" s="1592">
        <f t="shared" ref="I1215:I1217" si="376">IF(F1215="","",F1215*G1215)</f>
        <v>6561756</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3245</v>
      </c>
      <c r="Q1215" s="1504" t="s">
        <v>256</v>
      </c>
      <c r="S1215" s="1702"/>
      <c r="T1215" s="1702"/>
      <c r="U1215" s="1702"/>
      <c r="V1215" s="1702"/>
    </row>
    <row r="1216" spans="1:22" ht="13.5" customHeight="1">
      <c r="C1216" s="1314"/>
      <c r="D1216" s="1589" t="s">
        <v>2442</v>
      </c>
      <c r="E1216" s="1578">
        <v>3</v>
      </c>
      <c r="F1216" s="1590">
        <f>IF('Part VI-Revenues &amp; Expenses'!$M$139 =0,"",'Part VI-Revenues &amp; Expenses'!$M$139)</f>
        <v>24</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24 units = </v>
      </c>
      <c r="I1216" s="1592">
        <f t="shared" si="376"/>
        <v>5832672</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2770</v>
      </c>
      <c r="Q1217" s="2394"/>
      <c r="V1217" s="1314"/>
    </row>
    <row r="1218" spans="1:22" ht="12.75" customHeight="1">
      <c r="C1218" s="1314"/>
      <c r="D1218" s="1595" t="s">
        <v>3367</v>
      </c>
      <c r="E1218" s="1596"/>
      <c r="F1218" s="1597">
        <f>SUM(F1213:F1217)</f>
        <v>72</v>
      </c>
      <c r="G1218" s="2392"/>
      <c r="H1218" s="1599"/>
      <c r="I1218" s="1600">
        <f>SUM(I1213:I1217)</f>
        <v>14095620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3354</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14215668</v>
      </c>
      <c r="Q1221" s="2395"/>
      <c r="R1221" s="1314"/>
      <c r="S1221" s="1314"/>
      <c r="V1221" s="1314"/>
    </row>
    <row r="1222" spans="1:22" ht="12.75" customHeight="1">
      <c r="C1222" s="1314"/>
      <c r="D1222" s="1589" t="s">
        <v>2441</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4533</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3367</v>
      </c>
      <c r="E1225" s="1596"/>
      <c r="F1225" s="1597">
        <f>SUM(F1220:F1224)</f>
        <v>0</v>
      </c>
      <c r="G1225" s="239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3368</v>
      </c>
      <c r="B1227" s="1314"/>
      <c r="C1227" s="1314"/>
      <c r="D1227" s="1314"/>
      <c r="E1227" s="1317"/>
      <c r="F1227" s="2396">
        <f>F1204+F1211+F1218+F1225</f>
        <v>72</v>
      </c>
      <c r="G1227" s="1393"/>
      <c r="H1227" s="1406">
        <f>I1204+I1211+I1218+I1225</f>
        <v>14095620</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3749</v>
      </c>
      <c r="D1228" s="1525"/>
      <c r="E1228" s="1525"/>
      <c r="F1228" s="1525"/>
      <c r="G1228" s="1525"/>
      <c r="H1228" s="1524"/>
      <c r="I1228" s="1578"/>
      <c r="J1228" s="1578"/>
      <c r="K1228" s="1580" t="s">
        <v>1866</v>
      </c>
      <c r="L1228" s="1316"/>
      <c r="M1228" s="1316"/>
      <c r="N1228" s="1316"/>
      <c r="O1228" s="1316"/>
      <c r="P1228" s="1585"/>
      <c r="Q1228" s="1585"/>
    </row>
    <row r="1229" spans="1:22" ht="91.8">
      <c r="A1229" s="1583" t="str">
        <f>'Part VIII-Threshold Criteria'!A71</f>
        <v>The project's total development cost is below the cost limits for the Columbus Cost Limit Area.</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1867</v>
      </c>
      <c r="P1231" s="1317"/>
      <c r="Q1231" s="1317"/>
    </row>
    <row r="1232" spans="1:22">
      <c r="B1232" s="1525" t="s">
        <v>3749</v>
      </c>
      <c r="D1232" s="1525"/>
      <c r="E1232" s="1525"/>
      <c r="F1232" s="1525"/>
      <c r="G1232" s="1525"/>
      <c r="H1232" s="1524"/>
      <c r="I1232" s="1578"/>
      <c r="J1232" s="1578"/>
      <c r="K1232" s="1580" t="s">
        <v>1866</v>
      </c>
      <c r="L1232" s="1316"/>
      <c r="M1232" s="1316"/>
      <c r="N1232" s="1316"/>
      <c r="O1232" s="1316"/>
      <c r="P1232" s="1316"/>
      <c r="Q1232" s="1316"/>
    </row>
    <row r="1233" spans="1:22" ht="71.400000000000006">
      <c r="A1233" s="1583" t="str">
        <f>'Part VIII-Threshold Criteria'!A75</f>
        <v>The Applicant is targeting a family tenancy for the proposed project.</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4748</v>
      </c>
      <c r="M1235" s="2399" t="s">
        <v>4749</v>
      </c>
      <c r="O1235" s="2388" t="s">
        <v>1867</v>
      </c>
      <c r="P1235" s="1317"/>
      <c r="Q1235" s="1317"/>
    </row>
    <row r="1237" spans="1:22" ht="12.75" customHeight="1">
      <c r="A1237" s="1627" t="s">
        <v>1983</v>
      </c>
      <c r="B1237" s="1583" t="s">
        <v>4740</v>
      </c>
      <c r="C1237" s="1583"/>
      <c r="D1237" s="1583"/>
      <c r="E1237" s="1583"/>
      <c r="F1237" s="1583"/>
      <c r="G1237" s="1583"/>
      <c r="H1237" s="1583"/>
      <c r="I1237" s="1583"/>
      <c r="J1237" s="1583"/>
      <c r="L1237" s="1631" t="s">
        <v>2910</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4747</v>
      </c>
      <c r="M1238" s="1631">
        <v>4</v>
      </c>
      <c r="O1238" s="1583"/>
      <c r="P1238" s="457"/>
      <c r="Q1238" s="457"/>
    </row>
    <row r="1239" spans="1:22">
      <c r="A1239" s="1620" t="s">
        <v>1985</v>
      </c>
      <c r="B1239" s="1604" t="s">
        <v>4750</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4754</v>
      </c>
      <c r="D1240" s="1604"/>
      <c r="E1240" s="1604"/>
      <c r="F1240" s="1604"/>
      <c r="G1240" s="1604"/>
      <c r="H1240" s="1604"/>
      <c r="I1240" s="1604"/>
      <c r="J1240" s="1604"/>
      <c r="K1240" s="1583"/>
      <c r="L1240" s="1604"/>
      <c r="N1240" s="1604" t="s">
        <v>3694</v>
      </c>
      <c r="O1240" s="2400"/>
      <c r="P1240" s="1578">
        <f>'Part VIII-Threshold Criteria'!P82</f>
        <v>0</v>
      </c>
      <c r="Q1240" s="1578"/>
    </row>
    <row r="1241" spans="1:22">
      <c r="A1241" s="1620"/>
      <c r="B1241" s="1635" t="s">
        <v>1738</v>
      </c>
      <c r="C1241" s="1604" t="s">
        <v>4751</v>
      </c>
      <c r="D1241" s="1604"/>
      <c r="E1241" s="1604"/>
      <c r="F1241" s="1604"/>
      <c r="G1241" s="1604"/>
      <c r="H1241" s="1604"/>
      <c r="I1241" s="1604"/>
      <c r="J1241" s="1604"/>
      <c r="K1241" s="1583"/>
      <c r="L1241" s="1604"/>
      <c r="N1241" s="1604" t="s">
        <v>3694</v>
      </c>
      <c r="O1241" s="2400"/>
      <c r="P1241" s="1578" t="str">
        <f>'Part VIII-Threshold Criteria'!P83</f>
        <v>Agree</v>
      </c>
      <c r="Q1241" s="1578"/>
    </row>
    <row r="1242" spans="1:22">
      <c r="A1242" s="1627"/>
      <c r="B1242" s="1635" t="s">
        <v>1739</v>
      </c>
      <c r="C1242" s="1604" t="s">
        <v>4752</v>
      </c>
      <c r="E1242" s="1604"/>
      <c r="F1242" s="1604"/>
      <c r="G1242" s="1604"/>
      <c r="H1242" s="1604"/>
      <c r="I1242" s="1604"/>
      <c r="J1242" s="1604"/>
      <c r="K1242" s="1583"/>
      <c r="L1242" s="1604"/>
      <c r="M1242" s="2400"/>
      <c r="N1242" s="1604" t="s">
        <v>3694</v>
      </c>
      <c r="O1242" s="2400"/>
      <c r="P1242" s="1578" t="str">
        <f>'Part VIII-Threshold Criteria'!P84</f>
        <v>Agree</v>
      </c>
      <c r="Q1242" s="1578"/>
    </row>
    <row r="1243" spans="1:22">
      <c r="A1243" s="1762"/>
      <c r="B1243" s="1635" t="s">
        <v>2365</v>
      </c>
      <c r="C1243" s="1635" t="s">
        <v>4755</v>
      </c>
      <c r="D1243" s="1550"/>
      <c r="E1243" s="1550"/>
      <c r="F1243" s="1550"/>
      <c r="G1243" s="1550"/>
      <c r="H1243" s="1550"/>
      <c r="I1243" s="1314"/>
      <c r="J1243" s="1314"/>
      <c r="N1243" s="1604" t="s">
        <v>3694</v>
      </c>
      <c r="O1243" s="2400"/>
      <c r="P1243" s="1578">
        <f>'Part VIII-Threshold Criteria'!P85</f>
        <v>0</v>
      </c>
      <c r="Q1243" s="1578"/>
    </row>
    <row r="1244" spans="1:22">
      <c r="A1244" s="1762"/>
      <c r="B1244" s="1635"/>
      <c r="C1244" s="1604" t="s">
        <v>4756</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4753</v>
      </c>
      <c r="D1245" s="1583"/>
      <c r="E1245" s="1583"/>
      <c r="F1245" s="1583"/>
      <c r="G1245" s="1583"/>
      <c r="H1245" s="1583"/>
      <c r="I1245" s="1583"/>
      <c r="J1245" s="1583"/>
      <c r="K1245" s="1583"/>
      <c r="L1245" s="1583"/>
      <c r="M1245" s="1587"/>
      <c r="N1245" s="1604" t="s">
        <v>3694</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3749</v>
      </c>
      <c r="D1247" s="1525"/>
      <c r="E1247" s="1525"/>
      <c r="F1247" s="1525"/>
      <c r="G1247" s="1525"/>
      <c r="H1247" s="1524"/>
      <c r="I1247" s="1578"/>
      <c r="J1247" s="1578"/>
      <c r="K1247" s="1580" t="s">
        <v>1866</v>
      </c>
      <c r="L1247" s="1316"/>
      <c r="M1247" s="1316"/>
      <c r="N1247" s="1316"/>
      <c r="O1247" s="1316"/>
      <c r="P1247" s="1316"/>
      <c r="Q1247" s="1316"/>
    </row>
    <row r="1248" spans="1:22" ht="112.2">
      <c r="A1248" s="1583" t="str">
        <f>'Part VIII-Threshold Criteria'!A90</f>
        <v>Applicant certifies that they will include the number and kinds of services required in the QAP for the proposed tenancy.</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Novogradac &amp; Company, LLP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15 units per month (4-5 months)</v>
      </c>
      <c r="N1253" s="457">
        <f>'Part VIII-Threshold Criteria'!N95</f>
        <v>0</v>
      </c>
      <c r="O1253" s="457">
        <f>'Part VIII-Threshold Criteria'!O95</f>
        <v>0</v>
      </c>
      <c r="P1253" s="1314">
        <f>'Part VIII-Threshold Criteria'!P95</f>
        <v>0</v>
      </c>
      <c r="Q1253" s="1578"/>
    </row>
    <row r="1254" spans="1:22">
      <c r="A1254" s="1620" t="s">
        <v>749</v>
      </c>
      <c r="B1254" s="457" t="s">
        <v>2878</v>
      </c>
      <c r="D1254" s="1550"/>
      <c r="E1254" s="1550"/>
      <c r="F1254" s="1550"/>
      <c r="L1254" s="1620" t="s">
        <v>749</v>
      </c>
      <c r="M1254" s="2401">
        <f>'Part VIII-Threshold Criteria'!M96</f>
        <v>0.96</v>
      </c>
      <c r="N1254" s="2401">
        <f>'Part VIII-Threshold Criteria'!N96</f>
        <v>0</v>
      </c>
      <c r="O1254" s="2401">
        <f>'Part VIII-Threshold Criteria'!O96</f>
        <v>0</v>
      </c>
      <c r="P1254" s="1843">
        <f>'Part VIII-Threshold Criteria'!P96</f>
        <v>0</v>
      </c>
      <c r="Q1254" s="1578"/>
    </row>
    <row r="1255" spans="1:22">
      <c r="A1255" s="1620" t="s">
        <v>2115</v>
      </c>
      <c r="B1255" s="457" t="s">
        <v>3889</v>
      </c>
      <c r="D1255" s="1550"/>
      <c r="E1255" s="1550"/>
      <c r="F1255" s="1550"/>
      <c r="L1255" s="1620" t="s">
        <v>3890</v>
      </c>
      <c r="M1255" s="2402">
        <f>'Part VIII-Threshold Criteria'!M97</f>
        <v>0.02</v>
      </c>
      <c r="N1255" s="2401"/>
      <c r="O1255" s="1623" t="s">
        <v>4121</v>
      </c>
      <c r="P1255" s="1766">
        <f>'Part VIII-Threshold Criteria'!P97</f>
        <v>2E-3</v>
      </c>
      <c r="Q1255" s="1578"/>
    </row>
    <row r="1256" spans="1:22">
      <c r="A1256" s="1627" t="s">
        <v>1735</v>
      </c>
      <c r="B1256" s="1604" t="s">
        <v>3888</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2018-050</v>
      </c>
      <c r="E1258" s="457" t="str">
        <f>'Part VIII-Threshold Criteria'!E100</f>
        <v>Highlands at Kayne Blvd</v>
      </c>
      <c r="F1258" s="457">
        <f>'Part VIII-Threshold Criteria'!F100</f>
        <v>0</v>
      </c>
      <c r="G1258" s="457">
        <f>'Part VIII-Threshold Criteria'!G100</f>
        <v>0</v>
      </c>
      <c r="H1258" s="1620" t="s">
        <v>1739</v>
      </c>
      <c r="I1258" s="1578" t="str">
        <f>'Part VIII-Threshold Criteria'!I100</f>
        <v>2017-004</v>
      </c>
      <c r="J1258" s="457" t="str">
        <f>'Part VIII-Threshold Criteria'!J100</f>
        <v>Claflin School</v>
      </c>
      <c r="K1258" s="457">
        <f>'Part VIII-Threshold Criteria'!K100</f>
        <v>0</v>
      </c>
      <c r="L1258" s="457">
        <f>'Part VIII-Threshold Criteria'!L100</f>
        <v>0</v>
      </c>
      <c r="M1258" s="1620" t="s">
        <v>1549</v>
      </c>
      <c r="N1258" s="1578" t="str">
        <f>'Part VIII-Threshold Criteria'!N100</f>
        <v>2004-046</v>
      </c>
      <c r="O1258" s="457" t="str">
        <f>'Part VIII-Threshold Criteria'!O100</f>
        <v>Peabody Redvelopment Partnership</v>
      </c>
      <c r="P1258" s="457">
        <f>'Part VIII-Threshold Criteria'!P100</f>
        <v>0</v>
      </c>
      <c r="Q1258" s="457">
        <f>'Part VIII-Threshold Criteria'!Q100</f>
        <v>0</v>
      </c>
    </row>
    <row r="1259" spans="1:22">
      <c r="C1259" s="1620" t="s">
        <v>1738</v>
      </c>
      <c r="D1259" s="1578" t="str">
        <f>'Part VIII-Threshold Criteria'!D101</f>
        <v>2017-049</v>
      </c>
      <c r="E1259" s="457" t="str">
        <f>'Part VIII-Threshold Criteria'!E101</f>
        <v>Highland Terrace</v>
      </c>
      <c r="F1259" s="457">
        <f>'Part VIII-Threshold Criteria'!F101</f>
        <v>0</v>
      </c>
      <c r="G1259" s="457">
        <f>'Part VIII-Threshold Criteria'!G101</f>
        <v>0</v>
      </c>
      <c r="H1259" s="1620" t="s">
        <v>2365</v>
      </c>
      <c r="I1259" s="1578" t="str">
        <f>'Part VIII-Threshold Criteria'!I101</f>
        <v>2013-039</v>
      </c>
      <c r="J1259" s="457" t="str">
        <f>'Part VIII-Threshold Criteria'!J101</f>
        <v>Waverly Terrace Senior</v>
      </c>
      <c r="K1259" s="457">
        <f>'Part VIII-Threshold Criteria'!K101</f>
        <v>0</v>
      </c>
      <c r="L1259" s="457">
        <f>'Part VIII-Threshold Criteria'!L101</f>
        <v>0</v>
      </c>
      <c r="M1259" s="1620" t="s">
        <v>1550</v>
      </c>
      <c r="N1259" s="1578" t="str">
        <f>'Part VIII-Threshold Criteria'!N101</f>
        <v>2006-042</v>
      </c>
      <c r="O1259" s="457" t="str">
        <f>'Part VIII-Threshold Criteria'!O101</f>
        <v>Ashley Station Phase II</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3749</v>
      </c>
      <c r="D1261" s="1525"/>
      <c r="E1261" s="1525"/>
      <c r="F1261" s="1525"/>
      <c r="G1261" s="1525"/>
      <c r="H1261" s="1524"/>
      <c r="I1261" s="1578"/>
      <c r="J1261" s="1578"/>
      <c r="K1261" s="1578"/>
      <c r="L1261" s="1316"/>
      <c r="M1261" s="1316"/>
      <c r="N1261" s="1316"/>
      <c r="O1261" s="1316"/>
      <c r="P1261" s="1316"/>
      <c r="Q1261" s="1316"/>
    </row>
    <row r="1262" spans="1:22" ht="409.6">
      <c r="A1262" s="1583" t="str">
        <f>'Part VIII-Threshold Criteria'!A104</f>
        <v>Additional DCA funded properties in the primary market area include 2014-015 BTW-Chapman 2, 2007-025 Arbor Pointe, 2008-074 Arbor Pointe II, 2010-025 Arbor Pointe III, 2013-019 BTW-Chapman 2, 2001-084 Windsor Lake Senior and 2000-055 Springfield Crossing. The overall market occupancy is 96% and the capture rate for the subject property is low at 2% for tax credit units and 0.2% for the market rate units. All capture rates fall below threshold limits. The market study is included in Tab 05 of the application.</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4933</v>
      </c>
      <c r="P1267" s="1578">
        <f>'Part VIII-Threshold Criteria'!P109</f>
        <v>0</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4757</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3470</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3471</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2879</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t="str">
        <f>'Part VIII-Threshold Criteria'!P118</f>
        <v>No</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t="str">
        <f>'Part VIII-Threshold Criteria'!P120</f>
        <v>Yes</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3749</v>
      </c>
      <c r="D1281" s="1525"/>
      <c r="E1281" s="1525"/>
      <c r="F1281" s="1525"/>
      <c r="G1281" s="1525"/>
      <c r="H1281" s="1524"/>
      <c r="I1281" s="1578"/>
      <c r="J1281" s="1578"/>
      <c r="K1281" s="1578"/>
      <c r="L1281" s="1316"/>
      <c r="M1281" s="1316"/>
      <c r="N1281" s="1316"/>
      <c r="O1281" s="1316"/>
      <c r="P1281" s="1316"/>
      <c r="Q1281" s="1316"/>
    </row>
    <row r="1282" spans="1:22" ht="102">
      <c r="A1282" s="1583" t="str">
        <f>'Part VIII-Threshold Criteria'!A124</f>
        <v>There is not an identity of interest between the buyer and seller. An appraisal is not included in the application.</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3634</v>
      </c>
      <c r="D1287" s="1550"/>
      <c r="E1287" s="1550"/>
      <c r="F1287" s="1550"/>
      <c r="G1287" s="1550"/>
      <c r="H1287" s="1550"/>
      <c r="I1287" s="1314"/>
      <c r="J1287" s="1314"/>
      <c r="K1287" s="1620" t="s">
        <v>1983</v>
      </c>
      <c r="L1287" s="1317" t="str">
        <f>'Part VIII-Threshold Criteria'!L129</f>
        <v>Geotechnical &amp;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Yes</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Geotechnical &amp;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3472</v>
      </c>
      <c r="E1291" s="1314"/>
      <c r="F1291" s="1314"/>
      <c r="G1291" s="1314"/>
      <c r="H1291" s="457"/>
      <c r="I1291" s="1314"/>
      <c r="J1291" s="1314"/>
      <c r="K1291" s="1550"/>
      <c r="L1291" s="1517"/>
      <c r="M1291" s="1517"/>
      <c r="O1291" s="1620" t="s">
        <v>1738</v>
      </c>
      <c r="P1291" s="1578" t="str">
        <f>'Part VIII-Threshold Criteria'!P133</f>
        <v>&lt;65</v>
      </c>
      <c r="Q1291" s="1578"/>
    </row>
    <row r="1292" spans="1:22">
      <c r="A1292" s="1511"/>
      <c r="B1292" s="1524" t="s">
        <v>1739</v>
      </c>
      <c r="C1292" s="457" t="s">
        <v>4741</v>
      </c>
      <c r="E1292" s="1314"/>
      <c r="F1292" s="1314"/>
      <c r="G1292" s="1314"/>
      <c r="H1292" s="457"/>
      <c r="I1292" s="1314"/>
      <c r="J1292" s="1314"/>
      <c r="K1292" s="1550"/>
      <c r="L1292" s="1517"/>
      <c r="M1292" s="1517"/>
      <c r="O1292" s="1620" t="s">
        <v>1739</v>
      </c>
      <c r="P1292" s="1578">
        <f>'Part VIII-Threshold Criteria'!P134</f>
        <v>0</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0</v>
      </c>
      <c r="Q1300" s="2403"/>
    </row>
    <row r="1301" spans="1:17">
      <c r="A1301" s="1620"/>
      <c r="B1301" s="1620"/>
      <c r="E1301" s="1620" t="s">
        <v>2436</v>
      </c>
      <c r="F1301" s="457" t="s">
        <v>2637</v>
      </c>
      <c r="G1301" s="1314"/>
      <c r="H1301" s="457"/>
      <c r="I1301" s="1314"/>
      <c r="J1301" s="1314"/>
      <c r="O1301" s="1620" t="s">
        <v>2436</v>
      </c>
      <c r="P1301" s="1578">
        <f>'Part VIII-Threshold Criteria'!P143</f>
        <v>0</v>
      </c>
      <c r="Q1301" s="1578"/>
    </row>
    <row r="1302" spans="1:17">
      <c r="A1302" s="1620"/>
      <c r="B1302" s="1620"/>
      <c r="E1302" s="1620" t="s">
        <v>2437</v>
      </c>
      <c r="F1302" s="457" t="s">
        <v>2635</v>
      </c>
      <c r="G1302" s="1314"/>
      <c r="H1302" s="457"/>
      <c r="I1302" s="1314"/>
      <c r="J1302" s="1314"/>
      <c r="O1302" s="1620" t="s">
        <v>2437</v>
      </c>
      <c r="P1302" s="1578">
        <f>'Part VIII-Threshold Criteria'!P144</f>
        <v>0</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4977</v>
      </c>
      <c r="I1304" s="1051" t="s">
        <v>2640</v>
      </c>
      <c r="L1304" s="1578" t="str">
        <f>'Part VIII-Threshold Criteria'!L146</f>
        <v>No</v>
      </c>
      <c r="M1304" s="1578"/>
      <c r="N1304" s="1620" t="s">
        <v>4981</v>
      </c>
      <c r="O1304" s="457" t="s">
        <v>1552</v>
      </c>
      <c r="P1304" s="1578" t="str">
        <f>'Part VIII-Threshold Criteria'!P146</f>
        <v>No</v>
      </c>
      <c r="Q1304" s="1578"/>
    </row>
    <row r="1305" spans="1:17">
      <c r="A1305" s="457"/>
      <c r="B1305" s="1524" t="s">
        <v>1738</v>
      </c>
      <c r="C1305" s="457" t="s">
        <v>2803</v>
      </c>
      <c r="E1305" s="1550"/>
      <c r="F1305" s="1578" t="str">
        <f>'Part VIII-Threshold Criteria'!F147</f>
        <v>No</v>
      </c>
      <c r="G1305" s="1578"/>
      <c r="H1305" s="1620" t="s">
        <v>4978</v>
      </c>
      <c r="I1305" s="1051" t="s">
        <v>2641</v>
      </c>
      <c r="L1305" s="1578" t="str">
        <f>'Part VIII-Threshold Criteria'!L147</f>
        <v>No</v>
      </c>
      <c r="M1305" s="1578"/>
      <c r="N1305" s="1620" t="s">
        <v>4982</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4979</v>
      </c>
      <c r="I1306" s="1051" t="s">
        <v>3841</v>
      </c>
      <c r="L1306" s="1578" t="str">
        <f>'Part VIII-Threshold Criteria'!L148</f>
        <v>No</v>
      </c>
      <c r="M1306" s="1578"/>
      <c r="N1306" s="1620" t="s">
        <v>4983</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4980</v>
      </c>
      <c r="I1307" s="457" t="s">
        <v>2802</v>
      </c>
      <c r="L1307" s="1578" t="str">
        <f>'Part VIII-Threshold Criteria'!L149</f>
        <v>No</v>
      </c>
      <c r="M1307" s="1578"/>
      <c r="O1307" s="1620"/>
    </row>
    <row r="1308" spans="1:17">
      <c r="A1308" s="457"/>
      <c r="B1308" s="1524" t="s">
        <v>2893</v>
      </c>
      <c r="C1308" s="457" t="s">
        <v>2804</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4959</v>
      </c>
      <c r="E1314" s="457"/>
      <c r="F1314" s="457"/>
      <c r="G1314" s="457"/>
      <c r="H1314" s="457"/>
      <c r="I1314" s="1314"/>
      <c r="J1314" s="1314"/>
      <c r="K1314" s="457"/>
      <c r="L1314" s="457"/>
      <c r="M1314" s="457"/>
      <c r="O1314" s="1620" t="s">
        <v>1739</v>
      </c>
      <c r="P1314" s="1578">
        <f>'Part VIII-Threshold Criteria'!P156</f>
        <v>0</v>
      </c>
      <c r="Q1314" s="1578"/>
    </row>
    <row r="1315" spans="1:22">
      <c r="A1315" s="1051" t="s">
        <v>3462</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4534</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3749</v>
      </c>
      <c r="D1317" s="1525"/>
      <c r="E1317" s="1525"/>
      <c r="F1317" s="1525"/>
      <c r="G1317" s="1525"/>
      <c r="H1317" s="1524"/>
      <c r="I1317" s="1578"/>
      <c r="J1317" s="1578"/>
      <c r="K1317" s="1578"/>
      <c r="L1317" s="1316"/>
      <c r="M1317" s="1316"/>
      <c r="N1317" s="1316"/>
      <c r="O1317" s="1316"/>
      <c r="P1317" s="1316"/>
      <c r="Q1317" s="1316"/>
    </row>
    <row r="1318" spans="1:22" ht="102">
      <c r="A1318" s="1583" t="str">
        <f>'Part VIII-Threshold Criteria'!A160</f>
        <v>Please see Tab 7 for the Phase 1 Assessment. The Applicant is not requesting HOME Funds.</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5084</v>
      </c>
      <c r="D1324" s="457"/>
      <c r="E1324" s="457"/>
      <c r="F1324" s="457"/>
      <c r="G1324" s="457"/>
      <c r="H1324" s="457" t="s">
        <v>2707</v>
      </c>
      <c r="K1324" s="2404" t="str">
        <f>'Part VIII-Threshold Criteria'!K166</f>
        <v>12.31.2019</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Brennan Place,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3749</v>
      </c>
      <c r="D1327" s="1525"/>
      <c r="E1327" s="1525"/>
      <c r="F1327" s="1525"/>
      <c r="G1327" s="1525"/>
      <c r="H1327" s="1524"/>
      <c r="I1327" s="1578"/>
      <c r="J1327" s="1578"/>
      <c r="K1327" s="1578"/>
      <c r="L1327" s="1316"/>
      <c r="M1327" s="1316"/>
      <c r="N1327" s="1316"/>
      <c r="O1327" s="1316"/>
      <c r="P1327" s="1316"/>
      <c r="Q1327" s="1316"/>
    </row>
    <row r="1328" spans="1:22" ht="71.400000000000006">
      <c r="A1328" s="1583" t="str">
        <f>'Part VIII-Threshold Criteria'!A170</f>
        <v>Please see Tab 8 for evidence of site control through November 30, 2019.</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3740</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4758</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3741</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4903</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3749</v>
      </c>
      <c r="D1337" s="1525"/>
      <c r="E1337" s="1525"/>
      <c r="F1337" s="1525"/>
      <c r="G1337" s="1525"/>
      <c r="H1337" s="1524"/>
      <c r="I1337" s="1578"/>
      <c r="J1337" s="1578"/>
      <c r="K1337" s="1578"/>
      <c r="L1337" s="1316"/>
      <c r="M1337" s="1316"/>
      <c r="N1337" s="1316"/>
      <c r="O1337" s="1316"/>
      <c r="P1337" s="1316"/>
      <c r="Q1337" s="1316"/>
    </row>
    <row r="1338" spans="1:22" ht="183.6">
      <c r="A1338" s="1583" t="str">
        <f>'Part VIII-Threshold Criteria'!A180</f>
        <v>The site is legally accessible by paved roads and documentation reflecting this is included in the application. Documentation reflecting such paved roads is included in Tab 9 of the application.</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4920</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4536</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3742</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3891</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3749</v>
      </c>
      <c r="D1354" s="1525"/>
      <c r="E1354" s="1525"/>
      <c r="F1354" s="1525"/>
      <c r="G1354" s="1525"/>
      <c r="H1354" s="1524"/>
      <c r="I1354" s="1578"/>
      <c r="J1354" s="1578"/>
      <c r="K1354" s="1578"/>
      <c r="L1354" s="1316"/>
      <c r="M1354" s="1316"/>
      <c r="N1354" s="1316"/>
      <c r="O1354" s="1316"/>
      <c r="P1354" s="1316"/>
      <c r="Q1354" s="1316"/>
    </row>
    <row r="1355" spans="1:22" ht="51">
      <c r="A1355" s="1583" t="str">
        <f>'Part VIII-Threshold Criteria'!A197</f>
        <v>Please see Tab 10 for zoning documentation.</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5075</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3749</v>
      </c>
      <c r="C1362" s="1521"/>
      <c r="D1362" s="1521"/>
      <c r="E1362" s="1521"/>
      <c r="F1362" s="1521"/>
      <c r="H1362" s="1620"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91.8">
      <c r="A1363" s="1583" t="str">
        <f>'Part VIII-Threshold Criteria'!A205</f>
        <v>Please see Tab 11 for the operating utility letter stating electric service is available at the site.</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Columbus Water Works</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Columbus Water Works</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3897</v>
      </c>
      <c r="C1370" s="1794"/>
      <c r="D1370" s="457"/>
      <c r="E1370" s="457"/>
      <c r="F1370" s="457"/>
      <c r="G1370" s="457"/>
      <c r="H1370" s="457"/>
      <c r="I1370" s="457"/>
      <c r="J1370" s="457"/>
      <c r="K1370" s="1314"/>
      <c r="L1370" s="457"/>
      <c r="M1370" s="457"/>
      <c r="N1370" s="1794"/>
      <c r="O1370" s="1620" t="s">
        <v>1985</v>
      </c>
      <c r="P1370" s="1578" t="str">
        <f>'Part VIII-Threshold Criteria'!P212</f>
        <v>No</v>
      </c>
      <c r="Q1370" s="1578"/>
    </row>
    <row r="1371" spans="1:22">
      <c r="A1371" s="1620" t="s">
        <v>749</v>
      </c>
      <c r="B1371" s="457" t="s">
        <v>3898</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3749</v>
      </c>
      <c r="D1372" s="1525"/>
      <c r="E1372" s="1525"/>
      <c r="F1372" s="1525"/>
      <c r="G1372" s="1525"/>
      <c r="H1372" s="1524"/>
      <c r="I1372" s="1578"/>
      <c r="J1372" s="1578"/>
      <c r="K1372" s="1578"/>
      <c r="L1372" s="1316"/>
      <c r="M1372" s="1316"/>
      <c r="N1372" s="1316"/>
      <c r="O1372" s="1316"/>
      <c r="P1372" s="1316"/>
      <c r="Q1372" s="1316"/>
    </row>
    <row r="1373" spans="1:22" ht="112.2">
      <c r="A1373" s="1583" t="str">
        <f>'Part VIII-Threshold Criteria'!A215</f>
        <v>Pleasee see Tab 12 for public water/sanitary sewer/storm sewer letter from Columbus Water Works.</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4537</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Building</v>
      </c>
      <c r="L1380" s="457">
        <f>'Part VIII-Threshold Criteria'!L222</f>
        <v>0</v>
      </c>
      <c r="Q1380" s="1578"/>
    </row>
    <row r="1381" spans="1:22">
      <c r="A1381" s="1620"/>
      <c r="B1381" s="1524" t="s">
        <v>1738</v>
      </c>
      <c r="C1381" s="1524" t="s">
        <v>4743</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4746</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4745</v>
      </c>
      <c r="E1383" s="1524"/>
      <c r="F1383" s="1524"/>
      <c r="G1383" s="1524"/>
      <c r="H1383" s="1524"/>
      <c r="I1383" s="1314"/>
      <c r="J1383" s="1620" t="s">
        <v>4744</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5108</v>
      </c>
      <c r="D1385" s="457"/>
      <c r="E1385" s="457"/>
      <c r="F1385" s="457"/>
      <c r="G1385" s="457"/>
      <c r="H1385" s="457"/>
      <c r="I1385" s="457"/>
      <c r="J1385" s="457"/>
      <c r="K1385" s="1314"/>
      <c r="L1385" s="1314"/>
      <c r="M1385" s="1314"/>
      <c r="N1385" s="1620" t="s">
        <v>3603</v>
      </c>
      <c r="O1385" s="2405">
        <f>'Part VI-Revenues &amp; Expenses'!$O$67</f>
        <v>72</v>
      </c>
      <c r="P1385" s="1638" t="s">
        <v>4974</v>
      </c>
      <c r="Q1385" s="1638"/>
    </row>
    <row r="1386" spans="1:22">
      <c r="A1386" s="1620"/>
      <c r="B1386" s="1524" t="s">
        <v>1737</v>
      </c>
      <c r="C1386" s="457" t="s">
        <v>4975</v>
      </c>
      <c r="D1386" s="457"/>
      <c r="E1386" s="457"/>
      <c r="F1386" s="457"/>
      <c r="H1386" s="1620" t="s">
        <v>4976</v>
      </c>
      <c r="I1386" s="457" t="s">
        <v>5329</v>
      </c>
      <c r="M1386" s="1314"/>
      <c r="N1386" s="1314"/>
      <c r="O1386" s="1639"/>
      <c r="P1386" s="1781" t="s">
        <v>773</v>
      </c>
      <c r="Q1386" s="1781" t="s">
        <v>4973</v>
      </c>
    </row>
    <row r="1387" spans="1:22" ht="15" customHeight="1">
      <c r="A1387" s="1578"/>
      <c r="B1387" s="1620" t="s">
        <v>2116</v>
      </c>
      <c r="C1387" s="1583" t="str">
        <f>'Part VIII-Threshold Criteria'!C229</f>
        <v>Fenced community gardens</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Equipped playground</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 xml:space="preserve">Equipped Computer Center and WiFi </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4984</v>
      </c>
      <c r="C1390" s="1583" t="str">
        <f>'Part VIII-Threshold Criteria'!C232</f>
        <v>Furnished Exercise /Fitness Center</v>
      </c>
      <c r="D1390" s="1583">
        <f>'Part VIII-Threshold Criteria'!D232</f>
        <v>0</v>
      </c>
      <c r="E1390" s="1583">
        <f>'Part VIII-Threshold Criteria'!E232</f>
        <v>0</v>
      </c>
      <c r="F1390" s="1583">
        <f>'Part VIII-Threshold Criteria'!F232</f>
        <v>0</v>
      </c>
      <c r="G1390" s="1583">
        <f>'Part VIII-Threshold Criteria'!G232</f>
        <v>0</v>
      </c>
      <c r="H1390" s="1620" t="s">
        <v>4984</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3464</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f>'Part VIII-Threshold Criteria'!P240</f>
        <v>0</v>
      </c>
      <c r="Q1398" s="1578"/>
    </row>
    <row r="1399" spans="1:22">
      <c r="A1399" s="1620" t="s">
        <v>2115</v>
      </c>
      <c r="B1399" s="457" t="s">
        <v>3660</v>
      </c>
      <c r="C1399" s="457"/>
      <c r="E1399" s="457"/>
      <c r="F1399" s="457"/>
      <c r="G1399" s="457"/>
      <c r="H1399" s="457"/>
      <c r="I1399" s="457"/>
      <c r="J1399" s="457"/>
      <c r="K1399" s="1314"/>
      <c r="M1399" s="1620" t="s">
        <v>4828</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4759</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3749</v>
      </c>
      <c r="D1402" s="1525"/>
      <c r="E1402" s="1525"/>
      <c r="F1402" s="1525"/>
      <c r="G1402" s="1525"/>
      <c r="H1402" s="1524"/>
      <c r="I1402" s="1578"/>
      <c r="J1402" s="1578"/>
      <c r="K1402" s="1578"/>
      <c r="L1402" s="1316"/>
      <c r="M1402" s="1316"/>
      <c r="N1402" s="1316"/>
      <c r="O1402" s="1316"/>
      <c r="P1402" s="1316"/>
      <c r="Q1402" s="1316"/>
    </row>
    <row r="1403" spans="1:22" ht="51">
      <c r="A1403" s="1583" t="str">
        <f>'Part VIII-Threshold Criteria'!A245</f>
        <v>Applicant agrees to provide the required site amenities.</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4904</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4765</v>
      </c>
      <c r="D1413" s="457"/>
      <c r="E1413" s="457"/>
      <c r="F1413" s="457"/>
    </row>
    <row r="1414" spans="1:17">
      <c r="A1414" s="1620"/>
      <c r="C1414" s="457" t="s">
        <v>4762</v>
      </c>
      <c r="D1414" s="457"/>
      <c r="E1414" s="457"/>
      <c r="F1414" s="457"/>
      <c r="K1414" s="457" t="s">
        <v>4761</v>
      </c>
      <c r="L1414" s="2401">
        <f>'Part VIII-Threshold Criteria'!L256</f>
        <v>0</v>
      </c>
      <c r="M1414" s="457"/>
      <c r="N1414" s="2408"/>
      <c r="O1414" s="2408"/>
      <c r="P1414" s="457">
        <f>'Part VIII-Threshold Criteria'!P256</f>
        <v>0</v>
      </c>
      <c r="Q1414" s="457"/>
    </row>
    <row r="1415" spans="1:17">
      <c r="A1415" s="1620"/>
      <c r="B1415" s="457"/>
      <c r="C1415" s="1051" t="s">
        <v>4763</v>
      </c>
      <c r="D1415" s="457"/>
      <c r="E1415" s="457"/>
      <c r="F1415" s="457"/>
      <c r="K1415" s="1620" t="s">
        <v>4764</v>
      </c>
      <c r="L1415" s="2409">
        <f>'Part VIII-Threshold Criteria'!L257</f>
        <v>0</v>
      </c>
      <c r="M1415" s="457"/>
      <c r="N1415" s="1640"/>
      <c r="O1415" s="1640"/>
      <c r="P1415" s="1578">
        <f>'Part VIII-Threshold Criteria'!P257</f>
        <v>0</v>
      </c>
      <c r="Q1415" s="1578"/>
    </row>
    <row r="1416" spans="1:17">
      <c r="A1416" s="1620"/>
      <c r="B1416" s="457" t="s">
        <v>4760</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3900</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3757</v>
      </c>
      <c r="C1418" s="1583"/>
      <c r="D1418" s="1583"/>
      <c r="E1418" s="1583"/>
      <c r="F1418" s="1583"/>
      <c r="G1418" s="1583"/>
      <c r="H1418" s="1051" t="s">
        <v>4109</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4110</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4111</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4112</v>
      </c>
      <c r="K1421" s="1314"/>
      <c r="M1421" s="457"/>
      <c r="N1421" s="1640"/>
      <c r="O1421" s="1620" t="s">
        <v>2365</v>
      </c>
      <c r="P1421" s="1578">
        <f>'Part VIII-Threshold Criteria'!P263</f>
        <v>0</v>
      </c>
      <c r="Q1421" s="1578"/>
    </row>
    <row r="1422" spans="1:17" ht="12.75" customHeight="1">
      <c r="B1422" s="1583" t="s">
        <v>5330</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5331</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5109</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5076</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3858</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5077</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3749</v>
      </c>
      <c r="D1429" s="1525"/>
      <c r="E1429" s="1525"/>
      <c r="F1429" s="1525"/>
      <c r="G1429" s="1525"/>
      <c r="H1429" s="1524"/>
      <c r="I1429" s="1578"/>
      <c r="J1429" s="1578"/>
      <c r="K1429" s="1578"/>
      <c r="L1429" s="1316"/>
      <c r="M1429" s="1316"/>
      <c r="N1429" s="1316"/>
      <c r="O1429" s="1316"/>
      <c r="P1429" s="1316"/>
      <c r="Q1429" s="1316"/>
    </row>
    <row r="1430" spans="1:22" ht="15">
      <c r="A1430" s="1583" t="str">
        <f>'Part VIII-Threshold Criteria'!A272</f>
        <v>N/A</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4958</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3752</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3753</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4113</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3754</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4961</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3749</v>
      </c>
      <c r="D1441" s="1525"/>
      <c r="E1441" s="1525"/>
      <c r="F1441" s="1525"/>
      <c r="G1441" s="1525"/>
      <c r="H1441" s="1524"/>
      <c r="I1441" s="1578"/>
      <c r="J1441" s="1578"/>
      <c r="K1441" s="1578"/>
      <c r="L1441" s="1316"/>
      <c r="M1441" s="1316"/>
      <c r="N1441" s="1316"/>
      <c r="O1441" s="1316"/>
      <c r="P1441" s="1316"/>
      <c r="Q1441" s="1316"/>
    </row>
    <row r="1442" spans="1:22" ht="387.6">
      <c r="A1442" s="1583" t="str">
        <f>'Part VIII-Threshold Criteria'!A284</f>
        <v>The Concept Site Development Plan has been prepared in accordance with all instructions set forth in the DCA Submission Requirement Manual and Qualified Allocation Plan. Please see Tab 15 for the Conceptual Site Development Plan, location and vicinity maps, ground level color photos of the site and surrounding structures with key and aerial showing site boundary and adjacent land uses.</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4095</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4960</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4780</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4962</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3749</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265.2">
      <c r="A1452" s="1583" t="str">
        <f>'Part VIII-Threshold Criteria'!A294</f>
        <v>Applicant agrees that the project will comply with Georgia State Minimum Standard Energy Code in effect at the time of permit issuance. The Applicant will obtain a sustainable building certificate from Earth Craft House Multifamily. Please see tab 16 for the sustainability worksheet.</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4096</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4540</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3904</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3905</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3903</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3871</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5110</v>
      </c>
      <c r="D1462" s="1583"/>
      <c r="E1462" s="1583"/>
      <c r="F1462" s="1583"/>
      <c r="G1462" s="1583"/>
      <c r="H1462" s="1583"/>
      <c r="I1462" s="1604"/>
      <c r="J1462" s="1587" t="s">
        <v>3789</v>
      </c>
      <c r="K1462" s="1638"/>
      <c r="L1462" s="1638"/>
      <c r="M1462" s="1644" t="s">
        <v>3759</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3760</v>
      </c>
      <c r="N1463" s="457" t="s">
        <v>3788</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4116</v>
      </c>
      <c r="J1464" s="1330"/>
      <c r="K1464" s="1846">
        <f>'Part VIII-Threshold Criteria'!K306</f>
        <v>4</v>
      </c>
      <c r="L1464" s="1337" t="str">
        <f>IF(K1464&lt;M1464,"Check!!!","")</f>
        <v/>
      </c>
      <c r="M1464" s="1692">
        <f>ROUNDUP('Part VI-Revenues &amp; Expenses'!$O$67*'Part VIII-Threshold Criteria'!N1464,0)</f>
        <v>0</v>
      </c>
      <c r="N1464" s="2412">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5111</v>
      </c>
      <c r="D1465" s="1583"/>
      <c r="E1465" s="1583"/>
      <c r="F1465" s="1583"/>
      <c r="G1465" s="1583"/>
      <c r="H1465" s="1583"/>
      <c r="I1465" s="1647" t="s">
        <v>4117</v>
      </c>
      <c r="J1465" s="1330"/>
      <c r="K1465" s="2413">
        <f>'Part VIII-Threshold Criteria'!K307</f>
        <v>2</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5112</v>
      </c>
      <c r="D1467" s="1583"/>
      <c r="E1467" s="1583"/>
      <c r="F1467" s="1583"/>
      <c r="G1467" s="1583"/>
      <c r="H1467" s="1583"/>
      <c r="I1467" s="457" t="s">
        <v>4118</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3872</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3758</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4905</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2365</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3749</v>
      </c>
      <c r="C1477" s="1794"/>
      <c r="D1477" s="1549"/>
      <c r="E1477" s="1549"/>
      <c r="F1477" s="1549"/>
      <c r="G1477" s="1549"/>
      <c r="H1477" s="457"/>
      <c r="I1477" s="457"/>
      <c r="J1477" s="457"/>
      <c r="K1477" s="457"/>
      <c r="L1477" s="1317"/>
      <c r="M1477" s="1317"/>
      <c r="N1477" s="1317"/>
      <c r="O1477" s="1316"/>
      <c r="P1477" s="1316"/>
      <c r="Q1477" s="1316"/>
    </row>
    <row r="1478" spans="1:22" ht="357">
      <c r="A1478" s="1583" t="str">
        <f>'Part VIII-Threshold Criteria'!A320</f>
        <v>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4094</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5113</v>
      </c>
      <c r="D1484" s="1524"/>
      <c r="E1484" s="1524"/>
      <c r="F1484" s="1524"/>
      <c r="G1484" s="1524"/>
      <c r="H1484" s="1524"/>
      <c r="I1484" s="1524"/>
      <c r="J1484" s="1524"/>
      <c r="K1484" s="1524"/>
      <c r="L1484" s="1524"/>
      <c r="M1484" s="1524"/>
      <c r="N1484" s="1627"/>
      <c r="P1484" s="1794"/>
      <c r="Q1484" s="1794"/>
    </row>
    <row r="1485" spans="1:22" ht="12.75" customHeight="1">
      <c r="B1485" s="1583" t="s">
        <v>2880</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5114</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3749</v>
      </c>
      <c r="C1494" s="1794"/>
      <c r="D1494" s="1549"/>
      <c r="E1494" s="1549"/>
      <c r="F1494" s="1549"/>
      <c r="G1494" s="1549"/>
      <c r="H1494" s="457"/>
      <c r="I1494" s="457"/>
      <c r="J1494" s="457"/>
      <c r="K1494" s="457"/>
      <c r="L1494" s="1317"/>
      <c r="M1494" s="1317"/>
      <c r="N1494" s="1317"/>
      <c r="O1494" s="1316"/>
      <c r="P1494" s="1316"/>
      <c r="Q1494" s="1316"/>
    </row>
    <row r="1495" spans="1:22" ht="142.80000000000001">
      <c r="A1495" s="1583" t="str">
        <f>'Part VIII-Threshold Criteria'!A337</f>
        <v>The project will meet the Architectural Standards contained in the Application Manual. There is no waiver for this criterion included in the application.</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4097</v>
      </c>
      <c r="B1498" s="1314" t="s">
        <v>4135</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4992</v>
      </c>
      <c r="O1499" s="1627" t="s">
        <v>1983</v>
      </c>
      <c r="P1499" s="1578" t="str">
        <f>'Part VIII-Threshold Criteria'!P341</f>
        <v>Yes</v>
      </c>
      <c r="Q1499" s="1578"/>
    </row>
    <row r="1500" spans="1:22">
      <c r="A1500" s="1604" t="s">
        <v>1985</v>
      </c>
      <c r="B1500" s="1638" t="s">
        <v>4083</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3837</v>
      </c>
      <c r="O1502" s="1620" t="s">
        <v>2115</v>
      </c>
      <c r="P1502" s="1578" t="str">
        <f>'Part VIII-Threshold Criteria'!P344</f>
        <v>No</v>
      </c>
      <c r="Q1502" s="1578"/>
    </row>
    <row r="1503" spans="1:22">
      <c r="A1503" s="1627" t="s">
        <v>1735</v>
      </c>
      <c r="B1503" s="1051" t="s">
        <v>2883</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2884</v>
      </c>
      <c r="P1504" s="1534"/>
      <c r="Q1504" s="1534"/>
    </row>
    <row r="1505" spans="1:22">
      <c r="B1505" s="1525" t="s">
        <v>3749</v>
      </c>
      <c r="D1505" s="1525"/>
      <c r="E1505" s="1525"/>
      <c r="F1505" s="1525"/>
      <c r="G1505" s="1525"/>
      <c r="H1505" s="1524"/>
      <c r="I1505" s="1578"/>
      <c r="J1505" s="1578"/>
      <c r="K1505" s="1578"/>
      <c r="L1505" s="1316"/>
      <c r="M1505" s="1316"/>
      <c r="N1505" s="1316"/>
      <c r="O1505" s="1316"/>
      <c r="P1505" s="1316"/>
      <c r="Q1505" s="1316"/>
    </row>
    <row r="1506" spans="1:22" ht="122.4">
      <c r="A1506" s="1583" t="str">
        <f>'Part VIII-Threshold Criteria'!A348</f>
        <v>Please see Tab 19 for the Qualification Determination letter. The Certifying Entity, C. Jeffrey Rice, met the qualifications in 2018.</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4098</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3654</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3846</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4084</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3749</v>
      </c>
      <c r="D1513" s="1525"/>
      <c r="E1513" s="1525"/>
      <c r="F1513" s="1525"/>
      <c r="G1513" s="1525"/>
      <c r="H1513" s="1524"/>
      <c r="I1513" s="1578"/>
      <c r="J1513" s="1578"/>
      <c r="K1513" s="1578"/>
      <c r="L1513" s="1316"/>
      <c r="M1513" s="1316"/>
      <c r="N1513" s="1316"/>
      <c r="O1513" s="1316"/>
      <c r="P1513" s="1316"/>
      <c r="Q1513" s="1316"/>
    </row>
    <row r="1514" spans="1:22">
      <c r="A1514" s="1583">
        <f>'Part VIII-Threshold Criteria'!A356</f>
        <v>0</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4101</v>
      </c>
      <c r="B1518" s="1314" t="s">
        <v>4074</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4075</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4076</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4066</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4067</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4068</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4069</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4070</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4546</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3369</v>
      </c>
      <c r="B1527" s="1583" t="s">
        <v>4071</v>
      </c>
      <c r="C1527" s="1583"/>
      <c r="D1527" s="1583"/>
      <c r="E1527" s="1583"/>
      <c r="F1527" s="1583"/>
      <c r="G1527" s="1583"/>
      <c r="H1527" s="1583"/>
      <c r="I1527" s="1583"/>
      <c r="J1527" s="1583"/>
      <c r="K1527" s="1583"/>
      <c r="L1527" s="1583"/>
      <c r="M1527" s="1583"/>
      <c r="N1527" s="1583"/>
      <c r="O1527" s="1627" t="s">
        <v>3369</v>
      </c>
      <c r="P1527" s="1631">
        <f>'Part VIII-Threshold Criteria'!P369</f>
        <v>0</v>
      </c>
      <c r="Q1527" s="1631"/>
    </row>
    <row r="1528" spans="1:22" ht="12.75" customHeight="1">
      <c r="A1528" s="1627" t="s">
        <v>616</v>
      </c>
      <c r="B1528" s="1583" t="s">
        <v>4072</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3749</v>
      </c>
      <c r="D1529" s="1525"/>
      <c r="E1529" s="1525"/>
      <c r="F1529" s="1525"/>
      <c r="G1529" s="1525"/>
      <c r="H1529" s="1524"/>
      <c r="I1529" s="1578"/>
      <c r="J1529" s="1578"/>
      <c r="K1529" s="1578"/>
      <c r="L1529" s="1316"/>
      <c r="M1529" s="1316"/>
      <c r="N1529" s="1316"/>
      <c r="O1529" s="1316"/>
      <c r="P1529" s="1316"/>
      <c r="Q1529" s="1316"/>
    </row>
    <row r="1530" spans="1:22" ht="30.6">
      <c r="A1530" s="1583" t="str">
        <f>'Part VIII-Threshold Criteria'!A372</f>
        <v>Applicant is not a non-profit.</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4102</v>
      </c>
      <c r="B1534" s="1314" t="s">
        <v>3908</v>
      </c>
      <c r="C1534" s="1314"/>
      <c r="D1534" s="1314"/>
      <c r="E1534" s="1314"/>
      <c r="F1534" s="1314"/>
      <c r="G1534" s="1314"/>
      <c r="H1534" s="1582"/>
      <c r="I1534" s="1582"/>
      <c r="J1534" s="1582"/>
      <c r="O1534" s="2388" t="s">
        <v>1867</v>
      </c>
      <c r="P1534" s="1317"/>
      <c r="Q1534" s="1317"/>
    </row>
    <row r="1535" spans="1:22">
      <c r="A1535" s="457" t="s">
        <v>1983</v>
      </c>
      <c r="B1535" s="457" t="s">
        <v>3910</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4917</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3909</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4910</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3911</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3912</v>
      </c>
      <c r="D1539" s="1314"/>
      <c r="E1539" s="1550"/>
      <c r="F1539" s="1314"/>
      <c r="G1539" s="1314"/>
      <c r="H1539" s="1314"/>
      <c r="I1539" s="1550"/>
      <c r="J1539" s="1550">
        <f>'Part I-Project Information'!K1198</f>
        <v>0</v>
      </c>
      <c r="K1539" s="1550"/>
      <c r="L1539" s="1550" t="s">
        <v>3913</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4906</v>
      </c>
      <c r="D1540" s="1314"/>
      <c r="E1540" s="1550"/>
      <c r="F1540" s="1550"/>
      <c r="G1540" s="1550"/>
      <c r="H1540" s="457" t="s">
        <v>4907</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4908</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3915</v>
      </c>
      <c r="D1542" s="1314"/>
      <c r="E1542" s="457"/>
      <c r="F1542" s="1757">
        <f>'Part IV-A-Uses of Funds'!J1331</f>
        <v>0</v>
      </c>
      <c r="G1542" s="1757"/>
      <c r="H1542" s="457" t="s">
        <v>3916</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3918</v>
      </c>
      <c r="D1543" s="1314"/>
      <c r="E1543" s="457"/>
      <c r="F1543" s="457"/>
      <c r="G1543" s="457"/>
      <c r="H1543" s="457" t="s">
        <v>4909</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3920</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3921</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4963</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3926</v>
      </c>
      <c r="K1547" s="457"/>
      <c r="L1547" s="457"/>
      <c r="M1547" s="457"/>
      <c r="N1547" s="1550" t="s">
        <v>3923</v>
      </c>
      <c r="O1547" s="1550"/>
      <c r="P1547" s="1314"/>
      <c r="Q1547" s="1314"/>
      <c r="R1547" s="1314"/>
      <c r="S1547" s="1314"/>
      <c r="T1547" s="1314"/>
      <c r="U1547" s="1314"/>
      <c r="V1547" s="1314"/>
    </row>
    <row r="1548" spans="1:22">
      <c r="A1548" s="1319"/>
      <c r="B1548" s="1524" t="s">
        <v>1738</v>
      </c>
      <c r="C1548" s="1524" t="s">
        <v>3922</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3925</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3927</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3749</v>
      </c>
      <c r="D1551" s="1525"/>
      <c r="E1551" s="1525"/>
      <c r="F1551" s="1525"/>
      <c r="G1551" s="1525"/>
      <c r="H1551" s="1524"/>
      <c r="I1551" s="1578"/>
      <c r="J1551" s="457"/>
      <c r="K1551" s="457"/>
      <c r="L1551" s="1317"/>
      <c r="M1551" s="1317"/>
      <c r="N1551" s="1317"/>
      <c r="O1551" s="1317"/>
      <c r="P1551" s="1316"/>
      <c r="Q1551" s="1316"/>
    </row>
    <row r="1552" spans="1:22">
      <c r="A1552" s="1583" t="str">
        <f>'Part VIII-Threshold Criteria'!A394</f>
        <v>N/A</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4103</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3463</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3473</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3695</v>
      </c>
      <c r="G1561" s="1517"/>
      <c r="H1561" s="1517"/>
      <c r="I1561" s="1517"/>
      <c r="J1561" s="1524" t="s">
        <v>3696</v>
      </c>
      <c r="L1561" s="1517"/>
      <c r="M1561" s="2417">
        <f>'Part III-Sources of Funds'!H1163</f>
        <v>0</v>
      </c>
      <c r="N1561" s="2417"/>
      <c r="O1561" s="1620" t="s">
        <v>2115</v>
      </c>
      <c r="P1561" s="457">
        <f>'Part VIII-Threshold Criteria'!P403</f>
        <v>0</v>
      </c>
      <c r="Q1561" s="457"/>
    </row>
    <row r="1562" spans="1:22">
      <c r="B1562" s="1525" t="s">
        <v>3749</v>
      </c>
      <c r="D1562" s="1525"/>
      <c r="E1562" s="1549"/>
      <c r="F1562" s="1549"/>
      <c r="G1562" s="1549"/>
      <c r="H1562" s="457"/>
      <c r="I1562" s="457"/>
      <c r="J1562" s="457"/>
      <c r="K1562" s="457"/>
      <c r="L1562" s="1317"/>
      <c r="M1562" s="1317"/>
      <c r="N1562" s="1317"/>
      <c r="O1562" s="1317"/>
      <c r="P1562" s="1317"/>
      <c r="Q1562" s="1317"/>
    </row>
    <row r="1563" spans="1:22" ht="30.6">
      <c r="A1563" s="1583" t="str">
        <f>'Part VIII-Threshold Criteria'!A405</f>
        <v>N/A. Applicant is not a CHDO.</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4104</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f>'Part VIII-Threshold Criteria'!P410</f>
        <v>0</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f>'Part VIII-Threshold Criteria'!P411</f>
        <v>0</v>
      </c>
      <c r="Q1569" s="457"/>
    </row>
    <row r="1570" spans="1:22">
      <c r="A1570" s="1620" t="s">
        <v>749</v>
      </c>
      <c r="B1570" s="457" t="s">
        <v>4073</v>
      </c>
      <c r="D1570" s="1583"/>
      <c r="E1570" s="1583"/>
      <c r="O1570" s="1620" t="s">
        <v>749</v>
      </c>
      <c r="P1570" s="1578">
        <f>'Part VIII-Threshold Criteria'!P412</f>
        <v>0</v>
      </c>
      <c r="Q1570" s="1578"/>
    </row>
    <row r="1571" spans="1:22">
      <c r="A1571" s="1620" t="s">
        <v>2115</v>
      </c>
      <c r="B1571" s="457" t="s">
        <v>3583</v>
      </c>
      <c r="E1571" s="1604"/>
      <c r="O1571" s="1620" t="s">
        <v>2115</v>
      </c>
      <c r="P1571" s="457">
        <f>'Part VIII-Threshold Criteria'!P413</f>
        <v>0</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3749</v>
      </c>
      <c r="D1573" s="1525"/>
      <c r="E1573" s="1525"/>
      <c r="F1573" s="1525"/>
      <c r="G1573" s="1525"/>
      <c r="H1573" s="1524"/>
      <c r="I1573" s="1578"/>
      <c r="J1573" s="1578"/>
      <c r="K1573" s="1578"/>
      <c r="L1573" s="1316"/>
      <c r="M1573" s="1316"/>
      <c r="N1573" s="1316"/>
      <c r="O1573" s="1316"/>
      <c r="P1573" s="1316"/>
      <c r="Q1573" s="1316"/>
    </row>
    <row r="1574" spans="1:22">
      <c r="A1574" s="1583" t="str">
        <f>'Part VIII-Threshold Criteria'!A416</f>
        <v>N/A</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4105</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3475</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3474</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4924</v>
      </c>
      <c r="C1588" s="1524"/>
      <c r="E1588" s="1524"/>
      <c r="F1588" s="1524"/>
      <c r="G1588" s="1524"/>
      <c r="J1588" s="1314"/>
      <c r="K1588" s="1524"/>
      <c r="L1588" s="1524"/>
      <c r="M1588" s="1314"/>
      <c r="N1588" s="1620"/>
      <c r="P1588" s="1620"/>
      <c r="Q1588" s="1620"/>
    </row>
    <row r="1589" spans="1:22">
      <c r="A1589" s="1620"/>
      <c r="B1589" s="1638" t="s">
        <v>1737</v>
      </c>
      <c r="C1589" s="457" t="s">
        <v>4774</v>
      </c>
      <c r="D1589" s="1794"/>
      <c r="E1589" s="457"/>
      <c r="G1589" s="1051" t="s">
        <v>4769</v>
      </c>
      <c r="H1589" s="1524"/>
      <c r="I1589" s="1524"/>
      <c r="J1589" s="1578">
        <f>'Part VIII-Threshold Criteria'!J431</f>
        <v>0</v>
      </c>
      <c r="K1589" s="1578"/>
      <c r="L1589" s="1524"/>
      <c r="M1589" s="1051" t="s">
        <v>4772</v>
      </c>
    </row>
    <row r="1590" spans="1:22">
      <c r="A1590" s="1314"/>
      <c r="B1590" s="1794"/>
      <c r="C1590" s="1794"/>
      <c r="D1590" s="1794"/>
      <c r="E1590" s="1794"/>
      <c r="G1590" s="1051" t="s">
        <v>4770</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4771</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4773</v>
      </c>
      <c r="E1592" s="1524"/>
      <c r="F1592" s="1524"/>
      <c r="L1592" s="1524"/>
      <c r="M1592" s="1524"/>
      <c r="O1592" s="1620" t="s">
        <v>1738</v>
      </c>
      <c r="P1592" s="1578" t="str">
        <f>'Part VIII-Threshold Criteria'!P434</f>
        <v>&lt;&lt;Select&gt;&gt;</v>
      </c>
      <c r="Q1592" s="1578" t="s">
        <v>1771</v>
      </c>
    </row>
    <row r="1593" spans="1:22">
      <c r="A1593" s="1314"/>
      <c r="C1593" s="1051" t="s">
        <v>2435</v>
      </c>
      <c r="D1593" s="1051" t="s">
        <v>4781</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4782</v>
      </c>
      <c r="E1594" s="1524"/>
      <c r="F1594" s="1636"/>
      <c r="G1594" s="457" t="str">
        <f>'Part VIII-Threshold Criteria'!G436</f>
        <v>&lt;&lt; Select &gt;&gt;</v>
      </c>
      <c r="H1594" s="457">
        <f>'Part VIII-Threshold Criteria'!H436</f>
        <v>0</v>
      </c>
      <c r="I1594" s="457">
        <f>'Part VIII-Threshold Criteria'!I436</f>
        <v>0</v>
      </c>
      <c r="J1594" s="1051" t="s">
        <v>4783</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4986</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4775</v>
      </c>
      <c r="U1596" s="1317"/>
      <c r="V1596" s="1317"/>
    </row>
    <row r="1597" spans="1:22">
      <c r="B1597" s="1525" t="s">
        <v>3749</v>
      </c>
      <c r="D1597" s="1525"/>
      <c r="E1597" s="1525"/>
      <c r="F1597" s="1525"/>
      <c r="G1597" s="1549"/>
      <c r="H1597" s="457"/>
      <c r="I1597" s="457"/>
      <c r="J1597" s="457"/>
      <c r="K1597" s="457"/>
    </row>
    <row r="1598" spans="1:22" ht="20.399999999999999">
      <c r="A1598" s="1583" t="str">
        <f>'Part VIII-Threshold Criteria'!A440</f>
        <v>N/A. Site is vacant land.</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4106</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5043</v>
      </c>
      <c r="C1603" s="1314"/>
      <c r="D1603" s="457"/>
      <c r="E1603" s="1582"/>
      <c r="F1603" s="1582"/>
      <c r="G1603" s="1582"/>
      <c r="H1603" s="1582"/>
    </row>
    <row r="1604" spans="1:22" ht="12.75" customHeight="1">
      <c r="A1604" s="1604" t="s">
        <v>1983</v>
      </c>
      <c r="B1604" s="1583" t="s">
        <v>3931</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3929</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4987</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4988</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4989</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4990</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3935</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3936</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3937</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3476</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3749</v>
      </c>
      <c r="C1614" s="1794"/>
      <c r="D1614" s="1549"/>
      <c r="E1614" s="1549"/>
      <c r="F1614" s="1549"/>
      <c r="G1614" s="1549"/>
      <c r="H1614" s="457"/>
      <c r="I1614" s="457"/>
      <c r="J1614" s="457"/>
      <c r="K1614" s="457"/>
      <c r="L1614" s="1317"/>
      <c r="M1614" s="1317"/>
      <c r="N1614" s="1317"/>
      <c r="O1614" s="1316"/>
      <c r="P1614" s="1316"/>
      <c r="Q1614" s="1316"/>
    </row>
    <row r="1615" spans="1:22" ht="91.8">
      <c r="A1615" s="1583" t="str">
        <f>'Part VIII-Threshold Criteria'!A457</f>
        <v>The Applicant agrees to prepare and submit an AFFH Marketing Plan if selected.</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4784</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4792</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4793</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4.4">
      <c r="A1622" s="1620" t="s">
        <v>1983</v>
      </c>
      <c r="B1622" s="457" t="s">
        <v>4785</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4911</v>
      </c>
      <c r="D1623" s="1583"/>
      <c r="E1623" s="1583"/>
      <c r="F1623" s="1583"/>
      <c r="G1623" s="1583"/>
      <c r="H1623" s="1583"/>
      <c r="I1623" s="1583"/>
      <c r="J1623" s="1583"/>
      <c r="K1623" s="1550" t="s">
        <v>5038</v>
      </c>
      <c r="L1623" s="1524" t="s">
        <v>4787</v>
      </c>
      <c r="M1623" s="1676"/>
      <c r="N1623" s="1506">
        <f>ROUNDUP('Part VI-Revenues &amp; Expenses'!$O$63*0.1,0)</f>
        <v>7</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5039</v>
      </c>
      <c r="M1624" s="1676"/>
      <c r="N1624" s="1506">
        <f>'Part VI-Revenues &amp; Expenses'!$O$63</f>
        <v>63</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0</v>
      </c>
      <c r="L1625" s="1524" t="s">
        <v>4789</v>
      </c>
      <c r="M1625" s="1676"/>
      <c r="N1625" s="1506">
        <f>'Part VI-Revenues &amp; Expenses'!$O$67</f>
        <v>72</v>
      </c>
      <c r="O1625" s="1711"/>
      <c r="P1625" s="1604">
        <f>'Part VIII-Threshold Criteria'!P467</f>
        <v>0</v>
      </c>
      <c r="Q1625" s="1604"/>
      <c r="R1625" s="1711"/>
      <c r="S1625" s="1711"/>
      <c r="T1625" s="1711"/>
      <c r="U1625" s="1711"/>
      <c r="V1625" s="1711"/>
    </row>
    <row r="1626" spans="1:22" ht="12.75" customHeight="1">
      <c r="A1626" s="1638"/>
      <c r="B1626" s="1704" t="s">
        <v>1988</v>
      </c>
      <c r="C1626" s="1583" t="s">
        <v>4912</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4913</v>
      </c>
      <c r="D1627" s="1583"/>
      <c r="E1627" s="1583"/>
      <c r="F1627" s="1583"/>
      <c r="G1627" s="1583"/>
      <c r="H1627" s="1583"/>
      <c r="I1627" s="1583"/>
      <c r="J1627" s="1550" t="s">
        <v>4790</v>
      </c>
      <c r="K1627" s="2419">
        <f>'Part VI-Revenues &amp; Expenses'!$O$103</f>
        <v>72</v>
      </c>
      <c r="L1627" s="1524" t="s">
        <v>4788</v>
      </c>
      <c r="M1627" s="1676"/>
      <c r="N1627" s="1506">
        <f>ROUNDUP(N1625*0.1,0)</f>
        <v>8</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4791</v>
      </c>
      <c r="K1628" s="2420">
        <f>IF(N1625=0,"",K1627/N1625)</f>
        <v>1</v>
      </c>
      <c r="L1628" s="1524" t="s">
        <v>5037</v>
      </c>
      <c r="M1628" s="457"/>
      <c r="N1628" s="1507">
        <f>'Part VI-Revenues &amp; Expenses'!$K$67/'Part VI-Revenues &amp; Expenses'!$O$67</f>
        <v>0.16666666666666666</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4914</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4915</v>
      </c>
      <c r="C1630" s="1583"/>
      <c r="D1630" s="1583"/>
      <c r="E1630" s="1583"/>
      <c r="F1630" s="1583"/>
      <c r="G1630" s="1583"/>
      <c r="H1630" s="1583"/>
      <c r="I1630" s="1583"/>
      <c r="J1630" s="1583"/>
      <c r="K1630" s="1583"/>
      <c r="L1630" s="1583"/>
      <c r="M1630" s="1583"/>
      <c r="N1630" s="1583"/>
      <c r="O1630" s="1627" t="s">
        <v>1985</v>
      </c>
      <c r="P1630" s="1631">
        <f>'Part VIII-Threshold Criteria'!P472</f>
        <v>0</v>
      </c>
      <c r="Q1630" s="1631"/>
      <c r="R1630" s="2422"/>
      <c r="S1630" s="1711"/>
      <c r="T1630" s="1711"/>
      <c r="U1630" s="1711"/>
      <c r="V1630" s="1711"/>
    </row>
    <row r="1631" spans="1:22" ht="14.4">
      <c r="A1631" s="1314"/>
      <c r="B1631" s="1525" t="s">
        <v>3749</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387.6">
      <c r="A1632" s="1583" t="str">
        <f>'Part VIII-Threshold Criteria'!A474</f>
        <v>Applicant has units without rental assistance and commits to accept Section811 PBRA or other DCA-sponsored RA for 10% of the total restricted units for the purpose of providing integrated supportive housing opportunities to persons with disabilities and is prepared to accept te full utilzation by DCA of 10% of the units. 63 of the 72 units will be restricted units. 16.67% of the units will be one-bedroom units.</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4786</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3749</v>
      </c>
      <c r="C1637" s="1794"/>
      <c r="D1637" s="1549"/>
      <c r="E1637" s="1549"/>
      <c r="F1637" s="1549"/>
      <c r="G1637" s="1549"/>
      <c r="H1637" s="457"/>
      <c r="I1637" s="457"/>
      <c r="J1637" s="457"/>
      <c r="K1637" s="457"/>
      <c r="L1637" s="1317"/>
      <c r="M1637" s="1317"/>
      <c r="N1637" s="1317"/>
      <c r="O1637" s="1317"/>
      <c r="P1637" s="1317"/>
      <c r="Q1637" s="1317"/>
    </row>
    <row r="1638" spans="1:22" ht="91.8">
      <c r="A1638" s="1583" t="str">
        <f>'Part VIII-Threshold Criteria'!A480</f>
        <v>The Applicant believes the project as proposed is an optimal utilization of DCA resources.</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4794</v>
      </c>
      <c r="B1643" s="1314"/>
      <c r="C1643" s="1314" t="s">
        <v>4964</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4795</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4916</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2019-042 Brennan Place,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5332</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56</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4804</v>
      </c>
      <c r="B1656" s="1314"/>
      <c r="C1656" s="1314"/>
      <c r="D1656" s="457"/>
      <c r="E1656" s="457"/>
      <c r="F1656" s="457"/>
      <c r="G1656" s="1549"/>
      <c r="H1656" s="1335" t="s">
        <v>5333</v>
      </c>
      <c r="I1656" s="1549"/>
      <c r="J1656" s="1549"/>
      <c r="K1656" s="1549"/>
      <c r="L1656" s="1549"/>
      <c r="M1656" s="2427" t="s">
        <v>5334</v>
      </c>
      <c r="N1656" s="1549"/>
      <c r="O1656" s="1607">
        <f>'Part IX Scoring Criteria'!O8</f>
        <v>0</v>
      </c>
      <c r="P1656" s="1313">
        <f>IF(P1658&lt;2,0,IF(AND(P1658&gt;1,P1658&lt;5),1,IF(P1658&gt;4,P1658-3)))</f>
        <v>0</v>
      </c>
      <c r="Q1656" s="457" t="s">
        <v>5335</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4140</v>
      </c>
      <c r="B1658" s="1738" t="s">
        <v>4141</v>
      </c>
      <c r="C1658" s="457"/>
      <c r="D1658" s="457"/>
      <c r="E1658" s="1738" t="s">
        <v>4168</v>
      </c>
      <c r="F1658" s="1738" t="s">
        <v>4167</v>
      </c>
      <c r="G1658" s="1738"/>
      <c r="H1658" s="1738"/>
      <c r="I1658" s="1738"/>
      <c r="J1658" s="1738"/>
      <c r="K1658" s="1738"/>
      <c r="L1658" s="1738"/>
      <c r="M1658" s="1738"/>
      <c r="N1658" s="1738"/>
      <c r="O1658" s="2429" t="s">
        <v>4802</v>
      </c>
      <c r="P1658" s="1578">
        <f>SUM(P1659:P1668)</f>
        <v>0</v>
      </c>
      <c r="Q1658" s="1550" t="s">
        <v>5336</v>
      </c>
      <c r="R1658" s="1550"/>
      <c r="S1658" s="1550"/>
      <c r="T1658" s="1550"/>
      <c r="U1658" s="1550"/>
      <c r="V1658" s="1550"/>
      <c r="W1658" s="1314"/>
      <c r="X1658" s="1314"/>
    </row>
    <row r="1659" spans="1:24">
      <c r="A1659" s="1673" t="s">
        <v>742</v>
      </c>
      <c r="B1659" s="1053" t="s">
        <v>4142</v>
      </c>
      <c r="C1659" s="1573"/>
      <c r="D1659" s="1573"/>
      <c r="E1659" s="2430" t="str">
        <f>$O$61</f>
        <v>13215002902</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4144</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4145</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4146</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3785</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4894</v>
      </c>
      <c r="B1664" s="1053" t="s">
        <v>4452</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4147</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4148</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4095</v>
      </c>
      <c r="B1667" s="1053" t="s">
        <v>4149</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4096</v>
      </c>
      <c r="B1668" s="1053" t="s">
        <v>4151</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5337</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4797</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33" t="s">
        <v>1986</v>
      </c>
      <c r="C1673" s="1317" t="s">
        <v>4800</v>
      </c>
      <c r="D1673" s="1317"/>
      <c r="E1673" s="1317"/>
      <c r="F1673" s="1578"/>
      <c r="G1673" s="1659"/>
      <c r="H1673" s="1335" t="s">
        <v>3646</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33" t="s">
        <v>1988</v>
      </c>
      <c r="C1674" s="1317" t="s">
        <v>5338</v>
      </c>
      <c r="D1674" s="1317"/>
      <c r="E1674" s="1317"/>
      <c r="F1674" s="1578"/>
      <c r="G1674" s="1659"/>
      <c r="H1674" s="1335" t="s">
        <v>4798</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33" t="s">
        <v>2534</v>
      </c>
      <c r="C1675" s="1317" t="s">
        <v>4799</v>
      </c>
      <c r="D1675" s="1317"/>
      <c r="E1675" s="1317"/>
      <c r="F1675" s="1578"/>
      <c r="G1675" s="1659"/>
      <c r="H1675" s="1335" t="s">
        <v>4803</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5115</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4549</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5010</v>
      </c>
      <c r="B1680" s="1342"/>
      <c r="C1680" s="1342"/>
      <c r="D1680" s="1342"/>
      <c r="E1680" s="1342"/>
      <c r="F1680" s="1639" t="s">
        <v>4139</v>
      </c>
      <c r="G1680" s="1550" t="s">
        <v>5011</v>
      </c>
      <c r="H1680" s="1550"/>
      <c r="I1680" s="1550"/>
      <c r="J1680" s="1639" t="s">
        <v>4139</v>
      </c>
      <c r="K1680" s="1638" t="s">
        <v>4796</v>
      </c>
      <c r="L1680" s="1638"/>
      <c r="M1680" s="1638"/>
      <c r="N1680" s="1638"/>
      <c r="O1680" s="1335" t="s">
        <v>4139</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2904</v>
      </c>
      <c r="K1684" s="1573">
        <v>3</v>
      </c>
      <c r="L1684" s="1573"/>
      <c r="M1684" s="1573"/>
      <c r="N1684" s="1573"/>
      <c r="O1684" s="1583" t="s">
        <v>2904</v>
      </c>
      <c r="P1684" s="1583"/>
      <c r="Q1684" s="1319" t="s">
        <v>5339</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2904</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3586</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3587</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3588</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4.4">
      <c r="A1696" s="2436"/>
      <c r="B1696" s="2437"/>
      <c r="C1696" s="1659"/>
      <c r="D1696" s="1659"/>
      <c r="E1696" s="457"/>
      <c r="F1696" s="1659" t="s">
        <v>4811</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1983</v>
      </c>
      <c r="B1697" s="1723" t="s">
        <v>2625</v>
      </c>
      <c r="C1697" s="1659"/>
      <c r="D1697" s="1659"/>
      <c r="E1697" s="457"/>
      <c r="F1697" s="1659"/>
      <c r="G1697" s="1638"/>
      <c r="H1697" s="1051" t="s">
        <v>5012</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4805</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40" t="s">
        <v>1986</v>
      </c>
      <c r="C1700" s="2441" t="s">
        <v>4806</v>
      </c>
      <c r="D1700" s="457"/>
      <c r="E1700" s="1676"/>
      <c r="F1700" s="1676"/>
      <c r="G1700" s="1676"/>
      <c r="H1700" s="457" t="s">
        <v>4807</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4.4">
      <c r="A1701" s="1620" t="s">
        <v>3343</v>
      </c>
      <c r="B1701" s="2440" t="s">
        <v>1988</v>
      </c>
      <c r="C1701" s="2441" t="s">
        <v>4808</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5340</v>
      </c>
      <c r="C1703" s="1689"/>
      <c r="D1703" s="1689"/>
      <c r="E1703" s="1638"/>
      <c r="F1703" s="1689"/>
      <c r="G1703" s="1689"/>
      <c r="H1703" s="1335" t="s">
        <v>4809</v>
      </c>
      <c r="I1703" s="1335"/>
      <c r="J1703" s="2444" t="s">
        <v>4810</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45"/>
      <c r="B1704" s="2440" t="s">
        <v>1986</v>
      </c>
      <c r="C1704" s="2446">
        <v>0.3</v>
      </c>
      <c r="D1704" s="1053" t="s">
        <v>3649</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40" t="s">
        <v>1988</v>
      </c>
      <c r="C1705" s="1532" t="s">
        <v>3950</v>
      </c>
      <c r="D1705" s="1689"/>
      <c r="E1705" s="2449"/>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4090</v>
      </c>
      <c r="C1709" s="1659"/>
      <c r="D1709" s="1695"/>
      <c r="E1709" s="1659"/>
      <c r="F1709" s="1659"/>
      <c r="G1709" s="1659"/>
      <c r="H1709" s="1659"/>
      <c r="I1709" s="1468" t="s">
        <v>3765</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3850</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5341</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1985</v>
      </c>
      <c r="B1713" s="1317" t="s">
        <v>3839</v>
      </c>
      <c r="C1713" s="1676"/>
      <c r="D1713" s="1724"/>
      <c r="E1713" s="1676"/>
      <c r="F1713" s="2335"/>
      <c r="G1713" s="1676"/>
      <c r="H1713" s="1377" t="s">
        <v>3979</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3750</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The applicant is eligible for the maximum ten (10) total Desirable Activities points. The proposed site is within 1.5 miles of a Walmart Supercenter, Family Doller, Piggly Wiggly, Golden Chopstick resataurant, Vlley Healthcare System (medical care provider), CVS, Dominion Children's Academy, Baker Middle School, Recreation Center, Synovous Bank, Macedonia Christian Ministry and US Post Ofice. There are no undesirables. Please see Tab 28 of the Applcation for the Desirable/Undesirable form and additional information regarding the desirable activities.</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5</v>
      </c>
      <c r="P1719" s="1546">
        <f>IF($J$72="Flexible",MIN($M1719,MAX(P1734,P1740)),IF(AND($J$72="Rural",P1748&gt;0),MIN($M1748,P1748),0))</f>
        <v>0</v>
      </c>
      <c r="Q1719" s="1313" t="s">
        <v>441</v>
      </c>
      <c r="R1719" s="1702" t="s">
        <v>5342</v>
      </c>
      <c r="S1719" s="1702"/>
      <c r="T1719" s="1702"/>
      <c r="U1719" s="1702"/>
      <c r="V1719" s="1659"/>
      <c r="W1719" s="1659"/>
      <c r="X1719" s="1659"/>
    </row>
    <row r="1720" spans="1:24" ht="14.4">
      <c r="A1720" s="2432"/>
      <c r="B1720" s="1317" t="s">
        <v>3953</v>
      </c>
      <c r="C1720" s="1659"/>
      <c r="D1720" s="1695"/>
      <c r="E1720" s="1659"/>
      <c r="F1720" s="1659"/>
      <c r="G1720" s="1659"/>
      <c r="H1720" s="1317" t="s">
        <v>2794</v>
      </c>
      <c r="I1720" s="1204"/>
      <c r="J1720" s="1317" t="str">
        <f>'Part I-Project Information'!$H$105</f>
        <v>Flexible</v>
      </c>
      <c r="K1720" s="1317"/>
      <c r="L1720" s="1659"/>
      <c r="M1720" s="1313"/>
      <c r="N1720" s="1620"/>
      <c r="O1720" s="1703" t="s">
        <v>3595</v>
      </c>
      <c r="P1720" s="1703" t="s">
        <v>3596</v>
      </c>
      <c r="Q1720" s="1313"/>
      <c r="R1720" s="1702"/>
      <c r="S1720" s="1702"/>
      <c r="T1720" s="1702"/>
      <c r="U1720" s="1702"/>
      <c r="V1720" s="1659"/>
      <c r="W1720" s="1659"/>
      <c r="X1720" s="1659"/>
    </row>
    <row r="1721" spans="1:24" ht="14.4">
      <c r="A1721" s="2432"/>
      <c r="B1721" s="1776" t="s">
        <v>1986</v>
      </c>
      <c r="C1721" s="457" t="s">
        <v>4816</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1988</v>
      </c>
      <c r="C1722" s="457" t="s">
        <v>4817</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2534</v>
      </c>
      <c r="C1723" s="457" t="s">
        <v>5343</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32"/>
      <c r="B1724" s="1776" t="s">
        <v>1224</v>
      </c>
      <c r="C1724" s="457" t="s">
        <v>4812</v>
      </c>
      <c r="D1724" s="1724"/>
      <c r="E1724" s="1676"/>
      <c r="F1724" s="1676"/>
      <c r="G1724" s="1676"/>
      <c r="H1724" s="1549"/>
      <c r="I1724" s="1549"/>
      <c r="J1724" s="1317"/>
      <c r="K1724" s="1317"/>
      <c r="L1724" s="1676"/>
      <c r="M1724" s="1676"/>
      <c r="N1724" s="1620"/>
      <c r="O1724" s="1578" t="str">
        <f>'Part IX Scoring Criteria'!O76</f>
        <v>N/a</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3959</v>
      </c>
      <c r="C1726" s="1659"/>
      <c r="D1726" s="1695"/>
      <c r="E1726" s="1659"/>
      <c r="F1726" s="1317" t="s">
        <v>3714</v>
      </c>
      <c r="G1726" s="1317"/>
      <c r="H1726" s="1317"/>
      <c r="I1726" s="1317"/>
      <c r="J1726" s="1317" t="s">
        <v>3715</v>
      </c>
      <c r="K1726" s="1317"/>
      <c r="L1726" s="1317"/>
      <c r="M1726" s="1317"/>
      <c r="N1726" s="1620"/>
      <c r="O1726" s="2450" t="s">
        <v>5344</v>
      </c>
      <c r="P1726" s="2450"/>
      <c r="Q1726" s="1313"/>
      <c r="R1726" s="1702"/>
      <c r="S1726" s="1702"/>
      <c r="T1726" s="1702"/>
      <c r="U1726" s="1702"/>
      <c r="V1726" s="1659"/>
      <c r="W1726" s="1659"/>
      <c r="X1726" s="1659"/>
    </row>
    <row r="1727" spans="1:24" ht="14.4">
      <c r="A1727" s="2432"/>
      <c r="B1727" s="1659"/>
      <c r="C1727" s="1317" t="s">
        <v>3958</v>
      </c>
      <c r="D1727" s="1394"/>
      <c r="E1727" s="1393"/>
      <c r="F1727" s="1706">
        <f>'Part IX Scoring Criteria'!F79</f>
        <v>32.439467</v>
      </c>
      <c r="G1727" s="1706">
        <f>'Part IX Scoring Criteria'!G79</f>
        <v>0</v>
      </c>
      <c r="H1727" s="1706"/>
      <c r="I1727" s="1706"/>
      <c r="J1727" s="1706">
        <f>'Part IX Scoring Criteria'!J79</f>
        <v>-84.940430000000006</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4136</v>
      </c>
      <c r="B1728" s="2451"/>
      <c r="C1728" s="1659"/>
      <c r="D1728" s="457" t="s">
        <v>3960</v>
      </c>
      <c r="E1728" s="1393"/>
      <c r="F1728" s="1706">
        <f>'Part IX Scoring Criteria'!F80</f>
        <v>32.4317481</v>
      </c>
      <c r="G1728" s="1706">
        <f>'Part IX Scoring Criteria'!G80</f>
        <v>0</v>
      </c>
      <c r="H1728" s="1706"/>
      <c r="I1728" s="1706"/>
      <c r="J1728" s="1706">
        <f>'Part IX Scoring Criteria'!J80</f>
        <v>-84.940139700000003</v>
      </c>
      <c r="K1728" s="1706">
        <f>'Part IX Scoring Criteria'!K80</f>
        <v>0</v>
      </c>
      <c r="L1728" s="1706"/>
      <c r="M1728" s="1706"/>
      <c r="N1728" s="1620"/>
      <c r="O1728" s="1707">
        <f>'Part IX Scoring Criteria'!O80</f>
        <v>0.6</v>
      </c>
      <c r="P1728" s="1707"/>
      <c r="Q1728" s="1313"/>
      <c r="R1728" s="1702"/>
      <c r="S1728" s="1702"/>
      <c r="T1728" s="1702"/>
      <c r="U1728" s="1702"/>
      <c r="V1728" s="1659"/>
      <c r="W1728" s="1659"/>
      <c r="X1728" s="1659"/>
    </row>
    <row r="1729" spans="1:24" ht="14.4">
      <c r="A1729" s="2451"/>
      <c r="B1729" s="2451"/>
      <c r="C1729" s="1317" t="s">
        <v>4088</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4087</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2785</v>
      </c>
      <c r="B1732" s="2368"/>
      <c r="C1732" s="1659"/>
      <c r="D1732" s="1695"/>
      <c r="E1732" s="1659"/>
      <c r="F1732" s="1525" t="s">
        <v>5345</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3743</v>
      </c>
      <c r="C1734" s="1659"/>
      <c r="D1734" s="1695"/>
      <c r="E1734" s="1659"/>
      <c r="F1734" s="1549" t="s">
        <v>5346</v>
      </c>
      <c r="G1734" s="1659"/>
      <c r="H1734" s="1659"/>
      <c r="I1734" s="1659"/>
      <c r="J1734" s="1659"/>
      <c r="K1734" s="1659"/>
      <c r="L1734" s="1659"/>
      <c r="M1734" s="1313">
        <v>6</v>
      </c>
      <c r="N1734" s="1684" t="s">
        <v>1983</v>
      </c>
      <c r="O1734" s="1546">
        <f>'Part IX Scoring Criteria'!O86</f>
        <v>5</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5347</v>
      </c>
      <c r="D1735" s="1583"/>
      <c r="E1735" s="1583"/>
      <c r="F1735" s="1583"/>
      <c r="G1735" s="1583"/>
      <c r="H1735" s="1583"/>
      <c r="I1735" s="1710" t="s">
        <v>5348</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5349</v>
      </c>
      <c r="D1736" s="1604"/>
      <c r="E1736" s="1604"/>
      <c r="F1736" s="1604"/>
      <c r="G1736" s="1604"/>
      <c r="H1736" s="1578" t="str">
        <f>IF(AND(O1736&gt;0,O1735&gt;0),"Pick A1 or A2!","")</f>
        <v/>
      </c>
      <c r="I1736" s="1710"/>
      <c r="J1736" s="1710"/>
      <c r="K1736" s="1710"/>
      <c r="L1736" s="1710"/>
      <c r="M1736" s="1313">
        <v>4</v>
      </c>
      <c r="N1736" s="1776" t="s">
        <v>1988</v>
      </c>
      <c r="O1736" s="1546">
        <f>'Part IX Scoring Criteria'!O88</f>
        <v>4</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3744</v>
      </c>
      <c r="D1737" s="1604"/>
      <c r="E1737" s="1604"/>
      <c r="F1737" s="1604"/>
      <c r="G1737" s="1711"/>
      <c r="H1737" s="1711"/>
      <c r="I1737" s="1710"/>
      <c r="J1737" s="1710"/>
      <c r="K1737" s="1710"/>
      <c r="L1737" s="1710"/>
      <c r="M1737" s="1313">
        <v>1</v>
      </c>
      <c r="N1737" s="1776" t="s">
        <v>2534</v>
      </c>
      <c r="O1737" s="1546">
        <f>'Part IX Scoring Criteria'!O89</f>
        <v>1</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4086</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3745</v>
      </c>
      <c r="C1740" s="1202"/>
      <c r="D1740" s="1202"/>
      <c r="E1740" s="1202"/>
      <c r="F1740" s="1580" t="s">
        <v>5350</v>
      </c>
      <c r="G1740" s="1711"/>
      <c r="H1740" s="1711"/>
      <c r="I1740" s="1573" t="str">
        <f>'Part IX Scoring Criteria'!I92</f>
        <v>Columbus METRA Transit System</v>
      </c>
      <c r="J1740" s="1573"/>
      <c r="K1740" s="1573"/>
      <c r="L1740" s="1848">
        <f>'Part IX Scoring Criteria'!L92</f>
        <v>7062254673</v>
      </c>
      <c r="M1740" s="1313">
        <v>3</v>
      </c>
      <c r="N1740" s="1620" t="s">
        <v>1985</v>
      </c>
      <c r="O1740" s="1546">
        <f>'Part IX Scoring Criteria'!O92</f>
        <v>0</v>
      </c>
      <c r="P1740" s="1546">
        <f>IF($J$72="Flexible",MIN($M1740,P1743+P1744+P1745),0)</f>
        <v>0</v>
      </c>
      <c r="Q1740" s="2422"/>
      <c r="R1740" s="1528"/>
      <c r="S1740" s="1711"/>
      <c r="T1740" s="1711"/>
      <c r="U1740" s="1711"/>
      <c r="V1740" s="1711"/>
      <c r="W1740" s="1711"/>
      <c r="X1740" s="1711"/>
    </row>
    <row r="1741" spans="1:24" ht="14.4">
      <c r="A1741" s="2432"/>
      <c r="B1741" s="1620" t="s">
        <v>3776</v>
      </c>
      <c r="C1741" s="1335" t="s">
        <v>4815</v>
      </c>
      <c r="D1741" s="1724"/>
      <c r="E1741" s="1676"/>
      <c r="F1741" s="1676"/>
      <c r="G1741" s="1676"/>
      <c r="H1741" s="1549"/>
      <c r="I1741" s="1573"/>
      <c r="J1741" s="1573"/>
      <c r="K1741" s="1573"/>
      <c r="L1741" s="1848"/>
      <c r="M1741" s="1676"/>
      <c r="N1741" s="1620" t="s">
        <v>3776</v>
      </c>
      <c r="O1741" s="1578" t="str">
        <f>'Part IX Scoring Criteria'!O93</f>
        <v>Yes</v>
      </c>
      <c r="P1741" s="1578"/>
      <c r="Q1741" s="1313"/>
      <c r="R1741" s="1528"/>
      <c r="S1741" s="1711"/>
      <c r="T1741" s="1711"/>
      <c r="U1741" s="1711"/>
      <c r="V1741" s="1659"/>
      <c r="W1741" s="1659"/>
      <c r="X1741" s="1659"/>
    </row>
    <row r="1742" spans="1:24" ht="15" customHeight="1">
      <c r="A1742" s="2432"/>
      <c r="B1742" s="1620" t="s">
        <v>3777</v>
      </c>
      <c r="C1742" s="1335" t="s">
        <v>4814</v>
      </c>
      <c r="D1742" s="1724"/>
      <c r="E1742" s="1676"/>
      <c r="F1742" s="1676"/>
      <c r="G1742" s="1676"/>
      <c r="H1742" s="1549"/>
      <c r="I1742" s="1573" t="str">
        <f>'Part IX Scoring Criteria'!I94</f>
        <v>metrainfo@columbusga.org</v>
      </c>
      <c r="J1742" s="1573"/>
      <c r="K1742" s="1573"/>
      <c r="L1742" s="1573"/>
      <c r="M1742" s="1676"/>
      <c r="N1742" s="1620" t="s">
        <v>3777</v>
      </c>
      <c r="O1742" s="1578" t="str">
        <f>'Part IX Scoring Criteria'!O94</f>
        <v>Yes</v>
      </c>
      <c r="P1742" s="1578"/>
      <c r="Q1742" s="1313"/>
      <c r="R1742" s="1528"/>
      <c r="S1742" s="1711"/>
      <c r="T1742" s="1711"/>
      <c r="U1742" s="1711"/>
      <c r="V1742" s="1659"/>
      <c r="W1742" s="1659"/>
      <c r="X1742" s="1659"/>
    </row>
    <row r="1743" spans="1:24" ht="15" customHeight="1">
      <c r="A1743" s="1511"/>
      <c r="B1743" s="2453" t="s">
        <v>1986</v>
      </c>
      <c r="C1743" s="1550" t="s">
        <v>5351</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5352</v>
      </c>
      <c r="D1744" s="1550"/>
      <c r="E1744" s="1550"/>
      <c r="F1744" s="1550"/>
      <c r="G1744" s="1550"/>
      <c r="H1744" s="1550"/>
      <c r="I1744" s="1573" t="str">
        <f>'Part IX Scoring Criteria'!I96</f>
        <v>https://www.columbusga.gov/Metra/routes/Route02.pdf
https://www.columbusga.gov/Metra/routes/Route04.pdf
https://www.columbusga.gov/Metra/routes/Route07.pdf</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5353</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https://www.columbusga.gov/Metra/routes/Route02.pdf
https://www.columbusga.gov/Metra/routes/Route04.pdf
https://www.columbusga.gov/Metra/routes/Route07.pdf</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5354</v>
      </c>
      <c r="D1748" s="1721"/>
      <c r="E1748" s="1721"/>
      <c r="F1748" s="1721"/>
      <c r="G1748" s="1721"/>
      <c r="H1748" s="1721"/>
      <c r="I1748" s="1317"/>
      <c r="J1748" s="1317"/>
      <c r="K1748" s="1317"/>
      <c r="L1748" s="1317"/>
      <c r="M1748" s="1313">
        <v>2</v>
      </c>
      <c r="N1748" s="1776" t="s">
        <v>1224</v>
      </c>
      <c r="O1748" s="1546">
        <f>'Part IX Scoring Criteria'!O100</f>
        <v>0</v>
      </c>
      <c r="P1748" s="1546"/>
      <c r="Q1748" s="2411" t="str">
        <f>IF(OR($O1748=$M1748,$O1748=0,$O1748=""),"","*CHECK!*")</f>
        <v/>
      </c>
      <c r="R1748" s="1528" t="s">
        <v>2706</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5355</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3977</v>
      </c>
      <c r="C1755" s="1659"/>
      <c r="D1755" s="457"/>
      <c r="E1755" s="457"/>
      <c r="F1755" s="1313"/>
      <c r="G1755" s="1313"/>
      <c r="H1755" s="1313"/>
      <c r="I1755" s="1525" t="s">
        <v>5345</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3978</v>
      </c>
      <c r="C1757" s="1676"/>
      <c r="D1757" s="1724"/>
      <c r="E1757" s="457" t="s">
        <v>4092</v>
      </c>
      <c r="F1757" s="1676"/>
      <c r="G1757" s="1524"/>
      <c r="H1757" s="1676"/>
      <c r="I1757" s="1620" t="s">
        <v>4086</v>
      </c>
      <c r="J1757" s="1524" t="str">
        <f>'Part I-Project Information'!$H$82</f>
        <v>Family</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4.4">
      <c r="A1758" s="1314"/>
      <c r="B1758" s="1051" t="s">
        <v>4610</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1986</v>
      </c>
      <c r="C1759" s="457" t="s">
        <v>5116</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4.4">
      <c r="A1760" s="1314"/>
      <c r="B1760" s="2455" t="s">
        <v>1988</v>
      </c>
      <c r="C1760" s="457" t="s">
        <v>5117</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
      <c r="A1761" s="1620"/>
      <c r="B1761" s="2455" t="s">
        <v>2534</v>
      </c>
      <c r="C1761" s="457" t="s">
        <v>4819</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3981</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
      <c r="A1764" s="1511"/>
      <c r="B1764" s="1727"/>
      <c r="C1764" s="457" t="s">
        <v>3982</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20.399999999999999">
      <c r="A1765" s="1511"/>
      <c r="B1765" s="1727"/>
      <c r="C1765" s="457" t="s">
        <v>4569</v>
      </c>
      <c r="D1765" s="1335" t="s">
        <v>4821</v>
      </c>
      <c r="E1765" s="1676"/>
      <c r="F1765" s="457"/>
      <c r="G1765" s="457"/>
      <c r="H1765" s="1468" t="str">
        <f>'Part IX Scoring Criteria'!H117</f>
        <v xml:space="preserve">MercyMed of Columbus </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3985</v>
      </c>
      <c r="D1766" s="1676"/>
      <c r="E1766" s="457"/>
      <c r="F1766" s="457"/>
      <c r="G1766" s="457"/>
      <c r="H1766" s="1676"/>
      <c r="I1766" s="1676"/>
      <c r="J1766" s="1676"/>
      <c r="K1766" s="1676"/>
      <c r="L1766" s="1676"/>
      <c r="M1766" s="1313"/>
      <c r="N1766" s="1627" t="s">
        <v>3776</v>
      </c>
      <c r="O1766" s="1578" t="str">
        <f>'Part IX Scoring Criteria'!O118</f>
        <v>Yes</v>
      </c>
      <c r="P1766" s="1578"/>
      <c r="Q1766" s="2423"/>
      <c r="R1766" s="2423"/>
      <c r="S1766" s="2423"/>
      <c r="T1766" s="2423"/>
      <c r="U1766" s="1676"/>
      <c r="V1766" s="1676"/>
      <c r="W1766" s="1676"/>
      <c r="X1766" s="1676"/>
    </row>
    <row r="1767" spans="1:24" ht="18">
      <c r="A1767" s="1620"/>
      <c r="B1767" s="1776"/>
      <c r="C1767" s="457" t="s">
        <v>3986</v>
      </c>
      <c r="D1767" s="457"/>
      <c r="E1767" s="457"/>
      <c r="F1767" s="457"/>
      <c r="G1767" s="457"/>
      <c r="H1767" s="457"/>
      <c r="I1767" s="457"/>
      <c r="J1767" s="457"/>
      <c r="K1767" s="457"/>
      <c r="L1767" s="457"/>
      <c r="M1767" s="1578"/>
      <c r="N1767" s="1620" t="s">
        <v>3777</v>
      </c>
      <c r="O1767" s="1578" t="str">
        <f>'Part IX Scoring Criteria'!O119</f>
        <v>Yes</v>
      </c>
      <c r="P1767" s="1578"/>
      <c r="Q1767" s="2423"/>
      <c r="R1767" s="2423"/>
      <c r="S1767" s="2423"/>
      <c r="T1767" s="2423"/>
      <c r="U1767" s="457"/>
      <c r="V1767" s="457"/>
      <c r="W1767" s="457"/>
      <c r="X1767" s="457"/>
    </row>
    <row r="1768" spans="1:24">
      <c r="A1768" s="1620"/>
      <c r="B1768" s="1051"/>
      <c r="C1768" s="1051" t="s">
        <v>4120</v>
      </c>
      <c r="D1768" s="1051"/>
      <c r="E1768" s="457"/>
      <c r="F1768" s="457"/>
      <c r="G1768" s="457"/>
      <c r="H1768" s="1051"/>
      <c r="I1768" s="1051"/>
      <c r="J1768" s="1051"/>
      <c r="K1768" s="1051"/>
      <c r="L1768" s="1638" t="s">
        <v>3813</v>
      </c>
      <c r="M1768" s="1638"/>
      <c r="N1768" s="1638"/>
      <c r="O1768" s="1638" t="s">
        <v>3812</v>
      </c>
      <c r="P1768" s="1638"/>
      <c r="Q1768" s="457"/>
      <c r="R1768" s="1051"/>
      <c r="S1768" s="1051"/>
      <c r="T1768" s="1051"/>
      <c r="U1768" s="1051"/>
      <c r="V1768" s="1051"/>
      <c r="W1768" s="1051"/>
      <c r="X1768" s="1051"/>
    </row>
    <row r="1769" spans="1:24" ht="51">
      <c r="A1769" s="1620"/>
      <c r="B1769" s="1620"/>
      <c r="C1769" s="1583" t="str">
        <f>'Part IX Scoring Criteria'!C121</f>
        <v xml:space="preserve">Wellness and preventive health care education and information </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61.2">
      <c r="A1770" s="1620"/>
      <c r="B1770" s="1627"/>
      <c r="C1770" s="1583" t="str">
        <f>'Part IX Scoring Criteria'!C122</f>
        <v xml:space="preserve">Basic screening for diseases such as high blood pressure or diabetes </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61.2">
      <c r="A1771" s="1620"/>
      <c r="B1771" s="1620"/>
      <c r="C1771" s="1583" t="str">
        <f>'Part IX Scoring Criteria'!C123</f>
        <v>Assess future disease risk factors such as high cholesterol and obesity</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20.399999999999999">
      <c r="A1772" s="1620"/>
      <c r="B1772" s="1620"/>
      <c r="C1772" s="1583" t="str">
        <f>'Part IX Scoring Criteria'!C124</f>
        <v xml:space="preserve">Biometric Screening </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monthly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4570</v>
      </c>
      <c r="D1773" s="457" t="s">
        <v>3987</v>
      </c>
      <c r="E1773" s="457"/>
      <c r="F1773" s="457"/>
      <c r="G1773" s="457"/>
      <c r="H1773" s="1676"/>
      <c r="I1773" s="1676"/>
      <c r="J1773" s="1676"/>
      <c r="K1773" s="1676"/>
      <c r="L1773" s="1676"/>
      <c r="M1773" s="1676"/>
      <c r="N1773" s="1627" t="s">
        <v>3776</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3988</v>
      </c>
      <c r="E1774" s="457"/>
      <c r="F1774" s="457"/>
      <c r="G1774" s="457"/>
      <c r="H1774" s="1676"/>
      <c r="I1774" s="1676"/>
      <c r="J1774" s="1676"/>
      <c r="K1774" s="1676"/>
      <c r="L1774" s="1676"/>
      <c r="M1774" s="1313"/>
      <c r="N1774" s="1620" t="s">
        <v>3777</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4820</v>
      </c>
      <c r="E1775" s="457"/>
      <c r="F1775" s="457"/>
      <c r="G1775" s="457"/>
      <c r="H1775" s="457"/>
      <c r="I1775" s="457"/>
      <c r="J1775" s="457"/>
      <c r="K1775" s="457"/>
      <c r="L1775" s="457"/>
      <c r="M1775" s="1578"/>
      <c r="N1775" s="1620" t="s">
        <v>3778</v>
      </c>
      <c r="O1775" s="457"/>
      <c r="P1775" s="457"/>
      <c r="Q1775" s="457"/>
      <c r="R1775" s="1051"/>
      <c r="S1775" s="1051"/>
      <c r="T1775" s="1051"/>
      <c r="U1775" s="1051"/>
      <c r="V1775" s="457"/>
      <c r="W1775" s="457"/>
      <c r="X1775" s="457"/>
    </row>
    <row r="1776" spans="1:24">
      <c r="A1776" s="1620"/>
      <c r="B1776" s="1620"/>
      <c r="C1776" s="1051"/>
      <c r="D1776" s="1620"/>
      <c r="E1776" s="1524" t="s">
        <v>4152</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4475</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4154</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4607</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4608</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4609</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4822</v>
      </c>
      <c r="E1783" s="457"/>
      <c r="F1783" s="457"/>
      <c r="G1783" s="457"/>
      <c r="H1783" s="1676"/>
      <c r="I1783" s="1676"/>
      <c r="J1783" s="1676"/>
      <c r="K1783" s="1676"/>
      <c r="L1783" s="1676"/>
      <c r="M1783" s="1313"/>
      <c r="N1783" s="1620" t="s">
        <v>3780</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3814</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
      <c r="A1786" s="1620"/>
      <c r="B1786" s="457"/>
      <c r="C1786" s="457" t="s">
        <v>3989</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5356</v>
      </c>
      <c r="D1787" s="1583"/>
      <c r="E1787" s="1583"/>
      <c r="F1787" s="1643"/>
      <c r="G1787" s="1524" t="s">
        <v>3990</v>
      </c>
      <c r="H1787" s="457"/>
      <c r="I1787" s="1643"/>
      <c r="J1787" s="1643"/>
      <c r="K1787" s="1643"/>
      <c r="L1787" s="1643"/>
      <c r="M1787" s="1620" t="s">
        <v>2435</v>
      </c>
      <c r="N1787" s="1620" t="s">
        <v>3776</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3991</v>
      </c>
      <c r="H1788" s="457"/>
      <c r="I1788" s="1643"/>
      <c r="J1788" s="1643"/>
      <c r="K1788" s="1643"/>
      <c r="L1788" s="1643"/>
      <c r="M1788" s="1578"/>
      <c r="N1788" s="1627" t="s">
        <v>3777</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3992</v>
      </c>
      <c r="H1789" s="457"/>
      <c r="I1789" s="1643"/>
      <c r="J1789" s="1643"/>
      <c r="K1789" s="1643"/>
      <c r="L1789" s="1643"/>
      <c r="M1789" s="1578"/>
      <c r="N1789" s="1620" t="s">
        <v>3778</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3993</v>
      </c>
      <c r="H1790" s="457"/>
      <c r="I1790" s="1643"/>
      <c r="J1790" s="1643"/>
      <c r="K1790" s="1643"/>
      <c r="L1790" s="1643"/>
      <c r="M1790" s="1578"/>
      <c r="N1790" s="1620" t="s">
        <v>3780</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3994</v>
      </c>
      <c r="H1791" s="457"/>
      <c r="I1791" s="1643"/>
      <c r="J1791" s="1643"/>
      <c r="K1791" s="1643"/>
      <c r="L1791" s="1643"/>
      <c r="M1791" s="1578"/>
      <c r="N1791" s="1627" t="s">
        <v>3781</v>
      </c>
      <c r="O1791" s="1578" t="str">
        <f>'Part IX Scoring Criteria'!O143</f>
        <v>Yes</v>
      </c>
      <c r="P1791" s="1578"/>
      <c r="Q1791" s="457"/>
      <c r="R1791" s="457"/>
      <c r="S1791" s="457"/>
      <c r="T1791" s="457"/>
      <c r="U1791" s="457"/>
      <c r="V1791" s="457"/>
      <c r="W1791" s="457"/>
      <c r="X1791" s="457"/>
    </row>
    <row r="1792" spans="1:24">
      <c r="A1792" s="1620"/>
      <c r="B1792" s="1727"/>
      <c r="C1792" s="1524" t="s">
        <v>5357</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3828</v>
      </c>
      <c r="D1793" s="1051"/>
      <c r="E1793" s="457"/>
      <c r="F1793" s="457"/>
      <c r="G1793" s="1051" t="s">
        <v>4125</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81.599999999999994">
      <c r="A1794" s="1051"/>
      <c r="B1794" s="1620"/>
      <c r="C1794" s="1583" t="str">
        <f>'Part IX Scoring Criteria'!C146</f>
        <v xml:space="preserve">Healthy Eating Program </v>
      </c>
      <c r="D1794" s="1583">
        <f>'Part IX Scoring Criteria'!D146</f>
        <v>0</v>
      </c>
      <c r="E1794" s="1583">
        <f>'Part IX Scoring Criteria'!E146</f>
        <v>0</v>
      </c>
      <c r="F1794" s="1583">
        <f>'Part IX Scoring Criteria'!F146</f>
        <v>0</v>
      </c>
      <c r="G1794" s="1583" t="str">
        <f>'Part IX Scoring Criteria'!G146</f>
        <v>Food preparation and cooking demonstrations in the on-site community room and kitchen</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81.599999999999994">
      <c r="A1795" s="1620"/>
      <c r="B1795" s="1627"/>
      <c r="C1795" s="1583" t="str">
        <f>'Part IX Scoring Criteria'!C147</f>
        <v>Healthy Lifestyle Program</v>
      </c>
      <c r="D1795" s="1583">
        <f>'Part IX Scoring Criteria'!D147</f>
        <v>0</v>
      </c>
      <c r="E1795" s="1583">
        <f>'Part IX Scoring Criteria'!E147</f>
        <v>0</v>
      </c>
      <c r="F1795" s="1583">
        <f>'Part IX Scoring Criteria'!F147</f>
        <v>0</v>
      </c>
      <c r="G1795" s="1583" t="str">
        <f>'Part IX Scoring Criteria'!G147</f>
        <v xml:space="preserve">Healthy activity implementation encouraging residents to make use of the on-site fitness center </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4159</v>
      </c>
      <c r="B1796" s="1468"/>
      <c r="C1796" s="1583" t="str">
        <f>'Part IX Scoring Criteria'!C148</f>
        <v>Ongoing online content</v>
      </c>
      <c r="D1796" s="1583">
        <f>'Part IX Scoring Criteria'!D148</f>
        <v>0</v>
      </c>
      <c r="E1796" s="1583">
        <f>'Part IX Scoring Criteria'!E148</f>
        <v>0</v>
      </c>
      <c r="F1796" s="1583">
        <f>'Part IX Scoring Criteria'!F148</f>
        <v>0</v>
      </c>
      <c r="G1796" s="1583" t="str">
        <f>'Part IX Scoring Criteria'!G148</f>
        <v>Fairway Management presents content via the lifestyle section of its website: www.fairwaymanagement.com/lifestyle</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51">
      <c r="A1797" s="1468"/>
      <c r="B1797" s="1468"/>
      <c r="C1797" s="1583" t="str">
        <f>'Part IX Scoring Criteria'!C149</f>
        <v xml:space="preserve">Weight Management </v>
      </c>
      <c r="D1797" s="1583">
        <f>'Part IX Scoring Criteria'!D149</f>
        <v>0</v>
      </c>
      <c r="E1797" s="1583">
        <f>'Part IX Scoring Criteria'!E149</f>
        <v>0</v>
      </c>
      <c r="F1797" s="1583">
        <f>'Part IX Scoring Criteria'!F149</f>
        <v>0</v>
      </c>
      <c r="G1797" s="1583" t="str">
        <f>'Part IX Scoring Criteria'!G149</f>
        <v xml:space="preserve">Healthy eating encouraging use of community gardens </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3961</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3998</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4.4">
      <c r="A1804" s="1659"/>
      <c r="B1804" s="1524" t="s">
        <v>3823</v>
      </c>
      <c r="C1804" s="1647"/>
      <c r="D1804" s="1647"/>
      <c r="E1804" s="1647"/>
      <c r="F1804" s="1647"/>
      <c r="G1804" s="1647"/>
      <c r="H1804" s="1647"/>
      <c r="I1804" s="1647"/>
      <c r="J1804" s="1647"/>
      <c r="K1804" s="1647"/>
      <c r="L1804" s="1647"/>
      <c r="M1804" s="1647"/>
      <c r="N1804" s="1647"/>
      <c r="O1804" s="1578">
        <f>'Part IX Scoring Criteria'!O156</f>
        <v>0</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5358</v>
      </c>
      <c r="C1806" s="1583"/>
      <c r="D1806" s="1583"/>
      <c r="E1806" s="457" t="s">
        <v>3820</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4827</v>
      </c>
      <c r="F1807" s="2421"/>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4828</v>
      </c>
      <c r="F1808" s="1578" t="str">
        <f>'Part I-Project Information'!$H$82</f>
        <v>Family</v>
      </c>
      <c r="G1808" s="1659"/>
      <c r="H1808" s="457"/>
      <c r="I1808" s="1582"/>
      <c r="J1808" s="1582"/>
      <c r="K1808" s="1659"/>
      <c r="L1808" s="1659"/>
      <c r="M1808" s="1582"/>
      <c r="N1808" s="1694"/>
      <c r="O1808" s="1550" t="s">
        <v>5359</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4826</v>
      </c>
      <c r="C1810" s="1582"/>
      <c r="D1810" s="1582"/>
      <c r="E1810" s="457"/>
      <c r="F1810" s="1524"/>
      <c r="G1810" s="1524"/>
      <c r="H1810" s="1659"/>
      <c r="I1810" s="1582"/>
      <c r="J1810" s="1582"/>
      <c r="K1810" s="1582"/>
      <c r="L1810" s="1582"/>
      <c r="M1810" s="1389" t="s">
        <v>4825</v>
      </c>
      <c r="N1810" s="1694"/>
      <c r="O1810" s="1550"/>
      <c r="P1810" s="1550"/>
      <c r="Q1810" s="1659"/>
      <c r="R1810" s="1659"/>
      <c r="S1810" s="1659"/>
      <c r="T1810" s="1587" t="s">
        <v>5056</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3818</v>
      </c>
      <c r="I1812" s="1550" t="s">
        <v>3862</v>
      </c>
      <c r="J1812" s="1550"/>
      <c r="K1812" s="1550"/>
      <c r="L1812" s="1389" t="s">
        <v>3817</v>
      </c>
      <c r="M1812" s="1389"/>
      <c r="N1812" s="1389"/>
      <c r="O1812" s="1550"/>
      <c r="P1812" s="1550"/>
      <c r="Q1812" s="1659"/>
      <c r="R1812" s="1721" t="s">
        <v>5023</v>
      </c>
      <c r="S1812" s="1659"/>
      <c r="T1812" s="1587"/>
      <c r="U1812" s="1587" t="s">
        <v>5055</v>
      </c>
      <c r="V1812" s="1659"/>
      <c r="W1812" s="1659"/>
      <c r="X1812" s="1659"/>
    </row>
    <row r="1813" spans="1:24" ht="14.4">
      <c r="A1813" s="1511"/>
      <c r="B1813" s="1735" t="s">
        <v>3815</v>
      </c>
      <c r="C1813" s="1517"/>
      <c r="D1813" s="1335" t="s">
        <v>4574</v>
      </c>
      <c r="E1813" s="1335"/>
      <c r="F1813" s="1335"/>
      <c r="G1813" s="1603" t="s">
        <v>3397</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3997</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0</v>
      </c>
      <c r="V1814" s="1659"/>
      <c r="W1814" s="1659"/>
      <c r="X1814" s="1659"/>
    </row>
    <row r="1815" spans="1:24" ht="15">
      <c r="A1815" s="1659"/>
      <c r="B1815" s="1738" t="s">
        <v>4160</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 t="shared" ref="T1815:T1816" si="380">IF(OR(M1815="Yes",O1815="Yes"),1,0)</f>
        <v>0</v>
      </c>
      <c r="U1815" s="2390"/>
      <c r="V1815" s="1659"/>
      <c r="W1815" s="1659"/>
      <c r="X1815" s="1659"/>
    </row>
    <row r="1816" spans="1:24" ht="15">
      <c r="A1816" s="1620"/>
      <c r="B1816" s="1738" t="s">
        <v>3995</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 t="shared" si="380"/>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3999</v>
      </c>
      <c r="C1819" s="1676"/>
      <c r="D1819" s="1724"/>
      <c r="E1819" s="1724"/>
      <c r="F1819" s="1525" t="s">
        <v>3390</v>
      </c>
      <c r="G1819" s="1676"/>
      <c r="H1819" s="1524" t="s">
        <v>3863</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4162</v>
      </c>
      <c r="F1820" s="1587" t="s">
        <v>3658</v>
      </c>
      <c r="G1820" s="1493" t="s">
        <v>3398</v>
      </c>
      <c r="H1820" s="1493"/>
      <c r="I1820" s="1493"/>
      <c r="J1820" s="1493"/>
      <c r="K1820" s="1493"/>
      <c r="L1820" s="1493"/>
      <c r="M1820" s="1493"/>
      <c r="N1820" s="1493"/>
      <c r="O1820" s="1051"/>
      <c r="P1820" s="1583"/>
      <c r="Q1820" s="1051"/>
      <c r="R1820" s="457" t="s">
        <v>2832</v>
      </c>
      <c r="S1820" s="457"/>
      <c r="T1820" s="457" t="str">
        <f>'Part I-Project Information'!$F$38</f>
        <v>Columbus</v>
      </c>
      <c r="U1820" s="457"/>
      <c r="V1820" s="457"/>
      <c r="W1820" s="457"/>
      <c r="X1820" s="457"/>
    </row>
    <row r="1821" spans="1:24" ht="12.75" customHeight="1">
      <c r="A1821" s="1620"/>
      <c r="B1821" s="1587" t="s">
        <v>4002</v>
      </c>
      <c r="C1821" s="1587"/>
      <c r="D1821" s="1587"/>
      <c r="E1821" s="1587"/>
      <c r="F1821" s="1587"/>
      <c r="G1821" s="1583" t="s">
        <v>4001</v>
      </c>
      <c r="H1821" s="1583"/>
      <c r="I1821" s="1583"/>
      <c r="J1821" s="1583"/>
      <c r="K1821" s="1583"/>
      <c r="L1821" s="1583"/>
      <c r="M1821" s="1583"/>
      <c r="N1821" s="1583"/>
      <c r="O1821" s="1587" t="s">
        <v>3659</v>
      </c>
      <c r="P1821" s="1587"/>
      <c r="Q1821" s="1051"/>
      <c r="R1821" s="457" t="s">
        <v>2833</v>
      </c>
      <c r="S1821" s="457"/>
      <c r="T1821" s="457" t="str">
        <f>'Part I-Project Information'!$J$39</f>
        <v>Muscogee</v>
      </c>
      <c r="U1821" s="457"/>
      <c r="V1821" s="457"/>
      <c r="W1821" s="457"/>
      <c r="X1821" s="457"/>
    </row>
    <row r="1822" spans="1:24">
      <c r="A1822" s="1620"/>
      <c r="B1822" s="457" t="s">
        <v>3824</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2834</v>
      </c>
      <c r="S1822" s="457"/>
      <c r="T1822" s="457" t="str">
        <f>'Part I-Project Information'!$O$40</f>
        <v>Columbus</v>
      </c>
      <c r="U1822" s="457"/>
      <c r="V1822" s="457"/>
      <c r="W1822" s="457"/>
      <c r="X1822" s="457"/>
    </row>
    <row r="1823" spans="1:24" ht="12.75" customHeight="1">
      <c r="A1823" s="1620"/>
      <c r="B1823" s="1550" t="s">
        <v>4000</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3856</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3857</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3624</v>
      </c>
      <c r="S1825" s="457"/>
      <c r="T1825" s="457" t="str">
        <f>'Part I-Project Information'!$K$40</f>
        <v>Urban</v>
      </c>
      <c r="U1825" s="457"/>
      <c r="V1825" s="457"/>
      <c r="W1825" s="457"/>
      <c r="X1825" s="457"/>
    </row>
    <row r="1826" spans="1:24">
      <c r="A1826" s="1738"/>
      <c r="B1826" s="1647" t="s">
        <v>3623</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4161</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4003</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3878</v>
      </c>
      <c r="D1830" s="1734"/>
      <c r="E1830" s="1734"/>
      <c r="F1830" s="1734"/>
      <c r="G1830" s="1647"/>
      <c r="H1830" s="1051"/>
      <c r="I1830" s="2403">
        <f>'Part IX Scoring Criteria'!I182</f>
        <v>0</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3750</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799999999999997">
      <c r="A1833" s="1583" t="str">
        <f>'Part IX Scoring Criteria'!A185</f>
        <v>Applicant is not claiming points in this category.</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4009</v>
      </c>
      <c r="C1837" s="1676"/>
      <c r="D1837" s="1549"/>
      <c r="E1837" s="1549"/>
      <c r="F1837" s="1676"/>
      <c r="G1837" s="1676"/>
      <c r="H1837" s="1676"/>
      <c r="I1837" s="1760"/>
      <c r="J1837" s="1760"/>
      <c r="K1837" s="1578"/>
      <c r="L1837" s="1578"/>
      <c r="M1837" s="1313">
        <v>7</v>
      </c>
      <c r="N1837" s="1313"/>
      <c r="O1837" s="1546">
        <f>'Part IX Scoring Criteria'!O189</f>
        <v>7</v>
      </c>
      <c r="P1837" s="1546">
        <f>IF(OR(P$153&gt;0,P$277&gt;0),0,MIN($M$189,P1853+P1858))</f>
        <v>0</v>
      </c>
      <c r="Q1837" s="1313" t="s">
        <v>441</v>
      </c>
      <c r="R1837" s="1721" t="s">
        <v>4835</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4835</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5118</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4941</v>
      </c>
      <c r="D1841" s="1583"/>
      <c r="E1841" s="1583"/>
      <c r="F1841" s="1583"/>
      <c r="G1841" s="1583"/>
      <c r="H1841" s="1583"/>
      <c r="I1841" s="1583"/>
      <c r="J1841" s="1627" t="s">
        <v>2435</v>
      </c>
      <c r="K1841" s="1578" t="str">
        <f>'Part IX Scoring Criteria'!K193</f>
        <v>Yes</v>
      </c>
      <c r="L1841" s="1578"/>
      <c r="M1841" s="1851" t="str">
        <f>'Part IX Scoring Criteria'!M193</f>
        <v>3,4 and 13-15</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5360</v>
      </c>
      <c r="D1843" s="1550"/>
      <c r="E1843" s="1550"/>
      <c r="F1843" s="1550"/>
      <c r="G1843" s="1550"/>
      <c r="H1843" s="1676"/>
      <c r="I1843" s="1676"/>
      <c r="J1843" s="1620" t="s">
        <v>2436</v>
      </c>
      <c r="K1843" s="1578" t="str">
        <f>'Part IX Scoring Criteria'!K195</f>
        <v>Yes</v>
      </c>
      <c r="L1843" s="1578"/>
      <c r="M1843" s="1851" t="str">
        <f>'Part IX Scoring Criteria'!M195</f>
        <v>Page 2 of the Resolution</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4830</v>
      </c>
      <c r="D1844" s="457"/>
      <c r="E1844" s="457"/>
      <c r="F1844" s="457"/>
      <c r="G1844" s="457"/>
      <c r="H1844" s="457"/>
      <c r="I1844" s="1314"/>
      <c r="J1844" s="1620" t="s">
        <v>2437</v>
      </c>
      <c r="K1844" s="1578" t="str">
        <f>'Part IX Scoring Criteria'!K196</f>
        <v>Yes</v>
      </c>
      <c r="L1844" s="1578"/>
      <c r="M1844" s="1851" t="str">
        <f>'Part IX Scoring Criteria'!M196</f>
        <v>16-29</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4831</v>
      </c>
      <c r="D1845" s="457"/>
      <c r="E1845" s="457"/>
      <c r="F1845" s="457"/>
      <c r="G1845" s="457"/>
      <c r="H1845" s="457"/>
      <c r="I1845" s="1314"/>
      <c r="J1845" s="1620" t="s">
        <v>2439</v>
      </c>
      <c r="K1845" s="1578" t="str">
        <f>'Part IX Scoring Criteria'!K197</f>
        <v>Yes</v>
      </c>
      <c r="L1845" s="1578"/>
      <c r="M1845" s="1851" t="str">
        <f>'Part IX Scoring Criteria'!M197</f>
        <v>14 and 29-30</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4833</v>
      </c>
      <c r="D1846" s="457"/>
      <c r="E1846" s="457"/>
      <c r="F1846" s="457"/>
      <c r="G1846" s="457"/>
      <c r="H1846" s="457"/>
      <c r="I1846" s="1314"/>
      <c r="J1846" s="1620" t="s">
        <v>2438</v>
      </c>
      <c r="K1846" s="1578" t="str">
        <f>'Part IX Scoring Criteria'!K198</f>
        <v>Yes</v>
      </c>
      <c r="L1846" s="1578"/>
      <c r="M1846" s="1851" t="str">
        <f>'Part IX Scoring Criteria'!M198</f>
        <v>30, 45-47</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4832</v>
      </c>
      <c r="D1847" s="457"/>
      <c r="E1847" s="457"/>
      <c r="F1847" s="457"/>
      <c r="G1847" s="457"/>
      <c r="H1847" s="1314"/>
      <c r="I1847" s="1314"/>
      <c r="J1847" s="1620" t="s">
        <v>2455</v>
      </c>
      <c r="K1847" s="1578" t="str">
        <f>'Part IX Scoring Criteria'!K199</f>
        <v>Yes</v>
      </c>
      <c r="L1847" s="1578"/>
      <c r="M1847" s="1851" t="str">
        <f>'Part IX Scoring Criteria'!M199</f>
        <v>30, 45-47</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4939</v>
      </c>
      <c r="D1848" s="1550"/>
      <c r="E1848" s="1550"/>
      <c r="F1848" s="1550"/>
      <c r="G1848" s="1550"/>
      <c r="H1848" s="1550"/>
      <c r="I1848" s="1550"/>
      <c r="J1848" s="1620" t="s">
        <v>2456</v>
      </c>
      <c r="K1848" s="1578" t="str">
        <f>'Part IX Scoring Criteria'!K200</f>
        <v>Yes</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4940</v>
      </c>
      <c r="K1849" s="1752">
        <f>'Part IX Scoring Criteria'!K201</f>
        <v>42353</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4836</v>
      </c>
      <c r="D1850" s="1583"/>
      <c r="E1850" s="1583"/>
      <c r="F1850" s="1583"/>
      <c r="G1850" s="1583"/>
      <c r="H1850" s="1583"/>
      <c r="I1850" s="1583"/>
      <c r="J1850" s="1620" t="s">
        <v>2457</v>
      </c>
      <c r="K1850" s="1578" t="str">
        <f>'Part IX Scoring Criteria'!K202</f>
        <v>Agree</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4008</v>
      </c>
      <c r="I1853" s="1051" t="s">
        <v>4834</v>
      </c>
      <c r="M1853" s="1313">
        <v>5</v>
      </c>
      <c r="N1853" s="1620" t="s">
        <v>1983</v>
      </c>
      <c r="O1853" s="1685">
        <f>'Part IX Scoring Criteria'!O205</f>
        <v>5</v>
      </c>
      <c r="P1853" s="1685">
        <f>IF(SUM(P1854:P1855)=$M$207,0,MIN($M$205,SUM(P1854:P1855)))</f>
        <v>0</v>
      </c>
      <c r="Q1853" s="1372"/>
      <c r="X1853" s="1320"/>
    </row>
    <row r="1854" spans="1:24" ht="12.75" customHeight="1">
      <c r="A1854" s="1620"/>
      <c r="B1854" s="2458" t="s">
        <v>1986</v>
      </c>
      <c r="C1854" s="1583" t="s">
        <v>5119</v>
      </c>
      <c r="D1854" s="1583"/>
      <c r="E1854" s="1583"/>
      <c r="F1854" s="1583"/>
      <c r="G1854" s="1583"/>
      <c r="H1854" s="1583"/>
      <c r="I1854" s="1583"/>
      <c r="J1854" s="1583"/>
      <c r="K1854" s="1583"/>
      <c r="L1854" s="1583"/>
      <c r="M1854" s="1631">
        <v>3</v>
      </c>
      <c r="N1854" s="1704" t="s">
        <v>1986</v>
      </c>
      <c r="O1854" s="2410">
        <f>'Part IX Scoring Criteria'!O206</f>
        <v>3</v>
      </c>
      <c r="P1854" s="2410"/>
      <c r="Q1854" s="2443" t="str">
        <f>IF(OR($O1854=$M1854,$O1854=0,$O1854=""),"","*CHECK!*")</f>
        <v/>
      </c>
      <c r="R1854" s="1337" t="s">
        <v>2706</v>
      </c>
    </row>
    <row r="1855" spans="1:24" ht="13.8">
      <c r="A1855" s="1620"/>
      <c r="B1855" s="2458" t="s">
        <v>1988</v>
      </c>
      <c r="C1855" s="1604" t="s">
        <v>5361</v>
      </c>
      <c r="D1855" s="1604"/>
      <c r="E1855" s="1604"/>
      <c r="F1855" s="1604"/>
      <c r="G1855" s="1604"/>
      <c r="H1855" s="1604"/>
      <c r="I1855" s="1604"/>
      <c r="J1855" s="1524" t="s">
        <v>3775</v>
      </c>
      <c r="K1855" s="1314"/>
      <c r="L1855" s="1524" t="str">
        <f>'Part I-Project Information'!$N$39</f>
        <v>Yes</v>
      </c>
      <c r="M1855" s="1578">
        <v>2</v>
      </c>
      <c r="N1855" s="1776" t="s">
        <v>1988</v>
      </c>
      <c r="O1855" s="1546">
        <f>'Part IX Scoring Criteria'!O207</f>
        <v>2</v>
      </c>
      <c r="P1855" s="1546"/>
      <c r="Q1855" s="2411" t="str">
        <f>IF(OR($O1855=$M1855,$O1855=0,$O1855=""),"","*CHECK!*")</f>
        <v/>
      </c>
      <c r="R1855" s="1337" t="s">
        <v>2706</v>
      </c>
    </row>
    <row r="1856" spans="1:24" ht="12.75" customHeight="1">
      <c r="A1856" s="1620"/>
      <c r="B1856" s="2458"/>
      <c r="C1856" s="1550" t="s">
        <v>4926</v>
      </c>
      <c r="D1856" s="1550"/>
      <c r="E1856" s="1550"/>
      <c r="F1856" s="1550"/>
      <c r="G1856" s="1550"/>
      <c r="H1856" s="1550"/>
      <c r="I1856" s="1582"/>
      <c r="J1856" s="1524" t="s">
        <v>3575</v>
      </c>
      <c r="K1856" s="1550"/>
      <c r="L1856" s="1761" t="str">
        <f>'Part I-Project Information'!$O$38</f>
        <v>13215002902</v>
      </c>
      <c r="M1856" s="1761"/>
      <c r="N1856" s="1631"/>
      <c r="O1856" s="1631"/>
      <c r="P1856" s="1631"/>
      <c r="Q1856" s="2411"/>
      <c r="R1856" s="1337"/>
    </row>
    <row r="1857" spans="1:24">
      <c r="A1857" s="1620"/>
      <c r="B1857" s="1647"/>
      <c r="C1857" s="1550"/>
      <c r="D1857" s="1550"/>
      <c r="E1857" s="1550"/>
      <c r="F1857" s="1550"/>
      <c r="G1857" s="1550"/>
      <c r="H1857" s="1550"/>
      <c r="J1857" s="1524" t="s">
        <v>3374</v>
      </c>
      <c r="K1857" s="1314"/>
      <c r="L1857" s="457" t="str">
        <f>'Part IV-A-Uses of Funds'!$H$152</f>
        <v>DDA/QCT</v>
      </c>
      <c r="M1857" s="457"/>
    </row>
    <row r="1858" spans="1:24" ht="13.8">
      <c r="A1858" s="1511" t="s">
        <v>1985</v>
      </c>
      <c r="B1858" s="1317" t="s">
        <v>4837</v>
      </c>
      <c r="D1858" s="1314"/>
      <c r="F1858" s="2459"/>
      <c r="K1858" s="1624"/>
      <c r="L1858" s="2421" t="str">
        <f>IF(OR($O1858=$M1858,$O1858=0,$O1858=""),"","* * Check Score! * *")</f>
        <v/>
      </c>
      <c r="M1858" s="1313">
        <v>2</v>
      </c>
      <c r="N1858" s="1620" t="s">
        <v>1985</v>
      </c>
      <c r="O1858" s="1546">
        <f>'Part IX Scoring Criteria'!O210</f>
        <v>2</v>
      </c>
      <c r="P1858" s="1546"/>
      <c r="Q1858" s="2411" t="str">
        <f>IF(OR($O1858=$M1858,$O1858=0,$O1858=""),"","*CHECK!*")</f>
        <v/>
      </c>
      <c r="R1858" s="1337" t="s">
        <v>2706</v>
      </c>
    </row>
    <row r="1859" spans="1:24" ht="18">
      <c r="A1859" s="1511"/>
      <c r="B1859" s="1676"/>
      <c r="C1859" s="457" t="s">
        <v>2794</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20.399999999999999">
      <c r="A1860" s="1624"/>
      <c r="B1860" s="1696" t="s">
        <v>3776</v>
      </c>
      <c r="C1860" s="457" t="s">
        <v>3853</v>
      </c>
      <c r="D1860" s="1676"/>
      <c r="E1860" s="1676"/>
      <c r="F1860" s="1676"/>
      <c r="G1860" s="1676"/>
      <c r="H1860" s="1676"/>
      <c r="I1860" s="1676"/>
      <c r="J1860" s="1550" t="str">
        <f>'Part IX Scoring Criteria'!J212</f>
        <v xml:space="preserve">Ft. Benning Road Roundabout </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3777</v>
      </c>
      <c r="C1861" s="1524" t="s">
        <v>3854</v>
      </c>
      <c r="D1861" s="1676"/>
      <c r="E1861" s="1676"/>
      <c r="F1861" s="1676"/>
      <c r="G1861" s="1676"/>
      <c r="H1861" s="1676"/>
      <c r="I1861" s="1620" t="str">
        <f>IF($J$213="Government", "Additional documentation required - see QAP.","")</f>
        <v/>
      </c>
      <c r="J1861" s="457" t="str">
        <f>'Part IX Scoring Criteria'!J213</f>
        <v>Other (describe in Justification Box)</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3778</v>
      </c>
      <c r="C1862" s="1524" t="s">
        <v>4842</v>
      </c>
      <c r="D1862" s="1314"/>
      <c r="E1862" s="1314"/>
      <c r="F1862" s="1314"/>
      <c r="G1862" s="1314"/>
      <c r="H1862" s="1314"/>
      <c r="I1862" s="1314"/>
      <c r="J1862" s="1578" t="str">
        <f>'Part IX Scoring Criteria'!J214</f>
        <v>Yes</v>
      </c>
      <c r="K1862" s="1550" t="s">
        <v>4839</v>
      </c>
      <c r="L1862" s="1550"/>
      <c r="M1862" s="1550"/>
      <c r="N1862" s="1550"/>
      <c r="O1862" s="1676"/>
      <c r="P1862" s="1676"/>
      <c r="V1862" s="2423"/>
      <c r="W1862" s="2423"/>
    </row>
    <row r="1863" spans="1:24" ht="18">
      <c r="A1863" s="1562"/>
      <c r="B1863" s="1620" t="s">
        <v>3780</v>
      </c>
      <c r="C1863" s="1524" t="s">
        <v>4838</v>
      </c>
      <c r="D1863" s="1314"/>
      <c r="E1863" s="1314"/>
      <c r="F1863" s="1314"/>
      <c r="G1863" s="1314"/>
      <c r="H1863" s="1314"/>
      <c r="I1863" s="1314"/>
      <c r="J1863" s="1578" t="str">
        <f>'Part IX Scoring Criteria'!J215</f>
        <v>Yes</v>
      </c>
      <c r="K1863" s="1550"/>
      <c r="L1863" s="1550"/>
      <c r="M1863" s="1550"/>
      <c r="N1863" s="1550"/>
      <c r="O1863" s="2460">
        <f>'Part IX Scoring Criteria'!O215</f>
        <v>0.08</v>
      </c>
      <c r="P1863" s="2416" t="s">
        <v>3783</v>
      </c>
      <c r="V1863" s="2423"/>
      <c r="W1863" s="2423"/>
    </row>
    <row r="1864" spans="1:24" ht="18">
      <c r="A1864" s="1562"/>
      <c r="B1864" s="1620" t="s">
        <v>3781</v>
      </c>
      <c r="C1864" s="1524" t="s">
        <v>4841</v>
      </c>
      <c r="D1864" s="1314"/>
      <c r="E1864" s="1314"/>
      <c r="F1864" s="1314"/>
      <c r="G1864" s="1314"/>
      <c r="H1864" s="1314"/>
      <c r="I1864" s="1314"/>
      <c r="J1864" s="1578" t="str">
        <f>'Part IX Scoring Criteria'!J216</f>
        <v>No</v>
      </c>
      <c r="L1864" s="1620" t="s">
        <v>4840</v>
      </c>
      <c r="N1864" s="1620"/>
      <c r="O1864" s="2461">
        <f>'Part IX Scoring Criteria'!O216</f>
        <v>44196</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4166</v>
      </c>
      <c r="B1866" s="1468" t="s">
        <v>4163</v>
      </c>
      <c r="C1866" s="1468"/>
      <c r="D1866" s="1573" t="str">
        <f>'Part IX Scoring Criteria'!D218</f>
        <v xml:space="preserve">Funding for the Ft. Benning Road Roundabout is funded through a stormwater/sewer fund, bond proceeds, 2009 SPLOST Funds and 1999 SPLOST Funds.  </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4164</v>
      </c>
      <c r="C1867" s="1468"/>
      <c r="D1867" s="1573" t="str">
        <f>'Part IX Scoring Criteria'!D219</f>
        <v xml:space="preserve">The redevelopment paln outlines the desired end result of the tax allocation districts, which includes street construction, expansion, streetscape, landscaping, curb and sidewalk expansion and traffic control.  </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4921</v>
      </c>
      <c r="C1868" s="1468"/>
      <c r="D1868" s="1573" t="str">
        <f>'Part IX Scoring Criteria'!D220</f>
        <v xml:space="preserve">The investment will benefit the tenant base by providing ease of access to the site and superior connectivity to the surrounding neighborhood amenities.  </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3453</v>
      </c>
      <c r="G1869" s="457" t="s">
        <v>2629</v>
      </c>
      <c r="H1869" s="457"/>
      <c r="J1869" s="1854">
        <f>'Part IX Scoring Criteria'!J221</f>
        <v>4186038</v>
      </c>
      <c r="K1869" s="1854">
        <f>'Part IX Scoring Criteria'!K221</f>
        <v>0</v>
      </c>
      <c r="L1869" s="1757"/>
      <c r="M1869" s="1757"/>
      <c r="N1869" s="1320"/>
      <c r="O1869" s="1320"/>
      <c r="P1869" s="1320"/>
      <c r="V1869" s="2423"/>
      <c r="W1869" s="2423"/>
    </row>
    <row r="1870" spans="1:24" ht="18">
      <c r="A1870" s="1659"/>
      <c r="B1870" s="1659"/>
      <c r="C1870" s="457" t="s">
        <v>4580</v>
      </c>
      <c r="D1870" s="1582"/>
      <c r="E1870" s="1659"/>
      <c r="F1870" s="1659"/>
      <c r="G1870" s="1757">
        <f>'Part IV-A-Uses of Funds'!$G$132</f>
        <v>14176065</v>
      </c>
      <c r="H1870" s="1757"/>
      <c r="I1870" s="1659"/>
      <c r="J1870" s="1758">
        <f>'Part IX Scoring Criteria'!J222</f>
        <v>0.29528913700663761</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3750</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409.6">
      <c r="A1872" s="1583" t="str">
        <f>'Part IX Scoring Criteria'!A224</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32.  The site is located within a 2019 QCT, as shown on a map in Tab 32.  Finally, the development is within ½ mile of a Third Party Capital Investment for the Ft. Benning Road Roundabout Project.  The Roundabout project was budgeted to cost $4,186,038, which represents 29.5% of the TDC.  Information about the cost of the project and the timeline is included in Tab 32 for reference.   Per an email from Ryan Pruett, Project Engineer with the Columbus Consolidated Government, the Ft. Benning Project was actually expanded to include additional streetscapes and was awarded to Alexander Contracting Co in April, 2018.  The work has begun and is ongoing, but will be complete by 12/31/2020, prior to placed-in-service of the proposed development.  The investment in the road and streetscape is a significant improvement to the infrastructure in the immediate area.  The enhancements will increase walkability, connectivity, pedestrian safety and access to thoroughfares for the tenant base.  </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4012</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4.4">
      <c r="A1877" s="2432"/>
      <c r="B1877" s="1317" t="s">
        <v>4605</v>
      </c>
      <c r="C1877" s="1582"/>
      <c r="D1877" s="1582"/>
      <c r="E1877" s="1582"/>
      <c r="F1877" s="1582"/>
      <c r="G1877" s="1582"/>
      <c r="H1877" s="1582"/>
      <c r="I1877" s="1582"/>
      <c r="J1877" s="1582"/>
      <c r="K1877" s="1611"/>
      <c r="L1877" s="2462" t="str">
        <f>'Part IX Scoring Criteria'!L229</f>
        <v/>
      </c>
      <c r="M1877" s="1313"/>
      <c r="N1877" s="1694"/>
      <c r="O1877" s="1578">
        <f>'Part IX Scoring Criteria'!O229</f>
        <v>0</v>
      </c>
      <c r="P1877" s="1578"/>
      <c r="Q1877" s="1313"/>
      <c r="R1877" s="1337"/>
      <c r="S1877" s="1659"/>
      <c r="T1877" s="1659"/>
      <c r="U1877" s="1659"/>
      <c r="V1877" s="1659"/>
      <c r="W1877" s="1659"/>
      <c r="X1877" s="1659"/>
    </row>
    <row r="1878" spans="1:24" ht="14.4">
      <c r="A1878" s="2432"/>
      <c r="B1878" s="1524" t="s">
        <v>4014</v>
      </c>
      <c r="C1878" s="1582"/>
      <c r="D1878" s="1582"/>
      <c r="E1878" s="1582"/>
      <c r="F1878" s="1582"/>
      <c r="G1878" s="1582"/>
      <c r="H1878" s="1582"/>
      <c r="I1878" s="1582"/>
      <c r="J1878" s="1582"/>
      <c r="K1878" s="1611" t="s">
        <v>3245</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4849</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21"/>
      <c r="S1879" s="1659"/>
      <c r="T1879" s="1659"/>
      <c r="U1879" s="1659"/>
      <c r="V1879" s="1659"/>
      <c r="W1879" s="1659"/>
      <c r="X1879" s="1659"/>
    </row>
    <row r="1880" spans="1:24" ht="18">
      <c r="A1880" s="1511"/>
      <c r="B1880" s="1659"/>
      <c r="C1880" s="1051" t="s">
        <v>4850</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2423"/>
      <c r="S1880" s="2423"/>
      <c r="T1880" s="1659"/>
      <c r="U1880" s="1659"/>
      <c r="V1880" s="1659"/>
      <c r="W1880" s="1659"/>
      <c r="X1880" s="1659"/>
    </row>
    <row r="1881" spans="1:24" ht="18">
      <c r="A1881" s="1659"/>
      <c r="B1881" s="1659"/>
      <c r="C1881" s="1051" t="s">
        <v>4851</v>
      </c>
      <c r="D1881" s="1659"/>
      <c r="E1881" s="1659"/>
      <c r="F1881" s="1659"/>
      <c r="G1881" s="1659"/>
      <c r="H1881" s="1659"/>
      <c r="I1881" s="1659"/>
      <c r="J1881" s="1659"/>
      <c r="K1881" s="1659"/>
      <c r="L1881" s="1659"/>
      <c r="M1881" s="1659"/>
      <c r="N1881" s="1620" t="s">
        <v>2437</v>
      </c>
      <c r="O1881" s="1578">
        <f>'Part IX Scoring Criteria'!O233</f>
        <v>0</v>
      </c>
      <c r="P1881" s="1578"/>
      <c r="Q1881" s="1659"/>
      <c r="R1881" s="2423"/>
      <c r="S1881" s="2423"/>
      <c r="T1881" s="1659"/>
      <c r="U1881" s="1659"/>
      <c r="V1881" s="1659"/>
      <c r="W1881" s="1659"/>
      <c r="X1881" s="1659"/>
    </row>
    <row r="1882" spans="1:24" ht="18">
      <c r="A1882" s="1511"/>
      <c r="B1882" s="1659"/>
      <c r="C1882" s="1051" t="s">
        <v>4018</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
      <c r="A1883" s="1511"/>
      <c r="B1883" s="1659"/>
      <c r="C1883" s="1051" t="s">
        <v>4943</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23"/>
      <c r="S1883" s="2423"/>
      <c r="T1883" s="1659"/>
      <c r="U1883" s="1659"/>
      <c r="V1883" s="1659"/>
      <c r="W1883" s="1659"/>
      <c r="X1883" s="1659"/>
    </row>
    <row r="1884" spans="1:24" ht="18">
      <c r="A1884" s="1511"/>
      <c r="B1884" s="1659"/>
      <c r="C1884" s="1051" t="s">
        <v>4942</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5120</v>
      </c>
      <c r="D1886" s="1314"/>
      <c r="G1886" s="1647" t="s">
        <v>3779</v>
      </c>
      <c r="Q1886" s="1372"/>
    </row>
    <row r="1887" spans="1:24" ht="12.75" customHeight="1">
      <c r="A1887" s="1620"/>
      <c r="B1887" s="457" t="s">
        <v>3858</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5362</v>
      </c>
      <c r="S1887" s="1319"/>
      <c r="T1887" s="1314"/>
      <c r="U1887" s="1314"/>
      <c r="V1887" s="1314"/>
      <c r="W1887" s="1314"/>
      <c r="X1887" s="1314"/>
    </row>
    <row r="1888" spans="1:24" ht="18">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4020</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4582</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23"/>
      <c r="W1891" s="2423"/>
      <c r="X1891" s="1314"/>
    </row>
    <row r="1892" spans="1:24" ht="18.75" customHeight="1">
      <c r="A1892" s="1620"/>
      <c r="B1892" s="1620" t="s">
        <v>2435</v>
      </c>
      <c r="C1892" s="457" t="s">
        <v>4022</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4024</v>
      </c>
      <c r="P1892" s="1468"/>
      <c r="Q1892" s="1604"/>
      <c r="R1892" s="1319"/>
      <c r="S1892" s="1319"/>
      <c r="T1892" s="1314"/>
      <c r="U1892" s="1314"/>
      <c r="V1892" s="2423"/>
      <c r="W1892" s="2423"/>
      <c r="X1892" s="1314"/>
    </row>
    <row r="1893" spans="1:24" ht="18">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2436</v>
      </c>
      <c r="C1894" s="457" t="s">
        <v>4023</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4024</v>
      </c>
      <c r="P1894" s="1468"/>
      <c r="Q1894" s="1604"/>
      <c r="R1894" s="1319"/>
      <c r="S1894" s="1319"/>
      <c r="T1894" s="1314"/>
      <c r="U1894" s="1314"/>
      <c r="V1894" s="2423"/>
      <c r="W1894" s="2423"/>
      <c r="X1894" s="1314"/>
    </row>
    <row r="1895" spans="1:24" ht="18">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1988</v>
      </c>
      <c r="C1896" s="1604" t="s">
        <v>4025</v>
      </c>
      <c r="D1896" s="1604"/>
      <c r="E1896" s="1604"/>
      <c r="F1896" s="1604"/>
      <c r="G1896" s="1647" t="s">
        <v>3779</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4583</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23"/>
      <c r="W1897" s="2423"/>
    </row>
    <row r="1898" spans="1:24" ht="18">
      <c r="A1898" s="1620"/>
      <c r="B1898" s="1620" t="s">
        <v>2435</v>
      </c>
      <c r="C1898" s="1635" t="s">
        <v>4131</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4129</v>
      </c>
      <c r="D1902" s="1582"/>
      <c r="E1902" s="1582"/>
      <c r="F1902" s="1582"/>
      <c r="G1902" s="1582"/>
      <c r="H1902" s="1582"/>
      <c r="I1902" s="1582"/>
      <c r="J1902" s="1582"/>
      <c r="K1902" s="1582"/>
      <c r="L1902" s="1583" t="s">
        <v>4133</v>
      </c>
      <c r="M1902" s="1583"/>
      <c r="N1902" s="1604" t="s">
        <v>4134</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4026</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4030</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23"/>
      <c r="W1907" s="2423"/>
      <c r="X1907" s="1314"/>
    </row>
    <row r="1908" spans="1:24">
      <c r="A1908" s="1511"/>
      <c r="B1908" s="1727" t="s">
        <v>1224</v>
      </c>
      <c r="C1908" s="457" t="s">
        <v>3782</v>
      </c>
      <c r="D1908" s="1314"/>
      <c r="Q1908" s="1313"/>
    </row>
    <row r="1909" spans="1:24" ht="18.75" customHeight="1">
      <c r="A1909" s="1620"/>
      <c r="B1909" s="1760"/>
      <c r="C1909" s="1583" t="s">
        <v>4032</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
      <c r="A1910" s="1620"/>
      <c r="B1910" s="1760"/>
      <c r="C1910" s="1582"/>
      <c r="D1910" s="1582"/>
      <c r="E1910" s="1582"/>
      <c r="F1910" s="1582"/>
      <c r="G1910" s="1635" t="s">
        <v>4944</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4033</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23"/>
      <c r="W1911" s="2423"/>
      <c r="X1911" s="1314"/>
    </row>
    <row r="1912" spans="1:24" ht="18.75" customHeight="1">
      <c r="A1912" s="1620"/>
      <c r="B1912" s="1620" t="s">
        <v>2436</v>
      </c>
      <c r="C1912" s="1550" t="s">
        <v>4843</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23"/>
      <c r="W1912" s="2423"/>
      <c r="X1912" s="1314"/>
    </row>
    <row r="1913" spans="1:24">
      <c r="A1913" s="1511"/>
      <c r="B1913" s="1727" t="s">
        <v>1225</v>
      </c>
      <c r="C1913" s="457" t="s">
        <v>4844</v>
      </c>
      <c r="D1913" s="1314"/>
      <c r="N1913" s="1684" t="s">
        <v>1225</v>
      </c>
      <c r="Q1913" s="1313"/>
    </row>
    <row r="1914" spans="1:24" ht="18.75" customHeight="1">
      <c r="A1914" s="1620"/>
      <c r="B1914" s="1620" t="s">
        <v>2435</v>
      </c>
      <c r="C1914" s="1550" t="s">
        <v>4845</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23"/>
      <c r="W1914" s="2423"/>
      <c r="X1914" s="1314"/>
    </row>
    <row r="1915" spans="1:24" ht="18.75" customHeight="1">
      <c r="A1915" s="1620"/>
      <c r="B1915" s="1620" t="s">
        <v>2436</v>
      </c>
      <c r="C1915" s="1550" t="s">
        <v>4846</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23"/>
      <c r="W1915" s="2423"/>
      <c r="X1915" s="1314"/>
    </row>
    <row r="1916" spans="1:24">
      <c r="A1916" s="1511" t="s">
        <v>1985</v>
      </c>
      <c r="B1916" s="1317" t="s">
        <v>5121</v>
      </c>
      <c r="D1916" s="1314"/>
      <c r="G1916" s="1647" t="s">
        <v>3779</v>
      </c>
      <c r="O1916" s="1578" t="s">
        <v>2510</v>
      </c>
      <c r="P1916" s="1578" t="s">
        <v>2510</v>
      </c>
      <c r="Q1916" s="1372"/>
    </row>
    <row r="1917" spans="1:24" ht="18.75" customHeight="1">
      <c r="B1917" s="2458" t="s">
        <v>1986</v>
      </c>
      <c r="C1917" s="1550" t="s">
        <v>4028</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23"/>
      <c r="W1917" s="2423"/>
    </row>
    <row r="1918" spans="1:24" ht="18">
      <c r="A1918" s="1620"/>
      <c r="B1918" s="2458" t="s">
        <v>1988</v>
      </c>
      <c r="C1918" s="1524" t="s">
        <v>4847</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63"/>
      <c r="W1918" s="2463"/>
      <c r="X1918" s="1314"/>
    </row>
    <row r="1919" spans="1:24" ht="18">
      <c r="A1919" s="1620"/>
      <c r="B1919" s="2458" t="s">
        <v>2534</v>
      </c>
      <c r="C1919" s="1524" t="s">
        <v>4848</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63"/>
      <c r="W1919" s="2463"/>
      <c r="X1919" s="1314"/>
    </row>
    <row r="1920" spans="1:24" ht="14.4">
      <c r="A1920" s="1314"/>
      <c r="B1920" s="1549" t="s">
        <v>3750</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30.6">
      <c r="A1921" s="1573" t="str">
        <f>'Part IX Scoring Criteria'!A273</f>
        <v>Applicant is not claiming points in this category.</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2786</v>
      </c>
      <c r="C1925" s="1676"/>
      <c r="D1925" s="1549"/>
      <c r="E1925" s="1549"/>
      <c r="F1925" s="1676"/>
      <c r="G1925" s="1335" t="s">
        <v>4174</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3599</v>
      </c>
      <c r="B1927" s="1317" t="s">
        <v>4852</v>
      </c>
      <c r="C1927" s="1676"/>
      <c r="D1927" s="1549"/>
      <c r="E1927" s="1549"/>
      <c r="F1927" s="1676"/>
      <c r="G1927" s="1647" t="s">
        <v>4859</v>
      </c>
      <c r="H1927" s="1676"/>
      <c r="J1927" s="1754" t="str">
        <f>'Part I-Project Information'!$O$38</f>
        <v>13215002902</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Flexible</v>
      </c>
      <c r="M1928" s="1626" t="s">
        <v>4853</v>
      </c>
      <c r="N1928" s="1721"/>
      <c r="O1928" s="1626" t="s">
        <v>2510</v>
      </c>
      <c r="P1928" s="1626" t="s">
        <v>2510</v>
      </c>
    </row>
    <row r="1929" spans="1:24" ht="12.75" customHeight="1">
      <c r="A1929" s="2464"/>
      <c r="B1929" s="1727" t="s">
        <v>1986</v>
      </c>
      <c r="C1929" s="1051" t="s">
        <v>2685</v>
      </c>
      <c r="M1929" s="1320"/>
      <c r="N1929" s="1696" t="s">
        <v>1986</v>
      </c>
      <c r="O1929" s="1578">
        <f>'Part IX Scoring Criteria'!O281</f>
        <v>0</v>
      </c>
      <c r="P1929" s="1578"/>
      <c r="Q1929" s="2465" t="str">
        <f>IF(AND(O1929="Yes",O1932="Yes"),"Only 1 or 4 can be 'Yes'!","")</f>
        <v/>
      </c>
      <c r="R1929" s="2465"/>
    </row>
    <row r="1930" spans="1:24" ht="12.75" customHeight="1">
      <c r="B1930" s="1727" t="s">
        <v>1988</v>
      </c>
      <c r="C1930" s="1051" t="s">
        <v>2739</v>
      </c>
      <c r="G1930" s="1051" t="s">
        <v>2389</v>
      </c>
      <c r="H1930" s="2466" t="str">
        <f>'Part IX Scoring Criteria'!H282</f>
        <v>&lt; Select &gt;</v>
      </c>
      <c r="I1930" s="1051" t="s">
        <v>2740</v>
      </c>
      <c r="L1930" s="457" t="s">
        <v>2738</v>
      </c>
      <c r="M1930" s="457" t="str">
        <f>IF(O1930&gt;H1930,"CHECK ACTUAL PERCENT!!!","")</f>
        <v/>
      </c>
      <c r="N1930" s="1696" t="s">
        <v>1988</v>
      </c>
      <c r="O1930" s="2467">
        <f>'Part IX Scoring Criteria'!O282</f>
        <v>0</v>
      </c>
      <c r="P1930" s="1766"/>
      <c r="Q1930" s="2465"/>
      <c r="R1930" s="2465"/>
    </row>
    <row r="1931" spans="1:24" ht="12.75" customHeight="1">
      <c r="B1931" s="1727" t="s">
        <v>2534</v>
      </c>
      <c r="C1931" s="1051" t="s">
        <v>2390</v>
      </c>
      <c r="G1931" s="1051" t="s">
        <v>2391</v>
      </c>
      <c r="J1931" s="1767" t="s">
        <v>5057</v>
      </c>
      <c r="L1931" s="1524" t="s">
        <v>2732</v>
      </c>
      <c r="M1931" s="1314"/>
      <c r="N1931" s="1696" t="s">
        <v>2534</v>
      </c>
      <c r="O1931" s="1578" t="str">
        <f>'Part IX Scoring Criteria'!O283</f>
        <v>&lt;Select&gt;</v>
      </c>
      <c r="P1931" s="1578" t="s">
        <v>201</v>
      </c>
      <c r="Q1931" s="2465"/>
      <c r="R1931" s="2465"/>
    </row>
    <row r="1932" spans="1:24" ht="12.75" customHeight="1">
      <c r="A1932" s="1596"/>
      <c r="B1932" s="2458" t="s">
        <v>1224</v>
      </c>
      <c r="C1932" s="1583" t="s">
        <v>5363</v>
      </c>
      <c r="D1932" s="1583"/>
      <c r="E1932" s="1583"/>
      <c r="F1932" s="1583"/>
      <c r="G1932" s="1583"/>
      <c r="H1932" s="1583"/>
      <c r="I1932" s="1583"/>
      <c r="J1932" s="1767"/>
      <c r="K1932" s="1767" t="s">
        <v>4035</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4091</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4854</v>
      </c>
      <c r="C1936" s="1051"/>
      <c r="G1936" s="1051" t="s">
        <v>4855</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1986</v>
      </c>
      <c r="C1937" s="457" t="s">
        <v>5052</v>
      </c>
      <c r="D1937" s="457"/>
      <c r="G1937" s="457" t="s">
        <v>4856</v>
      </c>
      <c r="H1937" s="1550"/>
      <c r="I1937" s="1550"/>
      <c r="J1937" s="1314"/>
      <c r="K1937" s="1314"/>
      <c r="L1937" s="1314"/>
      <c r="M1937" s="1314"/>
      <c r="N1937" s="1696" t="s">
        <v>1986</v>
      </c>
      <c r="O1937" s="2471">
        <f>'Part IX Scoring Criteria'!O289</f>
        <v>0</v>
      </c>
      <c r="P1937" s="1692"/>
    </row>
    <row r="1938" spans="1:24">
      <c r="A1938" s="1204"/>
      <c r="B1938" s="1727" t="s">
        <v>1988</v>
      </c>
      <c r="C1938" s="457" t="s">
        <v>5053</v>
      </c>
      <c r="D1938" s="457"/>
      <c r="G1938" s="457" t="s">
        <v>4857</v>
      </c>
      <c r="H1938" s="1550"/>
      <c r="I1938" s="1550"/>
      <c r="J1938" s="1314"/>
      <c r="K1938" s="1314"/>
      <c r="L1938" s="1314"/>
      <c r="M1938" s="1314"/>
      <c r="N1938" s="1696" t="s">
        <v>1988</v>
      </c>
      <c r="O1938" s="2471">
        <f>'Part IX Scoring Criteria'!O290</f>
        <v>0</v>
      </c>
      <c r="P1938" s="1692"/>
      <c r="R1938" s="638" t="s">
        <v>5063</v>
      </c>
    </row>
    <row r="1939" spans="1:24">
      <c r="A1939" s="1204"/>
      <c r="B1939" s="1727" t="s">
        <v>2534</v>
      </c>
      <c r="C1939" s="457" t="s">
        <v>5054</v>
      </c>
      <c r="D1939" s="457"/>
      <c r="G1939" s="457" t="s">
        <v>4858</v>
      </c>
      <c r="H1939" s="1550"/>
      <c r="I1939" s="1550"/>
      <c r="J1939" s="1314"/>
      <c r="K1939" s="1314"/>
      <c r="L1939" s="1314"/>
      <c r="M1939" s="1314"/>
      <c r="N1939" s="1696" t="s">
        <v>2534</v>
      </c>
      <c r="O1939" s="2471">
        <f>'Part IX Scoring Criteria'!O291</f>
        <v>0</v>
      </c>
      <c r="P1939" s="1692"/>
    </row>
    <row r="1940" spans="1:24">
      <c r="A1940" s="1204"/>
      <c r="B1940" s="1727"/>
      <c r="C1940" s="1051"/>
      <c r="M1940" s="1313"/>
      <c r="N1940" s="1315"/>
      <c r="O1940" s="1313"/>
      <c r="P1940" s="1313"/>
    </row>
    <row r="1941" spans="1:24">
      <c r="A1941" s="1204" t="s">
        <v>2115</v>
      </c>
      <c r="B1941" s="1727" t="s">
        <v>3600</v>
      </c>
      <c r="C1941" s="1051"/>
      <c r="G1941" s="1578" t="s">
        <v>3604</v>
      </c>
      <c r="H1941" s="1766">
        <f>'Part IX Scoring Criteria'!H293</f>
        <v>0.125</v>
      </c>
      <c r="J1941" s="1636" t="s">
        <v>4860</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4038</v>
      </c>
      <c r="C1946" s="1676"/>
      <c r="D1946" s="1549"/>
      <c r="E1946" s="1549"/>
      <c r="F1946" s="1676"/>
      <c r="G1946" s="1676"/>
      <c r="H1946" s="1335"/>
      <c r="I1946" s="1773" t="s">
        <v>3795</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3786</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3787</v>
      </c>
      <c r="D1948" s="1635"/>
      <c r="L1948" s="1635"/>
      <c r="M1948" s="2359"/>
      <c r="N1948" s="1620" t="s">
        <v>1985</v>
      </c>
      <c r="O1948" s="1578">
        <f>'Part IX Scoring Criteria'!O300</f>
        <v>0</v>
      </c>
      <c r="P1948" s="1578"/>
      <c r="U1948" s="1626">
        <f>IF(L1948="Yes",1,0)</f>
        <v>0</v>
      </c>
    </row>
    <row r="1949" spans="1:24" ht="14.4">
      <c r="A1949" s="1314"/>
      <c r="B1949" s="1549" t="s">
        <v>3750</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40.799999999999997">
      <c r="A1950" s="1583" t="str">
        <f>'Part IX Scoring Criteria'!A302</f>
        <v>Applicant is not claiming points in this category.</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2459</v>
      </c>
      <c r="C1954" s="1659"/>
      <c r="D1954" s="1695"/>
      <c r="E1954" s="1695"/>
      <c r="F1954" s="1695"/>
      <c r="G1954" s="1659"/>
      <c r="H1954" s="1525" t="s">
        <v>4864</v>
      </c>
      <c r="I1954" s="1659"/>
      <c r="J1954" s="457" t="s">
        <v>2794</v>
      </c>
      <c r="K1954" s="1317"/>
      <c r="L1954" s="457" t="str">
        <f>'Part I-Project Information'!$H$105</f>
        <v>Flexible</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4586</v>
      </c>
      <c r="D1955" s="1314"/>
      <c r="E1955" s="1314"/>
      <c r="F1955" s="1314"/>
      <c r="H1955" s="457" t="s">
        <v>3681</v>
      </c>
      <c r="I1955" s="1051"/>
      <c r="J1955" s="457" t="str">
        <f>'Part I-Project Information'!$O$34</f>
        <v>No</v>
      </c>
      <c r="K1955" s="457"/>
      <c r="L1955" s="1647">
        <f>'Part I-Project Information'!$O$35</f>
        <v>0</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5122</v>
      </c>
      <c r="D1956" s="1583"/>
      <c r="E1956" s="1583"/>
      <c r="F1956" s="1583"/>
      <c r="G1956" s="1583"/>
      <c r="H1956" s="1583"/>
      <c r="I1956" s="1583"/>
      <c r="J1956" s="1583"/>
      <c r="K1956" s="1583"/>
      <c r="L1956" s="1583"/>
      <c r="M1956" s="1583"/>
      <c r="N1956" s="1684" t="s">
        <v>1986</v>
      </c>
      <c r="O1956" s="1631">
        <f>'Part IX Scoring Criteria'!O308</f>
        <v>0</v>
      </c>
      <c r="P1956" s="1631"/>
      <c r="Q1956" s="1583" t="s">
        <v>5364</v>
      </c>
      <c r="R1956" s="1583"/>
      <c r="S1956" s="1583"/>
      <c r="T1956" s="1583"/>
      <c r="U1956" s="1583"/>
      <c r="V1956" s="1583"/>
      <c r="W1956" s="1583"/>
      <c r="X1956" s="1583"/>
    </row>
    <row r="1957" spans="1:24">
      <c r="A1957" s="457"/>
      <c r="B1957" s="1727"/>
      <c r="C1957" s="457" t="s">
        <v>3801</v>
      </c>
      <c r="D1957" s="457"/>
      <c r="E1957" s="457"/>
      <c r="F1957" s="457"/>
      <c r="G1957" s="457"/>
      <c r="H1957" s="457"/>
      <c r="I1957" s="1620" t="s">
        <v>4865</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3855</v>
      </c>
      <c r="D1958" s="457"/>
      <c r="E1958" s="457"/>
      <c r="F1958" s="457"/>
      <c r="G1958" s="457"/>
      <c r="H1958" s="457"/>
      <c r="I1958" s="1620" t="s">
        <v>4865</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4870</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4588</v>
      </c>
      <c r="C1963" s="1314"/>
      <c r="D1963" s="1314"/>
      <c r="E1963" s="1314"/>
      <c r="F1963" s="1314"/>
      <c r="G1963" s="1314"/>
      <c r="H1963" s="1525" t="s">
        <v>4866</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4871</v>
      </c>
      <c r="C1964" s="1202"/>
      <c r="D1964" s="1202"/>
      <c r="E1964" s="1202"/>
      <c r="F1964" s="1202"/>
      <c r="G1964" s="1202"/>
      <c r="H1964" s="1202"/>
      <c r="I1964" s="1202"/>
      <c r="J1964" s="1202"/>
      <c r="K1964" s="1202"/>
      <c r="L1964" s="1202"/>
      <c r="M1964" s="1313">
        <v>3</v>
      </c>
      <c r="N1964" s="1620" t="s">
        <v>1985</v>
      </c>
      <c r="O1964" s="1546">
        <f>'Part IX Scoring Criteria'!O316</f>
        <v>3</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5123</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3</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5124</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4591</v>
      </c>
      <c r="C1967" s="1314"/>
      <c r="D1967" s="1314"/>
      <c r="E1967" s="1314"/>
      <c r="F1967" s="1314"/>
      <c r="G1967" s="1314"/>
      <c r="H1967" s="1525" t="s">
        <v>4867</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1986</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5125</v>
      </c>
      <c r="D1970" s="1314"/>
      <c r="E1970" s="1314"/>
      <c r="F1970" s="1314"/>
      <c r="G1970" s="1524"/>
      <c r="H1970" s="1525"/>
      <c r="I1970" s="1524"/>
      <c r="K1970" s="1319"/>
      <c r="L1970" s="1319"/>
      <c r="M1970" s="1320">
        <v>3</v>
      </c>
      <c r="N1970" s="1776" t="s">
        <v>1988</v>
      </c>
      <c r="O1970" s="1546">
        <f>'Part IX Scoring Criteria'!O322</f>
        <v>0</v>
      </c>
      <c r="P1970" s="1546"/>
      <c r="Q1970" s="2411" t="str">
        <f>IF(OR($O1970=$M1970,$O1970=0,$O1970=""),"","*CHECK!*")</f>
        <v/>
      </c>
      <c r="R1970" s="1372" t="s">
        <v>2706</v>
      </c>
    </row>
    <row r="1971" spans="1:24">
      <c r="A1971" s="1578"/>
      <c r="B1971" s="2458" t="s">
        <v>2534</v>
      </c>
      <c r="C1971" s="1051" t="s">
        <v>5126</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4.4">
      <c r="A1972" s="1314"/>
      <c r="B1972" s="1549" t="s">
        <v>3750</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63.19999999999999">
      <c r="A1973" s="1583" t="str">
        <f>'Part IX Scoring Criteria'!A325</f>
        <v>There have been no 9% credit awards within the last Six (6) DCA funding cycles that are within one mile from the proposed site. Applicant is eligible for three points in this category.</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1986</v>
      </c>
      <c r="C1979" s="1524" t="s">
        <v>4872</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
      <c r="A1980" s="1511"/>
      <c r="B1980" s="2458" t="s">
        <v>1988</v>
      </c>
      <c r="C1980" s="1524" t="s">
        <v>4873</v>
      </c>
      <c r="D1980" s="1525"/>
      <c r="E1980" s="1525"/>
      <c r="F1980" s="1655"/>
      <c r="H1980" s="1676"/>
      <c r="I1980" s="1676"/>
      <c r="J1980" s="1676"/>
      <c r="K1980" s="1676"/>
      <c r="L1980" s="2421"/>
      <c r="M1980" s="1313">
        <v>2</v>
      </c>
      <c r="N1980" s="1776" t="s">
        <v>1988</v>
      </c>
      <c r="O1980" s="1578">
        <f>'Part IX Scoring Criteria'!O332</f>
        <v>0</v>
      </c>
      <c r="P1980" s="1578"/>
      <c r="Q1980" s="2411"/>
      <c r="R1980" s="1372"/>
      <c r="S1980" s="1676"/>
      <c r="T1980" s="2423"/>
      <c r="U1980" s="2423"/>
      <c r="V1980" s="1676"/>
      <c r="W1980" s="1676"/>
      <c r="X1980" s="1676"/>
    </row>
    <row r="1981" spans="1:24" ht="18">
      <c r="A1981" s="1511"/>
      <c r="B1981" s="2458" t="s">
        <v>2534</v>
      </c>
      <c r="C1981" s="1524" t="s">
        <v>4874</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2423"/>
      <c r="U1981" s="2423"/>
      <c r="V1981" s="1676"/>
      <c r="W1981" s="1676"/>
      <c r="X1981" s="1676"/>
    </row>
    <row r="1982" spans="1:24" ht="18">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4876</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
      <c r="A1984" s="1511" t="s">
        <v>749</v>
      </c>
      <c r="B1984" s="1317" t="s">
        <v>4875</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5365</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5029</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4046</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4047</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No</v>
      </c>
      <c r="P1991" s="1313"/>
      <c r="Q1991" s="1313"/>
      <c r="R1991" s="1372" t="s">
        <v>2706</v>
      </c>
      <c r="S1991" s="1659"/>
      <c r="T1991" s="1659"/>
      <c r="U1991" s="1659"/>
      <c r="V1991" s="1659"/>
      <c r="W1991" s="1659"/>
      <c r="X1991" s="1659"/>
    </row>
    <row r="1992" spans="1:24" ht="14.4">
      <c r="A1992" s="1511"/>
      <c r="B1992" s="1776" t="s">
        <v>1986</v>
      </c>
      <c r="C1992" s="457" t="s">
        <v>4948</v>
      </c>
      <c r="D1992" s="1314"/>
      <c r="E1992" s="1676"/>
      <c r="F1992" s="1676"/>
      <c r="G1992" s="1676"/>
      <c r="H1992" s="1676"/>
      <c r="I1992" s="1676"/>
      <c r="J1992" s="1676"/>
      <c r="K1992" s="1676"/>
      <c r="L1992" s="1676"/>
      <c r="M1992" s="1676"/>
      <c r="N1992" s="1776" t="s">
        <v>4950</v>
      </c>
      <c r="O1992" s="1578">
        <f>'Part IX Scoring Criteria'!O344</f>
        <v>0</v>
      </c>
      <c r="P1992" s="1578"/>
      <c r="Q1992" s="1676"/>
      <c r="R1992" s="2421"/>
      <c r="S1992" s="1676"/>
      <c r="T1992" s="1676"/>
      <c r="U1992" s="1676"/>
      <c r="V1992" s="1676"/>
      <c r="W1992" s="1676"/>
      <c r="X1992" s="1676"/>
    </row>
    <row r="1993" spans="1:24" ht="14.4">
      <c r="A1993" s="1511"/>
      <c r="B1993" s="1776"/>
      <c r="C1993" s="457" t="s">
        <v>4949</v>
      </c>
      <c r="D1993" s="1314"/>
      <c r="E1993" s="1676"/>
      <c r="F1993" s="1676"/>
      <c r="G1993" s="1676"/>
      <c r="H1993" s="1676"/>
      <c r="I1993" s="1676"/>
      <c r="J1993" s="1676"/>
      <c r="K1993" s="1676"/>
      <c r="L1993" s="1676"/>
      <c r="M1993" s="1676"/>
      <c r="N1993" s="1776" t="s">
        <v>4951</v>
      </c>
      <c r="O1993" s="1578">
        <f>'Part IX Scoring Criteria'!O345</f>
        <v>0</v>
      </c>
      <c r="P1993" s="1578"/>
      <c r="Q1993" s="1676"/>
      <c r="R1993" s="2421"/>
      <c r="S1993" s="1676"/>
      <c r="T1993" s="1676"/>
      <c r="U1993" s="1676"/>
      <c r="V1993" s="1676"/>
      <c r="W1993" s="1676"/>
      <c r="X1993" s="1676"/>
    </row>
    <row r="1994" spans="1:24" ht="14.4">
      <c r="A1994" s="1511"/>
      <c r="B1994" s="1776" t="s">
        <v>1988</v>
      </c>
      <c r="C1994" s="457" t="s">
        <v>4064</v>
      </c>
      <c r="D1994" s="1314"/>
      <c r="E1994" s="1676"/>
      <c r="F1994" s="1676"/>
      <c r="G1994" s="1676"/>
      <c r="H1994" s="1676"/>
      <c r="I1994" s="1676"/>
      <c r="J1994" s="1676"/>
      <c r="K1994" s="1676"/>
      <c r="L1994" s="1676"/>
      <c r="M1994" s="1676"/>
      <c r="N1994" s="1776" t="s">
        <v>1988</v>
      </c>
      <c r="O1994" s="1578">
        <f>'Part IX Scoring Criteria'!O346</f>
        <v>0</v>
      </c>
      <c r="P1994" s="1578"/>
      <c r="Q1994" s="1676"/>
      <c r="R1994" s="2421"/>
      <c r="S1994" s="1676"/>
      <c r="T1994" s="1676"/>
      <c r="U1994" s="1676"/>
      <c r="V1994" s="1676"/>
      <c r="W1994" s="1676"/>
      <c r="X1994" s="1676"/>
    </row>
    <row r="1995" spans="1:24" ht="14.4">
      <c r="A1995" s="1511"/>
      <c r="B1995" s="1776" t="s">
        <v>2534</v>
      </c>
      <c r="C1995" s="457" t="s">
        <v>4952</v>
      </c>
      <c r="D1995" s="1314"/>
      <c r="E1995" s="1676"/>
      <c r="F1995" s="1676"/>
      <c r="G1995" s="1676"/>
      <c r="H1995" s="1676"/>
      <c r="I1995" s="1676"/>
      <c r="J1995" s="1676"/>
      <c r="K1995" s="1676"/>
      <c r="L1995" s="1676"/>
      <c r="M1995" s="1676"/>
      <c r="N1995" s="1776" t="s">
        <v>2534</v>
      </c>
      <c r="O1995" s="1578">
        <f>'Part IX Scoring Criteria'!O347</f>
        <v>0</v>
      </c>
      <c r="P1995" s="1578"/>
      <c r="Q1995" s="1676"/>
      <c r="R1995" s="2421"/>
      <c r="S1995" s="1676"/>
      <c r="T1995" s="1676"/>
      <c r="U1995" s="1676"/>
      <c r="V1995" s="1676"/>
      <c r="W1995" s="1676"/>
      <c r="X1995" s="1676"/>
    </row>
    <row r="1996" spans="1:24" ht="14.4">
      <c r="A1996" s="1676"/>
      <c r="B1996" s="1776" t="s">
        <v>1224</v>
      </c>
      <c r="C1996" s="457" t="s">
        <v>4877</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4.4">
      <c r="A1997" s="1511"/>
      <c r="B1997" s="1776" t="s">
        <v>1225</v>
      </c>
      <c r="C1997" s="457" t="s">
        <v>4878</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4.4">
      <c r="A1998" s="1511"/>
      <c r="B1998" s="1776" t="s">
        <v>1881</v>
      </c>
      <c r="C1998" s="457" t="s">
        <v>4065</v>
      </c>
      <c r="D1998" s="1314"/>
      <c r="E1998" s="1676"/>
      <c r="F1998" s="1676"/>
      <c r="G1998" s="1676"/>
      <c r="H1998" s="1676"/>
      <c r="I1998" s="1676"/>
      <c r="J1998" s="1676"/>
      <c r="K1998" s="1676"/>
      <c r="L1998" s="1676"/>
      <c r="M1998" s="1676"/>
      <c r="N1998" s="1776" t="s">
        <v>1881</v>
      </c>
      <c r="O1998" s="1578">
        <f>'Part IX Scoring Criteria'!O350</f>
        <v>0</v>
      </c>
      <c r="P1998" s="1578"/>
      <c r="Q1998" s="1676"/>
      <c r="R1998" s="2421"/>
      <c r="S1998" s="1676"/>
      <c r="T1998" s="1676"/>
      <c r="U1998" s="1676"/>
      <c r="V1998" s="1676"/>
      <c r="W1998" s="1676"/>
      <c r="X1998" s="1676"/>
    </row>
    <row r="1999" spans="1:24" ht="14.4">
      <c r="A1999" s="1511" t="s">
        <v>1985</v>
      </c>
      <c r="B1999" s="1317" t="s">
        <v>4048</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4.4">
      <c r="A2000" s="2473"/>
      <c r="B2000" s="1776" t="s">
        <v>1986</v>
      </c>
      <c r="C2000" s="457" t="s">
        <v>4948</v>
      </c>
      <c r="D2000" s="457"/>
      <c r="E2000" s="457"/>
      <c r="F2000" s="1676"/>
      <c r="G2000" s="1676"/>
      <c r="H2000" s="1676"/>
      <c r="I2000" s="1676"/>
      <c r="J2000" s="1676"/>
      <c r="K2000" s="1676"/>
      <c r="L2000" s="1676"/>
      <c r="M2000" s="1313"/>
      <c r="N2000" s="1776" t="s">
        <v>4950</v>
      </c>
      <c r="O2000" s="1578">
        <f>'Part IX Scoring Criteria'!O352</f>
        <v>0</v>
      </c>
      <c r="P2000" s="1578"/>
      <c r="Q2000" s="1313"/>
      <c r="R2000" s="1676"/>
      <c r="S2000" s="1676"/>
      <c r="T2000" s="1676"/>
      <c r="U2000" s="1676"/>
      <c r="V2000" s="1676"/>
      <c r="W2000" s="1676"/>
      <c r="X2000" s="1676"/>
    </row>
    <row r="2001" spans="1:24" ht="14.4">
      <c r="A2001" s="1511"/>
      <c r="B2001" s="1776"/>
      <c r="C2001" s="457" t="s">
        <v>4953</v>
      </c>
      <c r="D2001" s="1314"/>
      <c r="E2001" s="1676"/>
      <c r="F2001" s="1676"/>
      <c r="G2001" s="1676"/>
      <c r="H2001" s="1676"/>
      <c r="I2001" s="1676"/>
      <c r="J2001" s="1676"/>
      <c r="K2001" s="1676"/>
      <c r="L2001" s="1676"/>
      <c r="M2001" s="1676"/>
      <c r="N2001" s="1776" t="s">
        <v>4951</v>
      </c>
      <c r="O2001" s="1578">
        <f>'Part IX Scoring Criteria'!O353</f>
        <v>0</v>
      </c>
      <c r="P2001" s="1578"/>
      <c r="Q2001" s="1676"/>
      <c r="R2001" s="2421"/>
      <c r="S2001" s="1676"/>
      <c r="T2001" s="1676"/>
      <c r="U2001" s="1676"/>
      <c r="V2001" s="1676"/>
      <c r="W2001" s="1676"/>
      <c r="X2001" s="1676"/>
    </row>
    <row r="2002" spans="1:24" ht="14.4">
      <c r="A2002" s="1511"/>
      <c r="B2002" s="1776" t="s">
        <v>1988</v>
      </c>
      <c r="C2002" s="457" t="s">
        <v>4077</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4.4">
      <c r="A2003" s="1676"/>
      <c r="B2003" s="1776" t="s">
        <v>2534</v>
      </c>
      <c r="C2003" s="457" t="s">
        <v>4065</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2782</v>
      </c>
      <c r="B2007" s="2368" t="s">
        <v>4049</v>
      </c>
      <c r="C2007" s="1659"/>
      <c r="D2007" s="1659"/>
      <c r="E2007" s="1659"/>
      <c r="F2007" s="1659"/>
      <c r="G2007" s="1659"/>
      <c r="H2007" s="1620" t="s">
        <v>3576</v>
      </c>
      <c r="I2007" s="1524" t="str">
        <f>'Part I-Project Information'!$H$105</f>
        <v>Flexible</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4879</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5127</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3750</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53">
      <c r="A2013" s="1583" t="str">
        <f>'Part IX Scoring Criteria'!A365</f>
        <v>Brennan Place is the only application the Applicant is submitting where there is direct or indirect interest. Applicant is selecting the priority point for Brennan Place.</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3612</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4.4">
      <c r="A2019" s="1511"/>
      <c r="B2019" s="1776" t="s">
        <v>1986</v>
      </c>
      <c r="C2019" s="1051" t="s">
        <v>4895</v>
      </c>
      <c r="D2019" s="1638"/>
      <c r="E2019" s="1051" t="s">
        <v>4896</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4897</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1988</v>
      </c>
      <c r="C2021" s="1524" t="s">
        <v>5366</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4050</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4051</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4880</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3750</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40.799999999999997">
      <c r="A2028" s="1583" t="str">
        <f>'Part IX Scoring Criteria'!A380</f>
        <v>Applicant is not claiming points in this category.</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4095</v>
      </c>
      <c r="B2032" s="2368" t="s">
        <v>4056</v>
      </c>
      <c r="C2032" s="1659"/>
      <c r="D2032" s="1638"/>
      <c r="E2032" s="1638"/>
      <c r="F2032" s="457"/>
      <c r="G2032" s="457"/>
      <c r="H2032" s="1317" t="s">
        <v>2794</v>
      </c>
      <c r="I2032" s="1659"/>
      <c r="J2032" s="1317" t="str">
        <f>'Part I-Project Information'!$H$105</f>
        <v>Flexible</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4.4">
      <c r="A2033" s="1314"/>
      <c r="B2033" s="1524" t="s">
        <v>5367</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3804</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3803</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4881</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4058</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4884</v>
      </c>
      <c r="D2040" s="1604"/>
      <c r="E2040" s="1604"/>
      <c r="F2040" s="1604"/>
      <c r="G2040" s="1604"/>
      <c r="H2040" s="1604"/>
      <c r="I2040" s="1604"/>
    </row>
    <row r="2041" spans="1:24">
      <c r="A2041" s="2476"/>
      <c r="B2041" s="1704"/>
      <c r="C2041" s="1604" t="s">
        <v>4883</v>
      </c>
      <c r="D2041" s="1604"/>
      <c r="E2041" s="1604"/>
      <c r="F2041" s="1604"/>
      <c r="G2041" s="1604"/>
      <c r="H2041" s="1604"/>
      <c r="I2041" s="1604"/>
      <c r="J2041" s="1722" t="s">
        <v>1990</v>
      </c>
      <c r="K2041" s="1722"/>
      <c r="M2041" s="1722" t="s">
        <v>1990</v>
      </c>
      <c r="N2041" s="1722"/>
      <c r="O2041" s="1722"/>
      <c r="P2041" s="1722"/>
    </row>
    <row r="2042" spans="1:24" ht="14.4">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3619</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3460</v>
      </c>
      <c r="I2045" s="1620" t="s">
        <v>2438</v>
      </c>
      <c r="J2045" s="1545">
        <f>'Part IX Scoring Criteria'!J397</f>
        <v>0</v>
      </c>
      <c r="K2045" s="1545">
        <f>'Part IX Scoring Criteria'!K397</f>
        <v>0</v>
      </c>
      <c r="L2045" s="1620" t="s">
        <v>2438</v>
      </c>
      <c r="M2045" s="1545"/>
      <c r="N2045" s="1545"/>
      <c r="O2045" s="1545"/>
      <c r="P2045" s="1545"/>
      <c r="R2045" s="2421"/>
    </row>
    <row r="2046" spans="1:24" ht="14.4">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3617</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5085</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4886</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3620</v>
      </c>
      <c r="C2051" s="457" t="s">
        <v>4887</v>
      </c>
      <c r="I2051" s="1620" t="s">
        <v>3620</v>
      </c>
      <c r="J2051" s="1545">
        <f>'Part IX Scoring Criteria'!J403</f>
        <v>0</v>
      </c>
      <c r="K2051" s="1545">
        <f>'Part IX Scoring Criteria'!K403</f>
        <v>0</v>
      </c>
      <c r="L2051" s="1620" t="s">
        <v>3620</v>
      </c>
      <c r="M2051" s="1545"/>
      <c r="N2051" s="1545"/>
      <c r="O2051" s="1545"/>
      <c r="P2051" s="1545"/>
      <c r="R2051" s="2421"/>
    </row>
    <row r="2052" spans="1:24">
      <c r="B2052" s="1781" t="s">
        <v>5128</v>
      </c>
      <c r="H2052" s="1524" t="s">
        <v>2628</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1988</v>
      </c>
      <c r="C2054" s="1204" t="s">
        <v>2627</v>
      </c>
      <c r="M2054" s="1330"/>
      <c r="N2054" s="1330"/>
      <c r="P2054" s="1330"/>
    </row>
    <row r="2055" spans="1:24" ht="15" customHeight="1">
      <c r="A2055" s="1314"/>
      <c r="B2055" s="1659"/>
      <c r="C2055" s="1468" t="s">
        <v>5368</v>
      </c>
      <c r="D2055" s="1468"/>
      <c r="E2055" s="1468"/>
      <c r="F2055" s="1524" t="s">
        <v>4930</v>
      </c>
      <c r="G2055" s="1659"/>
      <c r="I2055" s="1506">
        <f>'Part IX Scoring Criteria'!I407</f>
        <v>0</v>
      </c>
      <c r="J2055" s="1545">
        <f>'Part IV-A-Uses of Funds'!$G$132</f>
        <v>14176065</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4929</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4928</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3621</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4060</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
      <c r="A2061" s="1511"/>
      <c r="B2061" s="1620" t="s">
        <v>2436</v>
      </c>
      <c r="C2061" s="457" t="s">
        <v>3796</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4889</v>
      </c>
      <c r="N2062" s="1620" t="s">
        <v>2437</v>
      </c>
      <c r="O2062" s="1578">
        <f>'Part IX Scoring Criteria'!O414</f>
        <v>0</v>
      </c>
      <c r="P2062" s="1578"/>
    </row>
    <row r="2063" spans="1:24">
      <c r="B2063" s="1549" t="s">
        <v>3750</v>
      </c>
      <c r="N2063" s="1320"/>
      <c r="O2063" s="1320"/>
      <c r="P2063" s="1320"/>
    </row>
    <row r="2064" spans="1:24" ht="40.799999999999997">
      <c r="A2064" s="1583" t="str">
        <f>'Part IX Scoring Criteria'!A416</f>
        <v>Applicant is not claiming points in this category.</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4096</v>
      </c>
      <c r="B2068" s="2368" t="s">
        <v>2721</v>
      </c>
      <c r="C2068" s="1659"/>
      <c r="D2068" s="1524"/>
      <c r="E2068" s="1659"/>
      <c r="F2068" s="1659"/>
      <c r="G2068" s="1525" t="s">
        <v>3390</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3461</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2831</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1983</v>
      </c>
      <c r="B2072" s="457" t="s">
        <v>5369</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4189</v>
      </c>
      <c r="C2073" s="1550"/>
      <c r="D2073" s="1550"/>
      <c r="E2073" s="1550"/>
      <c r="F2073" s="1550"/>
      <c r="G2073" s="1550"/>
      <c r="H2073" s="1550"/>
      <c r="I2073" s="1550"/>
      <c r="J2073" s="1550"/>
      <c r="K2073" s="1550"/>
      <c r="L2073" s="1550"/>
      <c r="M2073" s="1573" t="s">
        <v>5370</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2829</v>
      </c>
      <c r="N2075" s="1713"/>
      <c r="O2075" s="1835">
        <f>'Part VI-Revenues &amp; Expenses'!$O$67</f>
        <v>72</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2830</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5371</v>
      </c>
      <c r="B2079" s="1604" t="s">
        <v>3356</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5129</v>
      </c>
      <c r="C2080" s="1583"/>
      <c r="D2080" s="1583"/>
      <c r="E2080" s="1583"/>
      <c r="F2080" s="1583"/>
      <c r="G2080" s="1583"/>
      <c r="H2080" s="1583"/>
      <c r="I2080" s="1583"/>
      <c r="J2080" s="1583"/>
      <c r="K2080" s="1583"/>
      <c r="L2080" s="1583"/>
      <c r="M2080" s="1738" t="s">
        <v>4892</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2829</v>
      </c>
      <c r="N2081" s="1713"/>
      <c r="O2081" s="1835">
        <f>'Part VI-Revenues &amp; Expenses'!$O$67</f>
        <v>72</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2830</v>
      </c>
      <c r="N2082" s="1713"/>
      <c r="O2082" s="2479">
        <f>IF(O2081=0,0,L2068/O2081)</f>
        <v>0</v>
      </c>
      <c r="P2082" s="2479"/>
      <c r="Q2082" s="1335"/>
      <c r="R2082" s="1711"/>
      <c r="S2082" s="1711"/>
      <c r="T2082" s="1711"/>
      <c r="U2082" s="1711"/>
      <c r="V2082" s="1711"/>
      <c r="W2082" s="1711"/>
      <c r="X2082" s="1711"/>
    </row>
    <row r="2083" spans="1:24" ht="14.4">
      <c r="A2083" s="1314"/>
      <c r="B2083" s="1549" t="s">
        <v>3750</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71.400000000000006">
      <c r="A2084" s="1583" t="str">
        <f>'Part IX Scoring Criteria'!A436</f>
        <v>Project is new construction only and not a historic preservation project.</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4094</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3655</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3656</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3657</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56</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4184</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4185</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4192</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3686</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6">
      <c r="A2102" s="1583" t="str">
        <f>'Part IX Scoring Criteria'!A454</f>
        <v>I. APPLICATION COMPLETENESS: The applicant believes the proposed application is complete fully and does not anticipate any deductions in this scoring category.
II. DEEPER TARGETING / RENT / INCOME RESTRICTIONS: The proposed application has an overall property area median income less than 58% and is eligible for two (2) Deeper Targeting points.
IV. COMMUNITY TRANSPORTATION OPTIONS; The proposed project is within one mile (actual distance is 0.6 miles from pedestrian site entrance) of a Transit Hub and is proposing a family tenancy. Routes 2,4 &amp; 7 of the City of Columbus METRA transit system, all stop at 1122 Fort Benning Road, Columbus, GA 31903. Applicant is elligible for five points in this section.
V. ENRICHED PROPERTY SERVICES; The Applicant has indicated it will provide Preventive Health Care Services to its residents.  The Applicant has entered into an MOU with MercyMed, a local medical clinic to perform monthly biometric screenings and health and wellness education to the residents.  The screenings will be offered at no cost to the residents.  The Preventive Health Care MOU is found in Tab 30.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Please find the Healthy Eating Program to support the points claimed by the Applicant in Tab 30.  
IX. STABLE COMMUNITIES; The Applicant is not eligible for points in this category.
XII. EXTENDED AFFORDABILITY COMMITMENT: The Owner is willing to forgo the Qualified Contract “cancellation option” after the close of the Compliance period. The Owner commits to provide a right of first of refusal to a nonprofit organization or a local housing authority in accordance with DCA requirements.
XVIII: COMPLIANCE / PERFORMANCE: The applicant has acquired exceptional compliance history and does not anticipate any deductions in this scoring category. Please see Tab 19 in this application for the Qualification Determination.</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B6raa2pjnvGPjCxM6lLPC5jY8AgYRJqJEZ6uKOXtxdK3RnbxwPV3zYmZDBep5U9fxhiV2KK+h7c4YE93YpZfkw==" saltValue="Zkj4XDeNxzcIl3iHNNaHeA=="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Brennan Place</v>
      </c>
    </row>
    <row r="3" spans="1:16" ht="13.8">
      <c r="A3" s="1327" t="str">
        <f>CONCATENATE('Part I-Project Information'!F38,", ", 'Part I-Project Information'!J39," County")</f>
        <v>Columbus, Muscogee County</v>
      </c>
    </row>
    <row r="5" spans="1:16" ht="12.75" customHeight="1">
      <c r="A5" s="1365" t="str">
        <f>'Project Narrative'!$A$5</f>
        <v xml:space="preserve">Brennan Place is a proposed all new construction Family community located on Brennan Street in Columbus, Muscogee County. The development plan is for two- and three-story walk-up residential buildings and a community building to house gathering space, business center, exercise room and, management office.
The development will increase access to affordable housing for families in Columbus, a noted goal for the surrounding community.  
Unit amenities will include Energy Star appliances in the kitchen, including range, refrigerator, dishwasher, and microwave. Additional amenities will include carpet in bedrooms and living areas, vinyl flooring in the kitchen, bathroom, and laundry areas; washer/dryer sets, ceiling fans, mini-blinds, and central heating and air. Community amenities will include the above mentioned as well as a picnic area and other outdoor gathering spaces.  
Brennan Place is within 1.5 miles of a number of positive, desirable activities and sites including the medical offices, pharmacies, churches, post office, restaurants, retail stores, and food stores. 
With more than 25 years of experience, Main Street Homes is an industry leader in the development and rehabilitation of multi-family properties, with a primary focus on the development of affordable housing. To-date, 22 properties have been developed by Main Street Homes throughout the southeast through the affordable housing tax credit program.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361176972, 319010000,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4454</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4476</v>
      </c>
      <c r="H16" s="1330"/>
      <c r="I16" s="1330"/>
      <c r="J16" s="1330"/>
      <c r="K16" s="1330"/>
      <c r="L16" s="1328"/>
      <c r="M16" s="1330"/>
      <c r="N16" s="1330"/>
      <c r="O16" s="1330"/>
      <c r="P16" s="1333" t="s">
        <v>3864</v>
      </c>
    </row>
    <row r="17" spans="1:16" ht="14.25" customHeight="1">
      <c r="A17" s="1330"/>
      <c r="B17" s="1314"/>
      <c r="C17" s="1314"/>
      <c r="D17" s="1314"/>
      <c r="E17" s="1314"/>
      <c r="F17" s="1328"/>
      <c r="G17" s="1332" t="s">
        <v>4477</v>
      </c>
      <c r="H17" s="1334"/>
      <c r="I17" s="1334"/>
      <c r="J17" s="1334"/>
      <c r="K17" s="1330"/>
      <c r="L17" s="1330"/>
      <c r="M17" s="1330"/>
      <c r="N17" s="1330"/>
      <c r="O17" s="1311" t="str">
        <f>'Part I-Project Information'!$O$6</f>
        <v>2019-042</v>
      </c>
      <c r="P17" s="1311"/>
    </row>
    <row r="18" spans="1:16" ht="13.8">
      <c r="A18" s="1330"/>
      <c r="B18" s="1314"/>
      <c r="C18" s="1314"/>
      <c r="D18" s="1314"/>
      <c r="E18" s="1314"/>
      <c r="F18" s="1311"/>
      <c r="G18" s="1335" t="s">
        <v>3317</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3793</v>
      </c>
      <c r="G20" s="1330"/>
      <c r="H20" s="1330"/>
      <c r="I20" s="1338">
        <f>'Part IV-A-Uses of Funds'!$J$175</f>
        <v>1000000</v>
      </c>
      <c r="J20" s="1338"/>
      <c r="K20" s="1330"/>
      <c r="L20" s="1330" t="s">
        <v>3794</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Competitive Round only</v>
      </c>
      <c r="G22" s="1393"/>
      <c r="H22" s="1393"/>
      <c r="I22" s="1797" t="s">
        <v>3712</v>
      </c>
      <c r="J22" s="1311" t="s">
        <v>4478</v>
      </c>
      <c r="K22" s="1311"/>
      <c r="L22" s="1334"/>
      <c r="M22" s="1330"/>
      <c r="N22" s="1330"/>
      <c r="O22" s="1330" t="str">
        <f>'Part I-Project Information'!$O$11</f>
        <v>PA19-087</v>
      </c>
      <c r="P22" s="1330"/>
    </row>
    <row r="23" spans="1:16" ht="13.5" customHeight="1">
      <c r="A23" s="1328"/>
      <c r="B23" s="1341" t="s">
        <v>4455</v>
      </c>
      <c r="C23" s="1341"/>
      <c r="D23" s="1341"/>
      <c r="E23" s="1330"/>
      <c r="F23" s="1330"/>
      <c r="G23" s="1330"/>
      <c r="H23" s="1334"/>
      <c r="I23" s="1330"/>
      <c r="J23" s="1337" t="s">
        <v>2733</v>
      </c>
      <c r="K23" s="1331"/>
      <c r="L23" s="1330"/>
      <c r="M23" s="1334"/>
      <c r="N23" s="1330"/>
      <c r="O23" s="1393" t="str">
        <f>'Part I-Project Information'!$O$12</f>
        <v>Yes - see Comment</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3791</v>
      </c>
      <c r="K25" s="1330"/>
      <c r="L25" s="1330"/>
      <c r="M25" s="1330"/>
      <c r="N25" s="1330"/>
      <c r="O25" s="1330"/>
      <c r="P25" s="1330"/>
    </row>
    <row r="26" spans="1:16" ht="13.8">
      <c r="A26" s="1328"/>
      <c r="B26" s="1330" t="s">
        <v>3865</v>
      </c>
      <c r="C26" s="1330"/>
      <c r="D26" s="1311"/>
      <c r="E26" s="1330"/>
      <c r="F26" s="1706">
        <f>'Part I-Project Information'!$F$15</f>
        <v>0</v>
      </c>
      <c r="G26" s="1706"/>
      <c r="H26" s="1706"/>
      <c r="I26" s="1706"/>
      <c r="J26" s="1706"/>
      <c r="K26" s="1706"/>
      <c r="L26" s="1330" t="s">
        <v>3790</v>
      </c>
      <c r="M26" s="1330"/>
      <c r="N26" s="1330"/>
      <c r="O26" s="1330">
        <f>'Part I-Project Information'!$O$15</f>
        <v>0</v>
      </c>
      <c r="P26" s="1330"/>
    </row>
    <row r="27" spans="1:16" ht="13.8">
      <c r="A27" s="1328"/>
      <c r="B27" s="1330" t="s">
        <v>3792</v>
      </c>
      <c r="C27" s="1330"/>
      <c r="D27" s="1330"/>
      <c r="E27" s="1330"/>
      <c r="F27" s="1412">
        <f>'Part I-Project Information'!F16</f>
        <v>0</v>
      </c>
      <c r="G27" s="1330" t="s">
        <v>3848</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3874</v>
      </c>
      <c r="C31" s="1330"/>
      <c r="D31" s="1330"/>
      <c r="E31" s="1330"/>
      <c r="F31" s="1330" t="str">
        <f>'Part I-Project Information'!F20</f>
        <v>Main Street Homes, LLC</v>
      </c>
      <c r="G31" s="1330">
        <f>'Part I-Project Information'!G20</f>
        <v>0</v>
      </c>
      <c r="H31" s="1330">
        <f>'Part I-Project Information'!H20</f>
        <v>0</v>
      </c>
      <c r="I31" s="1330" t="s">
        <v>1797</v>
      </c>
      <c r="J31" s="1330" t="str">
        <f>'Part I-Project Information'!J20</f>
        <v>C. Jeffrey Rice</v>
      </c>
      <c r="K31" s="1330">
        <f>'Part I-Project Information'!K20</f>
        <v>0</v>
      </c>
      <c r="L31" s="1330">
        <f>'Part I-Project Information'!L20</f>
        <v>0</v>
      </c>
      <c r="M31" s="1337" t="s">
        <v>1980</v>
      </c>
      <c r="N31" s="1330" t="str">
        <f>'Part I-Project Information'!N20</f>
        <v>Principal</v>
      </c>
      <c r="O31" s="1330">
        <f>'Part I-Project Information'!O20</f>
        <v>0</v>
      </c>
      <c r="P31" s="1330">
        <f>'Part I-Project Information'!P20</f>
        <v>0</v>
      </c>
    </row>
    <row r="32" spans="1:16" ht="12.75" customHeight="1">
      <c r="A32" s="1330"/>
      <c r="B32" s="1337" t="s">
        <v>1981</v>
      </c>
      <c r="C32" s="1330"/>
      <c r="D32" s="1330"/>
      <c r="E32" s="1330"/>
      <c r="F32" s="1330" t="str">
        <f>'Part I-Project Information'!F21</f>
        <v>6825 Halcyon Park Drive</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3873</v>
      </c>
      <c r="N32" s="1342"/>
      <c r="O32" s="1342"/>
      <c r="P32" s="1342"/>
    </row>
    <row r="33" spans="1:16" ht="12.75" customHeight="1">
      <c r="A33" s="1330"/>
      <c r="B33" s="1337" t="s">
        <v>618</v>
      </c>
      <c r="C33" s="1330"/>
      <c r="D33" s="1330"/>
      <c r="E33" s="1330"/>
      <c r="F33" s="1330" t="str">
        <f>'Part I-Project Information'!F22</f>
        <v>Montgomery</v>
      </c>
      <c r="G33" s="1330">
        <f>'Part I-Project Information'!G22</f>
        <v>0</v>
      </c>
      <c r="H33" s="1330">
        <f>'Part I-Project Information'!H22</f>
        <v>0</v>
      </c>
      <c r="I33" s="1337" t="s">
        <v>1799</v>
      </c>
      <c r="J33" s="1363" t="str">
        <f>'Part I-Project Information'!J22</f>
        <v>AL</v>
      </c>
      <c r="K33" s="1330"/>
      <c r="L33" s="1330"/>
      <c r="M33" s="1342"/>
      <c r="N33" s="1342"/>
      <c r="O33" s="1342"/>
      <c r="P33" s="1342"/>
    </row>
    <row r="34" spans="1:16" ht="13.8">
      <c r="A34" s="1330"/>
      <c r="B34" s="1337" t="s">
        <v>2229</v>
      </c>
      <c r="C34" s="1330"/>
      <c r="D34" s="1330"/>
      <c r="E34" s="1330"/>
      <c r="F34" s="1798">
        <f>'Part I-Project Information'!F23</f>
        <v>361176972</v>
      </c>
      <c r="G34" s="1798">
        <f>'Part I-Project Information'!G23</f>
        <v>0</v>
      </c>
      <c r="H34" s="1798">
        <f>'Part I-Project Information'!H23</f>
        <v>0</v>
      </c>
      <c r="I34" s="1337" t="s">
        <v>1720</v>
      </c>
      <c r="J34" s="1799">
        <f>'Part I-Project Information'!J23</f>
        <v>3342816820</v>
      </c>
      <c r="K34" s="1799">
        <f>'Part I-Project Information'!K23</f>
        <v>0</v>
      </c>
      <c r="L34" s="1334" t="s">
        <v>1719</v>
      </c>
      <c r="M34" s="1334">
        <f>'Part I-Project Information'!M23</f>
        <v>222</v>
      </c>
      <c r="N34" s="1337" t="s">
        <v>1721</v>
      </c>
      <c r="O34" s="1799">
        <f>'Part I-Project Information'!O23</f>
        <v>3342816820</v>
      </c>
      <c r="P34" s="1799">
        <f>'Part I-Project Information'!P23</f>
        <v>0</v>
      </c>
    </row>
    <row r="35" spans="1:16" ht="13.8">
      <c r="A35" s="1330"/>
      <c r="B35" s="1337" t="s">
        <v>1984</v>
      </c>
      <c r="C35" s="1330"/>
      <c r="D35" s="1330"/>
      <c r="E35" s="1330"/>
      <c r="F35" s="1330" t="str">
        <f>'Part I-Project Information'!F24</f>
        <v>jrice@guilfordcompanies.com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0</v>
      </c>
      <c r="P35" s="1799">
        <f>'Part I-Project Information'!P24</f>
        <v>0</v>
      </c>
    </row>
    <row r="36" spans="1:16" ht="13.8">
      <c r="A36" s="1328"/>
      <c r="B36" s="1311" t="s">
        <v>4062</v>
      </c>
      <c r="C36" s="1336"/>
      <c r="D36" s="1330"/>
      <c r="E36" s="1330"/>
      <c r="F36" s="1330"/>
      <c r="G36" s="1330"/>
      <c r="H36" s="1334"/>
      <c r="I36" s="1330"/>
      <c r="J36" s="1336"/>
      <c r="K36" s="1330"/>
      <c r="L36" s="1330"/>
      <c r="M36" s="1330"/>
      <c r="N36" s="1330"/>
      <c r="O36" s="1330"/>
      <c r="P36" s="1343"/>
    </row>
    <row r="37" spans="1:16" ht="13.8">
      <c r="A37" s="1330"/>
      <c r="B37" s="1330" t="s">
        <v>3874</v>
      </c>
      <c r="C37" s="1330"/>
      <c r="D37" s="1330"/>
      <c r="E37" s="1330"/>
      <c r="F37" s="1330" t="str">
        <f>'Part I-Project Information'!F26</f>
        <v>Main Street Homes, LLC</v>
      </c>
      <c r="G37" s="1330">
        <f>'Part I-Project Information'!G26</f>
        <v>0</v>
      </c>
      <c r="H37" s="1330">
        <f>'Part I-Project Information'!H26</f>
        <v>0</v>
      </c>
      <c r="I37" s="1330" t="s">
        <v>1797</v>
      </c>
      <c r="J37" s="1330" t="str">
        <f>'Part I-Project Information'!J26</f>
        <v>Terry M. Grimes</v>
      </c>
      <c r="K37" s="1330">
        <f>'Part I-Project Information'!K26</f>
        <v>0</v>
      </c>
      <c r="L37" s="1330">
        <f>'Part I-Project Information'!L26</f>
        <v>0</v>
      </c>
      <c r="M37" s="1337" t="s">
        <v>1980</v>
      </c>
      <c r="N37" s="1330" t="str">
        <f>'Part I-Project Information'!N26</f>
        <v>Assistant to Jeff Rice</v>
      </c>
      <c r="O37" s="1330">
        <f>'Part I-Project Information'!O26</f>
        <v>0</v>
      </c>
      <c r="P37" s="1330">
        <f>'Part I-Project Information'!P26</f>
        <v>0</v>
      </c>
    </row>
    <row r="38" spans="1:16" ht="12.75" customHeight="1">
      <c r="A38" s="1330"/>
      <c r="B38" s="1337" t="s">
        <v>1981</v>
      </c>
      <c r="C38" s="1330"/>
      <c r="D38" s="1330"/>
      <c r="E38" s="1330"/>
      <c r="F38" s="1330" t="str">
        <f>'Part I-Project Information'!F27</f>
        <v>6825 Halcyon Park Drive</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3873</v>
      </c>
      <c r="N38" s="1342"/>
      <c r="O38" s="1342"/>
      <c r="P38" s="1342"/>
    </row>
    <row r="39" spans="1:16" ht="12.75" customHeight="1">
      <c r="A39" s="1330"/>
      <c r="B39" s="1337" t="s">
        <v>618</v>
      </c>
      <c r="C39" s="1330"/>
      <c r="D39" s="1330"/>
      <c r="E39" s="1330"/>
      <c r="F39" s="1330" t="str">
        <f>'Part I-Project Information'!F28</f>
        <v>Montgomery</v>
      </c>
      <c r="G39" s="1330">
        <f>'Part I-Project Information'!G28</f>
        <v>0</v>
      </c>
      <c r="H39" s="1330">
        <f>'Part I-Project Information'!H28</f>
        <v>0</v>
      </c>
      <c r="I39" s="1337" t="s">
        <v>1799</v>
      </c>
      <c r="J39" s="1363">
        <f>'Part I-Project Information'!J28</f>
        <v>0</v>
      </c>
      <c r="K39" s="1330"/>
      <c r="L39" s="1330"/>
      <c r="M39" s="1342"/>
      <c r="N39" s="1342"/>
      <c r="O39" s="1342"/>
      <c r="P39" s="1342"/>
    </row>
    <row r="40" spans="1:16" ht="13.8">
      <c r="A40" s="1330"/>
      <c r="B40" s="1337" t="s">
        <v>2229</v>
      </c>
      <c r="C40" s="1330"/>
      <c r="D40" s="1330"/>
      <c r="E40" s="1330"/>
      <c r="F40" s="1798">
        <f>'Part I-Project Information'!F29</f>
        <v>361176972</v>
      </c>
      <c r="G40" s="1798">
        <f>'Part I-Project Information'!G29</f>
        <v>0</v>
      </c>
      <c r="H40" s="1798">
        <f>'Part I-Project Information'!H29</f>
        <v>0</v>
      </c>
      <c r="I40" s="1337" t="s">
        <v>1720</v>
      </c>
      <c r="J40" s="1799">
        <f>'Part I-Project Information'!J29</f>
        <v>3342816820</v>
      </c>
      <c r="K40" s="1799">
        <f>'Part I-Project Information'!K29</f>
        <v>0</v>
      </c>
      <c r="L40" s="1334" t="s">
        <v>1719</v>
      </c>
      <c r="M40" s="1334">
        <f>'Part I-Project Information'!M29</f>
        <v>0</v>
      </c>
      <c r="N40" s="1337" t="s">
        <v>1721</v>
      </c>
      <c r="O40" s="1799">
        <f>'Part I-Project Information'!O29</f>
        <v>3345233611</v>
      </c>
      <c r="P40" s="1799">
        <f>'Part I-Project Information'!P29</f>
        <v>0</v>
      </c>
    </row>
    <row r="41" spans="1:16" ht="13.8">
      <c r="A41" s="1330"/>
      <c r="B41" s="1337" t="s">
        <v>1984</v>
      </c>
      <c r="C41" s="1330"/>
      <c r="D41" s="1330"/>
      <c r="E41" s="1330"/>
      <c r="F41" s="1330" t="str">
        <f>'Part I-Project Information'!F30</f>
        <v>tgrimes@guilfordcompanies.com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0</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Brennan Place</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2699</v>
      </c>
      <c r="C46" s="1330"/>
      <c r="D46" s="1340"/>
      <c r="E46" s="1330"/>
      <c r="F46" s="1330" t="str">
        <f>'Part I-Project Information'!F35</f>
        <v>Brennan Road</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ht="13.8">
      <c r="A47" s="1333"/>
      <c r="B47" s="1330" t="s">
        <v>4479</v>
      </c>
      <c r="C47" s="1330"/>
      <c r="D47" s="1340"/>
      <c r="E47" s="1330"/>
      <c r="F47" s="1330" t="str">
        <f>'Part I-Project Information'!F36</f>
        <v>500 Brennan Road</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3679</v>
      </c>
      <c r="P47" s="1334">
        <f>'Part I-Project Information'!P36</f>
        <v>1</v>
      </c>
    </row>
    <row r="48" spans="1:16" ht="13.8">
      <c r="A48" s="1333"/>
      <c r="B48" s="1330" t="s">
        <v>3733</v>
      </c>
      <c r="C48" s="1330"/>
      <c r="D48" s="1340"/>
      <c r="E48" s="1330"/>
      <c r="F48" s="1330" t="s">
        <v>3714</v>
      </c>
      <c r="G48" s="1800">
        <f>'Part I-Project Information'!G37</f>
        <v>32.439373000000003</v>
      </c>
      <c r="H48" s="1800">
        <f>'Part I-Project Information'!H37</f>
        <v>0</v>
      </c>
      <c r="I48" s="1334" t="s">
        <v>3715</v>
      </c>
      <c r="J48" s="1800">
        <f>'Part I-Project Information'!J37</f>
        <v>-84.940493000000004</v>
      </c>
      <c r="K48" s="1800">
        <f>'Part I-Project Information'!K37</f>
        <v>0</v>
      </c>
      <c r="L48" s="1337" t="s">
        <v>2283</v>
      </c>
      <c r="M48" s="1330"/>
      <c r="N48" s="1330"/>
      <c r="O48" s="1801">
        <f>'Part I-Project Information'!O37</f>
        <v>5.2</v>
      </c>
      <c r="P48" s="1801">
        <f>'Part I-Project Information'!P37</f>
        <v>0</v>
      </c>
    </row>
    <row r="49" spans="1:16" ht="14.4">
      <c r="A49" s="1328"/>
      <c r="B49" s="1330" t="s">
        <v>618</v>
      </c>
      <c r="C49" s="1330"/>
      <c r="D49" s="1330"/>
      <c r="E49" s="1330"/>
      <c r="F49" s="1330" t="str">
        <f>'Part I-Project Information'!F38</f>
        <v>Columbus</v>
      </c>
      <c r="G49" s="1330">
        <f>'Part I-Project Information'!G38</f>
        <v>0</v>
      </c>
      <c r="H49" s="1330">
        <f>'Part I-Project Information'!H38</f>
        <v>0</v>
      </c>
      <c r="I49" s="1344" t="s">
        <v>4480</v>
      </c>
      <c r="J49" s="1798">
        <f>'Part I-Project Information'!J38</f>
        <v>319032054</v>
      </c>
      <c r="K49" s="1798">
        <f>'Part I-Project Information'!K38</f>
        <v>0</v>
      </c>
      <c r="L49" s="1311" t="str">
        <f>IF(AND(NOT(F45=""),NOT(F49="Select from list"),J49=""),"Enter Zip!","")</f>
        <v/>
      </c>
      <c r="M49" s="1345" t="s">
        <v>2905</v>
      </c>
      <c r="N49" s="1330"/>
      <c r="O49" s="1802" t="str">
        <f>'Part I-Project Information'!O38</f>
        <v>13215002902</v>
      </c>
      <c r="P49" s="1803">
        <f>'Part I-Project Information'!P38</f>
        <v>0</v>
      </c>
    </row>
    <row r="50" spans="1:16" ht="13.8">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Muscogee</v>
      </c>
      <c r="K50" s="1706">
        <f>'Part I-Project Information'!K39</f>
        <v>0</v>
      </c>
      <c r="L50" s="1330"/>
      <c r="M50" s="1337" t="s">
        <v>451</v>
      </c>
      <c r="N50" s="1347" t="str">
        <f>'Part I-Project Information'!N39</f>
        <v>Yes</v>
      </c>
      <c r="O50" s="1334" t="s">
        <v>452</v>
      </c>
      <c r="P50" s="1347" t="str">
        <f>'Part I-Project Information'!P39</f>
        <v>No</v>
      </c>
    </row>
    <row r="51" spans="1:16" ht="13.8">
      <c r="A51" s="1328"/>
      <c r="B51" s="1311"/>
      <c r="C51" s="1330" t="s">
        <v>1558</v>
      </c>
      <c r="D51" s="1330"/>
      <c r="E51" s="1330"/>
      <c r="F51" s="1337" t="str">
        <f>'Part I-Project Information'!F40</f>
        <v>No</v>
      </c>
      <c r="G51" s="1330" t="s">
        <v>2781</v>
      </c>
      <c r="H51" s="1330"/>
      <c r="I51" s="1334" t="str">
        <f>'Part I-Project Information'!I40</f>
        <v>No</v>
      </c>
      <c r="J51" s="1334" t="s">
        <v>2801</v>
      </c>
      <c r="K51" s="1334" t="str">
        <f>'Part I-Project Information'!K40</f>
        <v>Urban</v>
      </c>
      <c r="L51" s="1330"/>
      <c r="M51" s="1337" t="s">
        <v>2611</v>
      </c>
      <c r="N51" s="1328" t="str">
        <f>'Part I-Project Information'!N40</f>
        <v>MSA</v>
      </c>
      <c r="O51" s="1330" t="str">
        <f>'Part I-Project Information'!O40</f>
        <v>Columbus</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4481</v>
      </c>
      <c r="D53" s="1330"/>
      <c r="E53" s="1330"/>
      <c r="F53" s="1348" t="s">
        <v>2762</v>
      </c>
      <c r="G53" s="1348"/>
      <c r="H53" s="1330" t="s">
        <v>736</v>
      </c>
      <c r="I53" s="1330"/>
      <c r="J53" s="1330" t="s">
        <v>737</v>
      </c>
      <c r="K53" s="1330"/>
      <c r="L53" s="1349" t="s">
        <v>4482</v>
      </c>
      <c r="M53" s="1330"/>
      <c r="N53" s="1330"/>
      <c r="O53" s="1330"/>
      <c r="P53" s="1330"/>
    </row>
    <row r="54" spans="1:16" ht="13.8">
      <c r="A54" s="1328"/>
      <c r="B54" s="1330" t="s">
        <v>4483</v>
      </c>
      <c r="C54" s="1330"/>
      <c r="D54" s="1311"/>
      <c r="E54" s="1330"/>
      <c r="F54" s="1804">
        <f>'Part I-Project Information'!F43</f>
        <v>8</v>
      </c>
      <c r="G54" s="1804">
        <f>'Part I-Project Information'!G43</f>
        <v>0</v>
      </c>
      <c r="H54" s="1804">
        <f>'Part I-Project Information'!H43</f>
        <v>15</v>
      </c>
      <c r="I54" s="1804">
        <f>'Part I-Project Information'!I43</f>
        <v>0</v>
      </c>
      <c r="J54" s="1804">
        <f>'Part I-Project Information'!J43</f>
        <v>135</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Columbus</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www.columbusga.gov</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B. H. "Skip" Henderson III</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100 10th Street, 6th Floor</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Columbus</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319010000</v>
      </c>
      <c r="G60" s="1798">
        <f>'Part I-Project Information'!G49</f>
        <v>0</v>
      </c>
      <c r="H60" s="1334" t="s">
        <v>1982</v>
      </c>
      <c r="I60" s="1799">
        <f>'Part I-Project Information'!I49</f>
        <v>7062254712</v>
      </c>
      <c r="J60" s="1799">
        <f>'Part I-Project Information'!J49</f>
        <v>0</v>
      </c>
      <c r="K60" s="1799">
        <f>'Part I-Project Information'!K49</f>
        <v>0</v>
      </c>
      <c r="L60" s="1337" t="s">
        <v>1800</v>
      </c>
      <c r="M60" s="1462" t="str">
        <f>'Part I-Project Information'!M49</f>
        <v>skiphenderson@columbusga.org</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4484</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72</v>
      </c>
      <c r="I66" s="1336"/>
      <c r="J66" s="1336"/>
      <c r="K66" s="1337" t="s">
        <v>3671</v>
      </c>
      <c r="L66" s="1330"/>
      <c r="M66" s="1356" t="s">
        <v>3670</v>
      </c>
      <c r="N66" s="1355">
        <f>'Part VI-Revenues &amp; Expenses'!$O$110</f>
        <v>0</v>
      </c>
      <c r="O66" s="1357" t="s">
        <v>3356</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2909</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62615</v>
      </c>
    </row>
    <row r="74" spans="1:16" ht="13.8">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8653</v>
      </c>
    </row>
    <row r="75" spans="1:16" ht="13.8">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71268</v>
      </c>
    </row>
    <row r="76" spans="1:16" ht="13.8">
      <c r="A76" s="1328"/>
      <c r="B76" s="1330"/>
      <c r="C76" s="1336" t="s">
        <v>253</v>
      </c>
      <c r="D76" s="1330"/>
      <c r="E76" s="1330"/>
      <c r="F76" s="1330"/>
      <c r="G76" s="1330"/>
      <c r="H76" s="1364">
        <f>'Part VI-Revenues &amp; Expenses'!$O$64</f>
        <v>9</v>
      </c>
      <c r="I76" s="1330"/>
      <c r="J76" s="1328"/>
      <c r="K76" s="1336" t="s">
        <v>2776</v>
      </c>
      <c r="L76" s="1330"/>
      <c r="M76" s="1330"/>
      <c r="N76" s="1330"/>
      <c r="O76" s="1330"/>
      <c r="P76" s="1364">
        <f>'Part VI-Revenues &amp; Expenses'!$O$155</f>
        <v>0</v>
      </c>
    </row>
    <row r="77" spans="1:16" ht="13.8">
      <c r="A77" s="1328"/>
      <c r="B77" s="1330"/>
      <c r="C77" s="1336" t="s">
        <v>2407</v>
      </c>
      <c r="D77" s="1330"/>
      <c r="E77" s="1330"/>
      <c r="F77" s="1330"/>
      <c r="G77" s="1330"/>
      <c r="H77" s="1364">
        <f>H73+H76</f>
        <v>9</v>
      </c>
      <c r="I77" s="1330"/>
      <c r="J77" s="1328"/>
      <c r="K77" s="1336" t="s">
        <v>1420</v>
      </c>
      <c r="L77" s="1330"/>
      <c r="M77" s="1330"/>
      <c r="N77" s="1330"/>
      <c r="O77" s="1330"/>
      <c r="P77" s="1364">
        <f>+P75+P76</f>
        <v>71268</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9</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3</v>
      </c>
      <c r="I81" s="1330"/>
      <c r="J81" s="1330"/>
      <c r="K81" s="1336" t="s">
        <v>4054</v>
      </c>
      <c r="L81" s="1330"/>
      <c r="M81" s="1330"/>
      <c r="N81" s="1330"/>
      <c r="O81" s="1330"/>
      <c r="P81" s="1364">
        <f>'Part I-Project Information'!P74</f>
        <v>2200</v>
      </c>
    </row>
    <row r="82" spans="1:16" ht="13.8">
      <c r="A82" s="1328"/>
      <c r="B82" s="1328"/>
      <c r="C82" s="1330"/>
      <c r="D82" s="1363" t="s">
        <v>1997</v>
      </c>
      <c r="E82" s="1330"/>
      <c r="F82" s="1330"/>
      <c r="G82" s="1330"/>
      <c r="H82" s="1364">
        <f>'Part I-Project Information'!H75</f>
        <v>1</v>
      </c>
      <c r="I82" s="1330"/>
      <c r="J82" s="1330"/>
      <c r="K82" s="1336" t="s">
        <v>252</v>
      </c>
      <c r="L82" s="1330"/>
      <c r="M82" s="1330"/>
      <c r="N82" s="1330"/>
      <c r="O82" s="1330"/>
      <c r="P82" s="1364">
        <f>+P77+P81</f>
        <v>73468</v>
      </c>
    </row>
    <row r="83" spans="1:16" ht="13.8">
      <c r="A83" s="1328"/>
      <c r="B83" s="1328"/>
      <c r="C83" s="1330"/>
      <c r="D83" s="1363" t="s">
        <v>1998</v>
      </c>
      <c r="E83" s="1330"/>
      <c r="F83" s="1330"/>
      <c r="G83" s="1330"/>
      <c r="H83" s="1364">
        <f>+H81+H82</f>
        <v>4</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2842</v>
      </c>
      <c r="D85" s="1330"/>
      <c r="E85" s="1330"/>
      <c r="F85" s="1330"/>
      <c r="G85" s="1330"/>
      <c r="H85" s="1364">
        <f>'Part I-Project Information'!H78</f>
        <v>150</v>
      </c>
      <c r="I85" s="1330"/>
      <c r="J85" s="1330"/>
      <c r="K85" s="1365" t="s">
        <v>3849</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4485</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3868</v>
      </c>
      <c r="I91" s="1365"/>
      <c r="J91" s="1330"/>
      <c r="K91" s="1368" t="s">
        <v>2910</v>
      </c>
      <c r="L91" s="1364">
        <f>'Part I-Project Information'!M84</f>
        <v>72</v>
      </c>
      <c r="M91" s="1368" t="s">
        <v>2911</v>
      </c>
      <c r="N91" s="1364">
        <f>'Part I-Project Information'!O84</f>
        <v>0</v>
      </c>
      <c r="O91" s="1330"/>
      <c r="P91" s="1340" t="s">
        <v>3870</v>
      </c>
    </row>
    <row r="92" spans="1:16" ht="13.8">
      <c r="A92" s="1328"/>
      <c r="B92" s="1328"/>
      <c r="C92" s="1330"/>
      <c r="D92" s="1337"/>
      <c r="E92" s="1367"/>
      <c r="F92" s="1330"/>
      <c r="G92" s="1330"/>
      <c r="H92" s="1365"/>
      <c r="I92" s="1365"/>
      <c r="J92" s="1330"/>
      <c r="K92" s="1340" t="s">
        <v>2912</v>
      </c>
      <c r="L92" s="1364">
        <f>'Part I-Project Information'!M85</f>
        <v>0</v>
      </c>
      <c r="M92" s="1340" t="s">
        <v>3869</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4</v>
      </c>
      <c r="I94" s="1330"/>
      <c r="J94" s="1330"/>
      <c r="K94" s="1330" t="s">
        <v>520</v>
      </c>
      <c r="L94" s="1330"/>
      <c r="M94" s="1330"/>
      <c r="N94" s="1369">
        <f>IF('Part VI-Revenues &amp; Expenses'!$O$67=0,0,H94/'Part VI-Revenues &amp; Expenses'!$O$67)</f>
        <v>5.5555555555555552E-2</v>
      </c>
      <c r="O94" s="1340" t="s">
        <v>3693</v>
      </c>
      <c r="P94" s="1370">
        <f>'DCA Underwriting Assumptions'!$Q$139</f>
        <v>0.05</v>
      </c>
    </row>
    <row r="95" spans="1:16" ht="13.8">
      <c r="A95" s="1328"/>
      <c r="B95" s="1328"/>
      <c r="C95" s="1330"/>
      <c r="D95" s="1363" t="s">
        <v>2840</v>
      </c>
      <c r="E95" s="1363"/>
      <c r="F95" s="1363" t="s">
        <v>796</v>
      </c>
      <c r="G95" s="1330"/>
      <c r="H95" s="1364" t="e">
        <f>'Part VIII-Threshold Criteria'!#REF!</f>
        <v>#REF!</v>
      </c>
      <c r="I95" s="1330"/>
      <c r="J95" s="1330"/>
      <c r="K95" s="1330" t="s">
        <v>2841</v>
      </c>
      <c r="L95" s="1330"/>
      <c r="M95" s="1330"/>
      <c r="N95" s="1369" t="e">
        <f>IF(H94=0,0,H95/H94)</f>
        <v>#REF!</v>
      </c>
      <c r="O95" s="1340" t="s">
        <v>3693</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2708</v>
      </c>
      <c r="D107" s="1330"/>
      <c r="E107" s="1330"/>
      <c r="F107" s="1348" t="s">
        <v>2600</v>
      </c>
      <c r="G107" s="1330"/>
      <c r="H107" s="1334" t="str">
        <f>'Part I-Project Information'!H100</f>
        <v>No</v>
      </c>
      <c r="I107" s="1330"/>
      <c r="J107" s="1330"/>
      <c r="K107" s="1348" t="s">
        <v>3892</v>
      </c>
      <c r="L107" s="1334" t="str">
        <f>'Part I-Project Information'!H101</f>
        <v>No</v>
      </c>
      <c r="M107" s="1330"/>
      <c r="N107" s="1330"/>
      <c r="O107" s="1340" t="s">
        <v>3886</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2783</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3661</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1</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1000000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C. Jeffrey Rice</v>
      </c>
      <c r="D131" s="1393">
        <f>'Part I-Project Information'!D125</f>
        <v>0</v>
      </c>
      <c r="E131" s="1393">
        <f>'Part I-Project Information'!E125</f>
        <v>0</v>
      </c>
      <c r="F131" s="1393" t="str">
        <f>'Part I-Project Information'!F125</f>
        <v>Brennan Place</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t="str">
        <f>'Part I-Project Information'!I145</f>
        <v>No</v>
      </c>
      <c r="J151" s="1330"/>
      <c r="K151" s="1330"/>
      <c r="L151" s="1330"/>
      <c r="M151" s="1334"/>
      <c r="N151" s="1330"/>
      <c r="O151" s="1330"/>
      <c r="P151" s="1343"/>
    </row>
    <row r="152" spans="1:16" ht="13.8">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2490</v>
      </c>
      <c r="D158" s="1363"/>
      <c r="E158" s="1363"/>
      <c r="F158" s="1334"/>
      <c r="G158" s="1330"/>
      <c r="H158" s="1330"/>
      <c r="I158" s="1344" t="str">
        <f>'Part I-Project Information'!I155</f>
        <v>No</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2701</v>
      </c>
      <c r="D160" s="1363"/>
      <c r="E160" s="1363"/>
      <c r="F160" s="1334"/>
      <c r="G160" s="1334"/>
      <c r="H160" s="1330"/>
      <c r="I160" s="1330"/>
      <c r="J160" s="1330"/>
      <c r="K160" s="1330"/>
      <c r="L160" s="1330"/>
      <c r="M160" s="1330"/>
      <c r="N160" s="1330"/>
      <c r="O160" s="1330"/>
      <c r="P160" s="1343"/>
    </row>
    <row r="161" spans="1:16" ht="13.8">
      <c r="A161" s="1328"/>
      <c r="B161" s="1328"/>
      <c r="C161" s="1363" t="s">
        <v>4486</v>
      </c>
      <c r="D161" s="1363"/>
      <c r="E161" s="1363"/>
      <c r="F161" s="1334"/>
      <c r="G161" s="1334"/>
      <c r="H161" s="1330"/>
      <c r="I161" s="1344" t="str">
        <f>'Part I-Project Information'!I152</f>
        <v>No</v>
      </c>
      <c r="J161" s="1330"/>
      <c r="K161" s="1363" t="s">
        <v>1535</v>
      </c>
      <c r="L161" s="1363"/>
      <c r="M161" s="1334"/>
      <c r="N161" s="1334"/>
      <c r="O161" s="1344" t="str">
        <f>'Part I-Project Information'!O152</f>
        <v>No</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4487</v>
      </c>
      <c r="D168" s="1330"/>
      <c r="E168" s="1330"/>
      <c r="F168" s="1330"/>
      <c r="G168" s="1330"/>
      <c r="H168" s="1364">
        <f>'Part I-Project Information'!I162</f>
        <v>0</v>
      </c>
      <c r="I168" s="1335"/>
      <c r="J168" s="1377" t="s">
        <v>3723</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2703</v>
      </c>
      <c r="D176" s="1367"/>
      <c r="E176" s="1367"/>
      <c r="F176" s="1367"/>
      <c r="G176" s="1367"/>
      <c r="H176" s="1330"/>
      <c r="I176" s="1344" t="str">
        <f>'Part I-Project Information'!I172</f>
        <v>Yes</v>
      </c>
      <c r="J176" s="1348" t="s">
        <v>761</v>
      </c>
      <c r="K176" s="1348"/>
      <c r="L176" s="1344">
        <f>'Part I-Project Information'!L172</f>
        <v>0</v>
      </c>
      <c r="M176" s="1330" t="s">
        <v>2326</v>
      </c>
      <c r="N176" s="1330"/>
      <c r="O176" s="1330"/>
      <c r="P176" s="1419">
        <f>'Part I-Project Information'!P172</f>
        <v>0</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2753</v>
      </c>
      <c r="K180" s="1330"/>
      <c r="L180" s="1348" t="s">
        <v>4488</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2845</v>
      </c>
      <c r="M185" s="1330"/>
      <c r="N185" s="1330"/>
      <c r="O185" s="1330"/>
      <c r="P185" s="1344" t="str">
        <f>'Part I-Project Information'!P181</f>
        <v>No</v>
      </c>
    </row>
    <row r="186" spans="1:16" ht="13.8">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t="str">
        <f>'Part I-Project Information'!P182</f>
        <v>No</v>
      </c>
    </row>
    <row r="187" spans="1:16" ht="13.8">
      <c r="A187" s="1328"/>
      <c r="B187" s="1328"/>
      <c r="C187" s="1330" t="s">
        <v>1285</v>
      </c>
      <c r="D187" s="1381"/>
      <c r="E187" s="1330"/>
      <c r="F187" s="1330"/>
      <c r="G187" s="1330"/>
      <c r="H187" s="1330"/>
      <c r="I187" s="1344" t="str">
        <f>'Part I-Project Information'!I183</f>
        <v>No</v>
      </c>
      <c r="J187" s="1330"/>
      <c r="K187" s="1311"/>
      <c r="L187" s="1330" t="s">
        <v>3481</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ht="13.8">
      <c r="A189" s="1328"/>
      <c r="B189" s="1328"/>
      <c r="C189" s="1330" t="s">
        <v>2902</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44409</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The Applicant submited a pre-application and the project team was "Qualified - Conditional". At the time of pre-application, Applicant did not have a specific site. The only change from the pre-application is that there is a known project location. Project team has not changed.
XIII. ADDITIONAL PROJECT INFORMATION: Section B, new properties: Owner is willing to forgo the Qualified Contract "cancellation option" after the close of the compliance period.</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2019-042 Brennan Place,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4453</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4250</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Brennan Place,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C. Jeffrey Rice</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6825 Halcyon Park Drive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Manager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Montgomery</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3342816820</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AL</v>
      </c>
      <c r="I211" s="1334" t="s">
        <v>2229</v>
      </c>
      <c r="J211" s="1798">
        <f>'Part II-Development Team'!J8</f>
        <v>361176972</v>
      </c>
      <c r="K211" s="1798">
        <f>'Part II-Development Team'!K8</f>
        <v>0</v>
      </c>
      <c r="L211" s="1330" t="s">
        <v>3685</v>
      </c>
      <c r="M211" s="1330" t="str">
        <f>'Part II-Development Team'!M8</f>
        <v>For Profit</v>
      </c>
      <c r="N211" s="1330">
        <f>'Part II-Development Team'!N8</f>
        <v>0</v>
      </c>
      <c r="O211" s="1337" t="s">
        <v>1979</v>
      </c>
      <c r="P211" s="1330"/>
      <c r="Q211" s="1799">
        <f>'Part II-Development Team'!Q8</f>
        <v>0</v>
      </c>
      <c r="R211" s="1799">
        <f>'Part II-Development Team'!R8</f>
        <v>0</v>
      </c>
      <c r="S211" s="1799">
        <f>'Part II-Development Team'!S8</f>
        <v>0</v>
      </c>
    </row>
    <row r="212" spans="1:19" ht="13.8">
      <c r="A212" s="1330"/>
      <c r="B212" s="1330"/>
      <c r="C212" s="1330"/>
      <c r="D212" s="1382"/>
      <c r="E212" s="1337" t="s">
        <v>4251</v>
      </c>
      <c r="F212" s="1330"/>
      <c r="G212" s="1330"/>
      <c r="H212" s="1799">
        <f>'Part II-Development Team'!H9</f>
        <v>3342816820</v>
      </c>
      <c r="I212" s="1799">
        <f>'Part II-Development Team'!I9</f>
        <v>0</v>
      </c>
      <c r="J212" s="1344">
        <f>'Part II-Development Team'!J9</f>
        <v>0</v>
      </c>
      <c r="K212" s="1334" t="s">
        <v>1984</v>
      </c>
      <c r="L212" s="1706" t="str">
        <f>'Part II-Development Team'!L9</f>
        <v>jrice@guilfordcompanies.com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4250</v>
      </c>
      <c r="F213" s="1330"/>
      <c r="G213" s="1330"/>
      <c r="H213" s="1378"/>
      <c r="I213" s="1330"/>
      <c r="J213" s="1330"/>
      <c r="K213" s="1393"/>
      <c r="L213" s="1330"/>
      <c r="M213" s="1330"/>
      <c r="N213" s="1311" t="s">
        <v>4489</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Columbus GP,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C. Jeffrey Rice</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6825 Halcyon Park Drive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Manager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Montgomery</v>
      </c>
      <c r="I219" s="1330">
        <f>'Part II-Development Team'!I16</f>
        <v>0</v>
      </c>
      <c r="J219" s="1330">
        <f>'Part II-Development Team'!J16</f>
        <v>0</v>
      </c>
      <c r="K219" s="1334" t="s">
        <v>2704</v>
      </c>
      <c r="L219" s="1330">
        <f>'Part II-Development Team'!L16</f>
        <v>0</v>
      </c>
      <c r="M219" s="1330">
        <f>'Part II-Development Team'!M16</f>
        <v>0</v>
      </c>
      <c r="N219" s="1330">
        <f>'Part II-Development Team'!N16</f>
        <v>0</v>
      </c>
      <c r="O219" s="1337" t="s">
        <v>1721</v>
      </c>
      <c r="P219" s="1330"/>
      <c r="Q219" s="1799">
        <f>'Part II-Development Team'!Q16</f>
        <v>3342816820</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AL</v>
      </c>
      <c r="I220" s="1330"/>
      <c r="J220" s="1330"/>
      <c r="K220" s="1334" t="s">
        <v>2229</v>
      </c>
      <c r="L220" s="1798">
        <f>'Part II-Development Team'!L17</f>
        <v>361176972</v>
      </c>
      <c r="M220" s="1798">
        <f>'Part II-Development Team'!M17</f>
        <v>0</v>
      </c>
      <c r="N220" s="1330"/>
      <c r="O220" s="1337" t="s">
        <v>1979</v>
      </c>
      <c r="P220" s="1330"/>
      <c r="Q220" s="1799">
        <f>'Part II-Development Team'!Q17</f>
        <v>0</v>
      </c>
      <c r="R220" s="1799">
        <f>'Part II-Development Team'!R17</f>
        <v>0</v>
      </c>
      <c r="S220" s="1799">
        <f>'Part II-Development Team'!S17</f>
        <v>0</v>
      </c>
    </row>
    <row r="221" spans="1:19" ht="13.8">
      <c r="A221" s="1330"/>
      <c r="B221" s="1330"/>
      <c r="C221" s="1330"/>
      <c r="D221" s="1382"/>
      <c r="E221" s="1337" t="s">
        <v>4251</v>
      </c>
      <c r="F221" s="1330"/>
      <c r="G221" s="1330"/>
      <c r="H221" s="1799">
        <f>'Part II-Development Team'!H18</f>
        <v>3342816820</v>
      </c>
      <c r="I221" s="1799">
        <f>'Part II-Development Team'!I18</f>
        <v>0</v>
      </c>
      <c r="J221" s="1344">
        <f>'Part II-Development Team'!J18</f>
        <v>0</v>
      </c>
      <c r="K221" s="1334" t="s">
        <v>1984</v>
      </c>
      <c r="L221" s="1706" t="str">
        <f>'Part II-Development Team'!L18</f>
        <v>jrice@guilfordcompanies.com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4251</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4251</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4250</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Affordable Equity Partners, Inc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Kimes</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2704</v>
      </c>
      <c r="L238" s="1330" t="str">
        <f>'Part II-Development Team'!L35</f>
        <v>www.aepartners.com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MO</v>
      </c>
      <c r="I239" s="1330"/>
      <c r="J239" s="1330"/>
      <c r="K239" s="1334" t="s">
        <v>2229</v>
      </c>
      <c r="L239" s="1798">
        <f>'Part II-Development Team'!L36</f>
        <v>652034905</v>
      </c>
      <c r="M239" s="1798">
        <f>'Part II-Development Team'!M36</f>
        <v>0</v>
      </c>
      <c r="N239" s="1330"/>
      <c r="O239" s="1337" t="s">
        <v>1979</v>
      </c>
      <c r="P239" s="1330"/>
      <c r="Q239" s="1799">
        <f>'Part II-Development Team'!Q36</f>
        <v>5734248811</v>
      </c>
      <c r="R239" s="1799">
        <f>'Part II-Development Team'!R36</f>
        <v>0</v>
      </c>
      <c r="S239" s="1799">
        <f>'Part II-Development Team'!S36</f>
        <v>0</v>
      </c>
    </row>
    <row r="240" spans="1:19" ht="13.8">
      <c r="A240" s="1330"/>
      <c r="B240" s="1330"/>
      <c r="C240" s="1330"/>
      <c r="D240" s="1382"/>
      <c r="E240" s="1337" t="s">
        <v>4251</v>
      </c>
      <c r="F240" s="1330"/>
      <c r="G240" s="1330"/>
      <c r="H240" s="1799">
        <f>'Part II-Development Team'!H37</f>
        <v>5734432021</v>
      </c>
      <c r="I240" s="1799">
        <f>'Part II-Development Team'!I37</f>
        <v>0</v>
      </c>
      <c r="J240" s="1344">
        <f>'Part II-Development Team'!J37</f>
        <v>0</v>
      </c>
      <c r="K240" s="1334" t="s">
        <v>1984</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Affordable Equity Partners, Inc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Kimes</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2704</v>
      </c>
      <c r="L244" s="1330" t="str">
        <f>'Part II-Development Team'!L41</f>
        <v>www.aepartners.com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MO</v>
      </c>
      <c r="I245" s="1330"/>
      <c r="J245" s="1330"/>
      <c r="K245" s="1334" t="s">
        <v>2229</v>
      </c>
      <c r="L245" s="1798">
        <f>'Part II-Development Team'!L42</f>
        <v>652034905</v>
      </c>
      <c r="M245" s="1798">
        <f>'Part II-Development Team'!M42</f>
        <v>0</v>
      </c>
      <c r="N245" s="1330"/>
      <c r="O245" s="1337" t="s">
        <v>1979</v>
      </c>
      <c r="P245" s="1330"/>
      <c r="Q245" s="1799">
        <f>'Part II-Development Team'!Q42</f>
        <v>5734248811</v>
      </c>
      <c r="R245" s="1799">
        <f>'Part II-Development Team'!R42</f>
        <v>0</v>
      </c>
      <c r="S245" s="1799">
        <f>'Part II-Development Team'!S42</f>
        <v>0</v>
      </c>
    </row>
    <row r="246" spans="1:19" ht="13.8">
      <c r="A246" s="1330"/>
      <c r="B246" s="1330"/>
      <c r="C246" s="1330"/>
      <c r="D246" s="1382"/>
      <c r="E246" s="1337" t="s">
        <v>4251</v>
      </c>
      <c r="F246" s="1330"/>
      <c r="G246" s="1330"/>
      <c r="H246" s="1799">
        <f>'Part II-Development Team'!H43</f>
        <v>5734432021</v>
      </c>
      <c r="I246" s="1799">
        <f>'Part II-Development Team'!I43</f>
        <v>0</v>
      </c>
      <c r="J246" s="1344">
        <f>'Part II-Development Team'!J43</f>
        <v>0</v>
      </c>
      <c r="K246" s="1334" t="s">
        <v>1984</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2534</v>
      </c>
      <c r="D248" s="1366" t="s">
        <v>651</v>
      </c>
      <c r="E248" s="1330"/>
      <c r="F248" s="1330"/>
      <c r="G248" s="1330"/>
      <c r="H248" s="1330"/>
      <c r="I248" s="1330"/>
      <c r="J248" s="1330"/>
      <c r="K248" s="1332" t="s">
        <v>4250</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4251</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4250</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Main Street Homes,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C. Jeffrey Rice</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6825 Halcyon Park Drive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Principal</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Montgomery</v>
      </c>
      <c r="I259" s="1330">
        <f>'Part II-Development Team'!I56</f>
        <v>0</v>
      </c>
      <c r="J259" s="1330">
        <f>'Part II-Development Team'!J56</f>
        <v>0</v>
      </c>
      <c r="K259" s="1334" t="s">
        <v>2704</v>
      </c>
      <c r="L259" s="1330">
        <f>'Part II-Development Team'!L56</f>
        <v>0</v>
      </c>
      <c r="M259" s="1330">
        <f>'Part II-Development Team'!M56</f>
        <v>0</v>
      </c>
      <c r="N259" s="1330">
        <f>'Part II-Development Team'!N56</f>
        <v>0</v>
      </c>
      <c r="O259" s="1337" t="s">
        <v>1721</v>
      </c>
      <c r="P259" s="1330"/>
      <c r="Q259" s="1799">
        <f>'Part II-Development Team'!Q56</f>
        <v>3342816820</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AL</v>
      </c>
      <c r="I260" s="1330"/>
      <c r="J260" s="1330"/>
      <c r="K260" s="1334" t="s">
        <v>2229</v>
      </c>
      <c r="L260" s="1798">
        <f>'Part II-Development Team'!L57</f>
        <v>361176972</v>
      </c>
      <c r="M260" s="1798">
        <f>'Part II-Development Team'!M57</f>
        <v>0</v>
      </c>
      <c r="N260" s="1330"/>
      <c r="O260" s="1337" t="s">
        <v>1979</v>
      </c>
      <c r="P260" s="1330"/>
      <c r="Q260" s="1799">
        <f>'Part II-Development Team'!Q57</f>
        <v>0</v>
      </c>
      <c r="R260" s="1799">
        <f>'Part II-Development Team'!R57</f>
        <v>0</v>
      </c>
      <c r="S260" s="1799">
        <f>'Part II-Development Team'!S57</f>
        <v>0</v>
      </c>
    </row>
    <row r="261" spans="1:19" ht="13.8">
      <c r="A261" s="1330"/>
      <c r="B261" s="1330"/>
      <c r="C261" s="1330"/>
      <c r="D261" s="1382"/>
      <c r="E261" s="1337" t="s">
        <v>4251</v>
      </c>
      <c r="F261" s="1330"/>
      <c r="G261" s="1330"/>
      <c r="H261" s="1799">
        <f>'Part II-Development Team'!H58</f>
        <v>3342816820</v>
      </c>
      <c r="I261" s="1799">
        <f>'Part II-Development Team'!I58</f>
        <v>0</v>
      </c>
      <c r="J261" s="1344">
        <f>'Part II-Development Team'!J58</f>
        <v>0</v>
      </c>
      <c r="K261" s="1334" t="s">
        <v>1984</v>
      </c>
      <c r="L261" s="1706" t="str">
        <f>'Part II-Development Team'!L58</f>
        <v>jrice@guilfordcompanies.com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f>'Part II-Development Team'!Q60</f>
        <v>0</v>
      </c>
      <c r="R263" s="1330">
        <f>'Part II-Development Team'!R60</f>
        <v>0</v>
      </c>
      <c r="S263" s="1330">
        <f>'Part II-Development Team'!S60</f>
        <v>0</v>
      </c>
    </row>
    <row r="264" spans="1:19" ht="13.8">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ht="13.8">
      <c r="A265" s="1330"/>
      <c r="B265" s="1330"/>
      <c r="C265" s="1330"/>
      <c r="D265" s="1382"/>
      <c r="E265" s="1337" t="s">
        <v>618</v>
      </c>
      <c r="F265" s="1330"/>
      <c r="G265" s="1330"/>
      <c r="H265" s="1330">
        <f>'Part II-Development Team'!H62</f>
        <v>0</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f>'Part II-Development Team'!H63</f>
        <v>0</v>
      </c>
      <c r="I266" s="1330"/>
      <c r="J266" s="1330"/>
      <c r="K266" s="1334" t="s">
        <v>2229</v>
      </c>
      <c r="L266" s="1798">
        <f>'Part II-Development Team'!L63</f>
        <v>0</v>
      </c>
      <c r="M266" s="1798">
        <f>'Part II-Development Team'!M63</f>
        <v>0</v>
      </c>
      <c r="N266" s="1330"/>
      <c r="O266" s="1337" t="s">
        <v>1979</v>
      </c>
      <c r="P266" s="1330"/>
      <c r="Q266" s="1799">
        <f>'Part II-Development Team'!Q63</f>
        <v>0</v>
      </c>
      <c r="R266" s="1799">
        <f>'Part II-Development Team'!R63</f>
        <v>0</v>
      </c>
      <c r="S266" s="1799">
        <f>'Part II-Development Team'!S63</f>
        <v>0</v>
      </c>
    </row>
    <row r="267" spans="1:19" ht="13.8">
      <c r="A267" s="1330"/>
      <c r="B267" s="1330"/>
      <c r="C267" s="1330"/>
      <c r="D267" s="1382"/>
      <c r="E267" s="1337" t="s">
        <v>4251</v>
      </c>
      <c r="F267" s="1330"/>
      <c r="G267" s="1330"/>
      <c r="H267" s="1799">
        <f>'Part II-Development Team'!H64</f>
        <v>0</v>
      </c>
      <c r="I267" s="1799">
        <f>'Part II-Development Team'!I64</f>
        <v>0</v>
      </c>
      <c r="J267" s="1344">
        <f>'Part II-Development Team'!J64</f>
        <v>0</v>
      </c>
      <c r="K267" s="1334" t="s">
        <v>1984</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4251</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4251</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4250</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4251</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Fairway Construction Company, Inc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Will Markel</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206 Peach Way</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Executive Vice President</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Columbia</v>
      </c>
      <c r="I291" s="1330">
        <f>'Part II-Development Team'!I88</f>
        <v>0</v>
      </c>
      <c r="J291" s="1330">
        <f>'Part II-Development Team'!J88</f>
        <v>0</v>
      </c>
      <c r="K291" s="1334" t="s">
        <v>2704</v>
      </c>
      <c r="L291" s="1330" t="str">
        <f>'Part II-Development Team'!L88</f>
        <v>www.fairwayconstruction.net</v>
      </c>
      <c r="M291" s="1330">
        <f>'Part II-Development Team'!M88</f>
        <v>0</v>
      </c>
      <c r="N291" s="1330">
        <f>'Part II-Development Team'!N88</f>
        <v>0</v>
      </c>
      <c r="O291" s="1337" t="s">
        <v>1721</v>
      </c>
      <c r="P291" s="1330"/>
      <c r="Q291" s="1799">
        <f>'Part II-Development Team'!Q88</f>
        <v>5734432021</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MO</v>
      </c>
      <c r="I292" s="1330"/>
      <c r="J292" s="1330"/>
      <c r="K292" s="1334" t="s">
        <v>2229</v>
      </c>
      <c r="L292" s="1798">
        <f>'Part II-Development Team'!L89</f>
        <v>652034905</v>
      </c>
      <c r="M292" s="1798">
        <f>'Part II-Development Team'!M89</f>
        <v>0</v>
      </c>
      <c r="N292" s="1330"/>
      <c r="O292" s="1337" t="s">
        <v>1979</v>
      </c>
      <c r="P292" s="1330"/>
      <c r="Q292" s="1799">
        <f>'Part II-Development Team'!Q89</f>
        <v>0</v>
      </c>
      <c r="R292" s="1799">
        <f>'Part II-Development Team'!R89</f>
        <v>0</v>
      </c>
      <c r="S292" s="1799">
        <f>'Part II-Development Team'!S89</f>
        <v>0</v>
      </c>
    </row>
    <row r="293" spans="1:19" ht="13.8">
      <c r="A293" s="1330"/>
      <c r="B293" s="1330"/>
      <c r="C293" s="1330"/>
      <c r="D293" s="1382"/>
      <c r="E293" s="1337" t="s">
        <v>4251</v>
      </c>
      <c r="F293" s="1330"/>
      <c r="G293" s="1330"/>
      <c r="H293" s="1799">
        <f>'Part II-Development Team'!H90</f>
        <v>5734432021</v>
      </c>
      <c r="I293" s="1799">
        <f>'Part II-Development Team'!I90</f>
        <v>0</v>
      </c>
      <c r="J293" s="1344">
        <f>'Part II-Development Team'!J90</f>
        <v>0</v>
      </c>
      <c r="K293" s="1334" t="s">
        <v>1984</v>
      </c>
      <c r="L293" s="1706" t="str">
        <f>'Part II-Development Team'!L90</f>
        <v>tstanley@fairwayconstruction.net</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Fairway Management Co.,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Ryan Stevens</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3290 Northside Parkway, Suite 300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2704</v>
      </c>
      <c r="L297" s="1330" t="str">
        <f>'Part II-Development Team'!L94</f>
        <v>www.fairwaymanagement.com</v>
      </c>
      <c r="M297" s="1330">
        <f>'Part II-Development Team'!M94</f>
        <v>0</v>
      </c>
      <c r="N297" s="1330">
        <f>'Part II-Development Team'!N94</f>
        <v>0</v>
      </c>
      <c r="O297" s="1337" t="s">
        <v>1721</v>
      </c>
      <c r="P297" s="1330"/>
      <c r="Q297" s="1799">
        <f>'Part II-Development Team'!Q94</f>
        <v>5734432021</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GA</v>
      </c>
      <c r="I298" s="1330"/>
      <c r="J298" s="1330"/>
      <c r="K298" s="1334" t="s">
        <v>2229</v>
      </c>
      <c r="L298" s="1798">
        <f>'Part II-Development Team'!L95</f>
        <v>303272212</v>
      </c>
      <c r="M298" s="1798">
        <f>'Part II-Development Team'!M95</f>
        <v>0</v>
      </c>
      <c r="N298" s="1330"/>
      <c r="O298" s="1337" t="s">
        <v>1979</v>
      </c>
      <c r="P298" s="1330"/>
      <c r="Q298" s="1799">
        <f>'Part II-Development Team'!Q95</f>
        <v>0</v>
      </c>
      <c r="R298" s="1799">
        <f>'Part II-Development Team'!R95</f>
        <v>0</v>
      </c>
      <c r="S298" s="1799">
        <f>'Part II-Development Team'!S95</f>
        <v>0</v>
      </c>
    </row>
    <row r="299" spans="1:19" ht="13.8">
      <c r="A299" s="1330"/>
      <c r="B299" s="1330"/>
      <c r="C299" s="1330"/>
      <c r="D299" s="1382"/>
      <c r="E299" s="1337" t="s">
        <v>4251</v>
      </c>
      <c r="F299" s="1330"/>
      <c r="G299" s="1330"/>
      <c r="H299" s="1799">
        <f>'Part II-Development Team'!H96</f>
        <v>5734432021</v>
      </c>
      <c r="I299" s="1799">
        <f>'Part II-Development Team'!I96</f>
        <v>0</v>
      </c>
      <c r="J299" s="1344">
        <f>'Part II-Development Team'!J96</f>
        <v>0</v>
      </c>
      <c r="K299" s="1334" t="s">
        <v>1984</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Coleman Talley</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Greg Clark</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109 S Ashley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Valdosta</v>
      </c>
      <c r="I303" s="1330">
        <f>'Part II-Development Team'!I100</f>
        <v>0</v>
      </c>
      <c r="J303" s="1330">
        <f>'Part II-Development Team'!J100</f>
        <v>0</v>
      </c>
      <c r="K303" s="1334" t="s">
        <v>2704</v>
      </c>
      <c r="L303" s="1330" t="str">
        <f>'Part II-Development Team'!L100</f>
        <v>www.colemantalley.com</v>
      </c>
      <c r="M303" s="1330">
        <f>'Part II-Development Team'!M100</f>
        <v>0</v>
      </c>
      <c r="N303" s="1330">
        <f>'Part II-Development Team'!N100</f>
        <v>0</v>
      </c>
      <c r="O303" s="1337" t="s">
        <v>1721</v>
      </c>
      <c r="P303" s="1330"/>
      <c r="Q303" s="1799">
        <f>'Part II-Development Team'!Q100</f>
        <v>2296718260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2229</v>
      </c>
      <c r="L304" s="1798">
        <f>'Part II-Development Team'!L101</f>
        <v>316015601</v>
      </c>
      <c r="M304" s="1798">
        <f>'Part II-Development Team'!M101</f>
        <v>0</v>
      </c>
      <c r="N304" s="1330"/>
      <c r="O304" s="1337" t="s">
        <v>1979</v>
      </c>
      <c r="P304" s="1330"/>
      <c r="Q304" s="1799">
        <f>'Part II-Development Team'!Q101</f>
        <v>2298349704</v>
      </c>
      <c r="R304" s="1799">
        <f>'Part II-Development Team'!R101</f>
        <v>0</v>
      </c>
      <c r="S304" s="1799">
        <f>'Part II-Development Team'!S101</f>
        <v>0</v>
      </c>
    </row>
    <row r="305" spans="1:19" ht="13.8">
      <c r="A305" s="1336"/>
      <c r="B305" s="1336"/>
      <c r="C305" s="1336"/>
      <c r="D305" s="1336"/>
      <c r="E305" s="1337" t="s">
        <v>4251</v>
      </c>
      <c r="F305" s="1330"/>
      <c r="G305" s="1330"/>
      <c r="H305" s="1799">
        <f>'Part II-Development Team'!H102</f>
        <v>2292427562</v>
      </c>
      <c r="I305" s="1799">
        <f>'Part II-Development Team'!I102</f>
        <v>0</v>
      </c>
      <c r="J305" s="1344">
        <f>'Part II-Development Team'!J102</f>
        <v>0</v>
      </c>
      <c r="K305" s="1334" t="s">
        <v>1984</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Howe &amp; Associates</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Bill Howe</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104 E Broadway</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Owner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Columbia</v>
      </c>
      <c r="I309" s="1330">
        <f>'Part II-Development Team'!I106</f>
        <v>0</v>
      </c>
      <c r="J309" s="1330">
        <f>'Part II-Development Team'!J106</f>
        <v>0</v>
      </c>
      <c r="K309" s="1334" t="s">
        <v>2704</v>
      </c>
      <c r="L309" s="1330">
        <f>'Part II-Development Team'!L106</f>
        <v>0</v>
      </c>
      <c r="M309" s="1330">
        <f>'Part II-Development Team'!M106</f>
        <v>0</v>
      </c>
      <c r="N309" s="1330">
        <f>'Part II-Development Team'!N106</f>
        <v>0</v>
      </c>
      <c r="O309" s="1337" t="s">
        <v>1721</v>
      </c>
      <c r="P309" s="1330"/>
      <c r="Q309" s="1799">
        <f>'Part II-Development Team'!Q106</f>
        <v>5738741040</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MO</v>
      </c>
      <c r="I310" s="1330"/>
      <c r="J310" s="1330"/>
      <c r="K310" s="1334" t="s">
        <v>2229</v>
      </c>
      <c r="L310" s="1798">
        <f>'Part II-Development Team'!L107</f>
        <v>652034256</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ht="13.8">
      <c r="A311" s="1336"/>
      <c r="B311" s="1336"/>
      <c r="C311" s="1336"/>
      <c r="D311" s="1336"/>
      <c r="E311" s="1337" t="s">
        <v>4251</v>
      </c>
      <c r="F311" s="1330"/>
      <c r="G311" s="1330"/>
      <c r="H311" s="1799">
        <f>'Part II-Development Team'!H108</f>
        <v>5738741040</v>
      </c>
      <c r="I311" s="1799">
        <f>'Part II-Development Team'!I108</f>
        <v>0</v>
      </c>
      <c r="J311" s="1344">
        <f>'Part II-Development Team'!J108</f>
        <v>0</v>
      </c>
      <c r="K311" s="1334" t="s">
        <v>1984</v>
      </c>
      <c r="L311" s="1706">
        <f>'Part II-Development Team'!L108</f>
        <v>0</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Martin Riley Associates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Mike Rley</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215 Church Street</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Vice Presient</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Decatur</v>
      </c>
      <c r="I315" s="1330">
        <f>'Part II-Development Team'!I112</f>
        <v>0</v>
      </c>
      <c r="J315" s="1330">
        <f>'Part II-Development Team'!J112</f>
        <v>0</v>
      </c>
      <c r="K315" s="1334" t="s">
        <v>2704</v>
      </c>
      <c r="L315" s="1330" t="str">
        <f>'Part II-Development Team'!L112</f>
        <v>www.martinriley.com</v>
      </c>
      <c r="M315" s="1330">
        <f>'Part II-Development Team'!M112</f>
        <v>0</v>
      </c>
      <c r="N315" s="1330">
        <f>'Part II-Development Team'!N112</f>
        <v>0</v>
      </c>
      <c r="O315" s="1337" t="s">
        <v>1721</v>
      </c>
      <c r="P315" s="1330"/>
      <c r="Q315" s="1799">
        <f>'Part II-Development Team'!Q112</f>
        <v>4043732800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2229</v>
      </c>
      <c r="L316" s="1798">
        <f>'Part II-Development Team'!L113</f>
        <v>300303330</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ht="13.8">
      <c r="A317" s="1330"/>
      <c r="B317" s="1330"/>
      <c r="C317" s="1330"/>
      <c r="D317" s="1382"/>
      <c r="E317" s="1337" t="s">
        <v>4251</v>
      </c>
      <c r="F317" s="1330"/>
      <c r="G317" s="1330"/>
      <c r="H317" s="1799">
        <f>'Part II-Development Team'!H114</f>
        <v>4043732800</v>
      </c>
      <c r="I317" s="1799">
        <f>'Part II-Development Team'!I114</f>
        <v>0</v>
      </c>
      <c r="J317" s="1344">
        <f>'Part II-Development Team'!J114</f>
        <v>0</v>
      </c>
      <c r="K317" s="1334" t="s">
        <v>1984</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4490</v>
      </c>
      <c r="D320" s="1330"/>
      <c r="E320" s="1330"/>
      <c r="F320" s="1330"/>
      <c r="G320" s="1330"/>
      <c r="H320" s="1330" t="str">
        <f>'Part II-Development Team'!H117</f>
        <v>Al Brenn, Inc &amp; RPB Partnership, LLLP</v>
      </c>
      <c r="I320" s="1330">
        <f>'Part II-Development Team'!I117</f>
        <v>0</v>
      </c>
      <c r="J320" s="1330">
        <f>'Part II-Development Team'!J117</f>
        <v>0</v>
      </c>
      <c r="K320" s="1334" t="s">
        <v>2474</v>
      </c>
      <c r="L320" s="1330" t="str">
        <f>'Part II-Development Team'!L117</f>
        <v>Jean B. Mann</v>
      </c>
      <c r="M320" s="1330">
        <f>'Part II-Development Team'!M117</f>
        <v>0</v>
      </c>
      <c r="N320" s="1330">
        <f>'Part II-Development Team'!N117</f>
        <v>0</v>
      </c>
      <c r="O320" s="1337" t="s">
        <v>3578</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t="str">
        <f>'Part II-Development Team'!H118</f>
        <v>2846 Lynda Lane</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Columbus</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2229</v>
      </c>
      <c r="J322" s="1798">
        <f>'Part II-Development Team'!J119</f>
        <v>319060000</v>
      </c>
      <c r="K322" s="1798">
        <f>'Part II-Development Team'!K119</f>
        <v>0</v>
      </c>
      <c r="L322" s="1334" t="s">
        <v>1984</v>
      </c>
      <c r="M322" s="1706" t="str">
        <f>'Part II-Development Team'!M119</f>
        <v>mann5683@charter.net</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2835</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3875</v>
      </c>
      <c r="B324" s="1386"/>
      <c r="C324" s="1386"/>
      <c r="D324" s="1386"/>
      <c r="E324" s="1386"/>
      <c r="F324" s="1344" t="s">
        <v>2510</v>
      </c>
      <c r="G324" s="1341" t="s">
        <v>3477</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2836</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2901</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2877</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2837</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3465</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3466</v>
      </c>
      <c r="E330" s="1365"/>
      <c r="F330" s="1812" t="str">
        <f>'Part II-Development Team'!F127</f>
        <v>Yes</v>
      </c>
      <c r="G330" s="1573" t="str">
        <f>'Part II-Development Team'!G127</f>
        <v>The Federal and State Syndicator and the General Contractor are related parties.</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2838</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Syndicator and Management Company?</v>
      </c>
      <c r="E332" s="1365">
        <f>'Part II-Development Team'!E130</f>
        <v>0</v>
      </c>
      <c r="F332" s="1812" t="str">
        <f>'Part II-Development Team'!F130</f>
        <v>Yes</v>
      </c>
      <c r="G332" s="1573" t="str">
        <f>'Part II-Development Team'!G130</f>
        <v>The Federal and State Syndicator and the Management Company are related parties.</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4491</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2839</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3447</v>
      </c>
      <c r="F336" s="1365"/>
      <c r="G336" s="1365"/>
      <c r="H336" s="1365"/>
      <c r="I336" s="1365"/>
      <c r="J336" s="1365" t="s">
        <v>3448</v>
      </c>
      <c r="K336" s="1388" t="s">
        <v>4492</v>
      </c>
      <c r="L336" s="1388" t="s">
        <v>4493</v>
      </c>
      <c r="M336" s="1388" t="s">
        <v>4494</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4495</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2906</v>
      </c>
      <c r="O340" s="1348"/>
      <c r="P340" s="1348"/>
      <c r="Q340" s="1348"/>
      <c r="R340" s="1348"/>
      <c r="S340" s="1348"/>
    </row>
    <row r="341" spans="1:19" ht="13.5" customHeight="1">
      <c r="A341" s="1391" t="s">
        <v>3442</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3443</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3444</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3445</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3446</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2894</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Select</v>
      </c>
      <c r="J346" s="1812" t="str">
        <f>'Part II-Development Team'!J144</f>
        <v>Select</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2895</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Select</v>
      </c>
      <c r="J348" s="1812" t="str">
        <f>'Part II-Development Team'!J146</f>
        <v>Select</v>
      </c>
      <c r="K348" s="1813">
        <f>'Part II-Development Team'!K146</f>
        <v>0</v>
      </c>
      <c r="L348" s="1814">
        <f>'Part II-Development Team'!L146</f>
        <v>0</v>
      </c>
      <c r="M348" s="1812" t="str">
        <f>'Part II-Development Team'!M146</f>
        <v>Select</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2896</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2898</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2897</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2899</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2019-042 Brennan Place, Columbus, Muscogee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3882</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2601</v>
      </c>
      <c r="N369" s="1393"/>
      <c r="O369" s="1393"/>
      <c r="P369" s="1393"/>
      <c r="Q369" s="1393"/>
    </row>
    <row r="370" spans="1:17" ht="13.8">
      <c r="A370" s="1330"/>
      <c r="B370" s="1334">
        <f>'Part III-Sources of Funds'!E14</f>
        <v>0</v>
      </c>
      <c r="C370" s="1337" t="s">
        <v>3879</v>
      </c>
      <c r="D370" s="1393"/>
      <c r="E370" s="1393"/>
      <c r="F370" s="1449">
        <f>'Part III-Sources of Funds'!I14</f>
        <v>0</v>
      </c>
      <c r="G370" s="1449">
        <f>'Part III-Sources of Funds'!J14</f>
        <v>0</v>
      </c>
      <c r="H370" s="1334">
        <f>'Part III-Sources of Funds'!L13</f>
        <v>0</v>
      </c>
      <c r="I370" s="1337" t="s">
        <v>3678</v>
      </c>
      <c r="J370" s="1393"/>
      <c r="K370" s="1393"/>
      <c r="L370" s="1334">
        <f>'Part III-Sources of Funds'!B8</f>
        <v>0</v>
      </c>
      <c r="M370" s="1337" t="s">
        <v>2602</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2610</v>
      </c>
      <c r="J371" s="1393"/>
      <c r="K371" s="1393"/>
      <c r="L371" s="1334">
        <f>'Part III-Sources of Funds'!B9</f>
        <v>0</v>
      </c>
      <c r="M371" s="1337" t="s">
        <v>3683</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2608</v>
      </c>
      <c r="J372" s="1393"/>
      <c r="K372" s="1393"/>
      <c r="L372" s="1334">
        <f>'Part III-Sources of Funds'!B10</f>
        <v>0</v>
      </c>
      <c r="M372" s="1337" t="s">
        <v>2609</v>
      </c>
      <c r="N372" s="1393"/>
      <c r="O372" s="1393"/>
      <c r="P372" s="1393"/>
      <c r="Q372" s="1393"/>
    </row>
    <row r="373" spans="1:17" ht="13.8">
      <c r="A373" s="1328"/>
      <c r="B373" s="1334">
        <f>'Part III-Sources of Funds'!L5</f>
        <v>0</v>
      </c>
      <c r="C373" s="1337" t="s">
        <v>3880</v>
      </c>
      <c r="D373" s="1393"/>
      <c r="E373" s="1393"/>
      <c r="F373" s="1393"/>
      <c r="G373" s="1394"/>
      <c r="H373" s="1334">
        <f>'Part III-Sources of Funds'!B13</f>
        <v>0</v>
      </c>
      <c r="I373" s="1330" t="s">
        <v>3717</v>
      </c>
      <c r="J373" s="1365"/>
      <c r="K373" s="1365"/>
      <c r="L373" s="1334">
        <f>'Part III-Sources of Funds'!E9</f>
        <v>0</v>
      </c>
      <c r="M373" s="1337" t="s">
        <v>3719</v>
      </c>
      <c r="N373" s="1393"/>
      <c r="O373" s="1393" t="str">
        <f>'Part III-Sources of Funds'!H9</f>
        <v>Specify Other PBRA Source here</v>
      </c>
      <c r="P373" s="1393">
        <f>'Part III-Sources of Funds'!I9</f>
        <v>0</v>
      </c>
      <c r="Q373" s="1393">
        <f>'Part III-Sources of Funds'!J9</f>
        <v>0</v>
      </c>
    </row>
    <row r="374" spans="1:17" ht="13.8">
      <c r="A374" s="1328"/>
      <c r="B374" s="1334">
        <f>'Part III-Sources of Funds'!E5</f>
        <v>0</v>
      </c>
      <c r="C374" s="1337" t="s">
        <v>4496</v>
      </c>
      <c r="D374" s="1330"/>
      <c r="E374" s="1815">
        <f>'Part III-Sources of Funds'!H5</f>
        <v>0</v>
      </c>
      <c r="F374" s="1794">
        <f>'Part III-Sources of Funds'!I5</f>
        <v>0</v>
      </c>
      <c r="G374" s="1393"/>
      <c r="H374" s="1334">
        <f>'Part III-Sources of Funds'!L6</f>
        <v>0</v>
      </c>
      <c r="I374" s="1330" t="s">
        <v>3722</v>
      </c>
      <c r="J374" s="1393"/>
      <c r="K374" s="1393"/>
      <c r="L374" s="1334">
        <f>'Part III-Sources of Funds'!L9</f>
        <v>0</v>
      </c>
      <c r="M374" s="1330" t="s">
        <v>3617</v>
      </c>
      <c r="N374" s="1393"/>
      <c r="O374" s="1393"/>
      <c r="P374" s="1393"/>
      <c r="Q374" s="1393"/>
    </row>
    <row r="375" spans="1:17" ht="13.8">
      <c r="A375" s="1328"/>
      <c r="B375" s="1334">
        <f>'Part III-Sources of Funds'!E6</f>
        <v>0</v>
      </c>
      <c r="C375" s="1337" t="s">
        <v>4497</v>
      </c>
      <c r="D375" s="1393"/>
      <c r="E375" s="1815">
        <f>'Part III-Sources of Funds'!H6</f>
        <v>0</v>
      </c>
      <c r="F375" s="1794">
        <f>'Part III-Sources of Funds'!I6</f>
        <v>0</v>
      </c>
      <c r="G375" s="1393"/>
      <c r="H375" s="1334">
        <f>'Part III-Sources of Funds'!L7</f>
        <v>0</v>
      </c>
      <c r="I375" s="1375" t="s">
        <v>2796</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3718</v>
      </c>
      <c r="D376" s="1393"/>
      <c r="E376" s="1393" t="str">
        <f>'Part III-Sources of Funds'!H7</f>
        <v>Specify Other HOME Source here</v>
      </c>
      <c r="F376" s="1393">
        <f>'Part III-Sources of Funds'!I7</f>
        <v>0</v>
      </c>
      <c r="G376" s="1393">
        <f>'Part III-Sources of Funds'!J7</f>
        <v>0</v>
      </c>
      <c r="H376" s="1334">
        <f>'Part III-Sources of Funds'!L8</f>
        <v>0</v>
      </c>
      <c r="I376" s="1337" t="s">
        <v>3881</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3684</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9895671</v>
      </c>
      <c r="M382" s="1412">
        <f>'Part III-Sources of Funds'!M20</f>
        <v>0</v>
      </c>
      <c r="N382" s="1395">
        <f>'Part III-Sources of Funds'!N20</f>
        <v>0.06</v>
      </c>
      <c r="O382" s="1395">
        <f>'Part III-Sources of Funds'!O20</f>
        <v>0</v>
      </c>
      <c r="P382" s="1467">
        <f>'Part III-Sources of Funds'!P20</f>
        <v>18</v>
      </c>
      <c r="Q382" s="1467">
        <f>'Part III-Sources of Funds'!Q20</f>
        <v>0</v>
      </c>
    </row>
    <row r="383" spans="1:17" ht="13.8">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Affordable Equity Partners, Inc</v>
      </c>
      <c r="I388" s="1386">
        <f>'Part III-Sources of Funds'!I26</f>
        <v>0</v>
      </c>
      <c r="J388" s="1386">
        <f>'Part III-Sources of Funds'!J26</f>
        <v>0</v>
      </c>
      <c r="K388" s="1386">
        <f>'Part III-Sources of Funds'!K26</f>
        <v>0</v>
      </c>
      <c r="L388" s="1412">
        <f>'Part III-Sources of Funds'!L26</f>
        <v>1682660</v>
      </c>
      <c r="M388" s="1412">
        <f>'Part III-Sources of Funds'!M26</f>
        <v>0</v>
      </c>
      <c r="N388" s="1330"/>
      <c r="O388" s="1330"/>
      <c r="P388" s="1330"/>
      <c r="Q388" s="1330"/>
    </row>
    <row r="389" spans="1:17" ht="41.4">
      <c r="A389" s="1330"/>
      <c r="B389" s="1330" t="s">
        <v>803</v>
      </c>
      <c r="C389" s="1330"/>
      <c r="D389" s="1330"/>
      <c r="E389" s="1330"/>
      <c r="F389" s="1393"/>
      <c r="G389" s="1393"/>
      <c r="H389" s="1386" t="str">
        <f>'Part III-Sources of Funds'!H27</f>
        <v>Affordable Equity Partners, Inc</v>
      </c>
      <c r="I389" s="1386">
        <f>'Part III-Sources of Funds'!I27</f>
        <v>0</v>
      </c>
      <c r="J389" s="1386">
        <f>'Part III-Sources of Funds'!J27</f>
        <v>0</v>
      </c>
      <c r="K389" s="1386">
        <f>'Part III-Sources of Funds'!K27</f>
        <v>0</v>
      </c>
      <c r="L389" s="1412">
        <f>'Part III-Sources of Funds'!L27</f>
        <v>797000</v>
      </c>
      <c r="M389" s="1412">
        <f>'Part III-Sources of Funds'!M27</f>
        <v>0</v>
      </c>
      <c r="N389" s="1330"/>
      <c r="O389" s="1393"/>
      <c r="P389" s="1393"/>
      <c r="Q389" s="1330"/>
    </row>
    <row r="390" spans="1:17" ht="27.6">
      <c r="A390" s="1330"/>
      <c r="B390" s="1330" t="s">
        <v>242</v>
      </c>
      <c r="C390" s="1330"/>
      <c r="D390" s="1386" t="str">
        <f>'Part III-Sources of Funds'!D28</f>
        <v>GP &amp; LP Equity</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110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12375441</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12375441</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27.6">
      <c r="A400" s="1330"/>
      <c r="B400" s="1330" t="s">
        <v>2614</v>
      </c>
      <c r="C400" s="1330"/>
      <c r="D400" s="1330"/>
      <c r="E400" s="1386" t="str">
        <f>'Part III-Sources of Funds'!E38</f>
        <v>Sterling Bank</v>
      </c>
      <c r="F400" s="1386">
        <f>'Part III-Sources of Funds'!F38</f>
        <v>0</v>
      </c>
      <c r="G400" s="1386">
        <f>'Part III-Sources of Funds'!G38</f>
        <v>0</v>
      </c>
      <c r="H400" s="1386">
        <f>'Part III-Sources of Funds'!H38</f>
        <v>0</v>
      </c>
      <c r="I400" s="1462">
        <f>'Part III-Sources of Funds'!I38</f>
        <v>1700000</v>
      </c>
      <c r="J400" s="1330">
        <f>'Part III-Sources of Funds'!J38</f>
        <v>0</v>
      </c>
      <c r="K400" s="1399">
        <f>'Part III-Sources of Funds'!K38</f>
        <v>6.25E-2</v>
      </c>
      <c r="L400" s="1334">
        <f>'Part III-Sources of Funds'!L38</f>
        <v>18</v>
      </c>
      <c r="M400" s="1334">
        <f>'Part III-Sources of Funds'!M38</f>
        <v>35</v>
      </c>
      <c r="N400" s="1400">
        <f>'Part III-Sources of Funds'!P38</f>
        <v>119763.60191377226</v>
      </c>
      <c r="O400" s="1400">
        <f>'Part III-Sources of Funds'!Q38</f>
        <v>0</v>
      </c>
      <c r="P400" s="1330" t="str">
        <f>'Part III-Sources of Funds'!N38</f>
        <v>Amortizing</v>
      </c>
      <c r="Q400" s="1330">
        <f>'Part III-Sources of Funds'!O38</f>
        <v>0</v>
      </c>
    </row>
    <row r="401" spans="1:17" ht="13.8">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41.4">
      <c r="A405" s="1330"/>
      <c r="B405" s="1330" t="s">
        <v>228</v>
      </c>
      <c r="C405" s="1330"/>
      <c r="D405" s="1401">
        <f>'Part III-Sources of Funds'!D43</f>
        <v>4.7072451750055012E-2</v>
      </c>
      <c r="E405" s="1386" t="str">
        <f>'Part III-Sources of Funds'!E43</f>
        <v>Main Street Homes, LLC</v>
      </c>
      <c r="F405" s="1386">
        <f>'Part III-Sources of Funds'!F43</f>
        <v>0</v>
      </c>
      <c r="G405" s="1386">
        <f>'Part III-Sources of Funds'!G43</f>
        <v>0</v>
      </c>
      <c r="H405" s="1386">
        <f>'Part III-Sources of Funds'!H43</f>
        <v>0</v>
      </c>
      <c r="I405" s="1462">
        <f>'Part III-Sources of Funds'!I43</f>
        <v>77655</v>
      </c>
      <c r="J405" s="1330">
        <f>'Part III-Sources of Funds'!J43</f>
        <v>0</v>
      </c>
      <c r="K405" s="1399">
        <f>'Part III-Sources of Funds'!K43</f>
        <v>0</v>
      </c>
      <c r="L405" s="1334">
        <f>'Part III-Sources of Funds'!L43</f>
        <v>15</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4178</v>
      </c>
      <c r="C407" s="1330"/>
      <c r="D407" s="1393"/>
      <c r="E407" s="1393" t="s">
        <v>4080</v>
      </c>
      <c r="F407" s="1402">
        <f>'Part III-Sources of Funds'!F45</f>
        <v>473763.18126377609</v>
      </c>
      <c r="G407" s="1393"/>
      <c r="H407" s="1394" t="s">
        <v>4177</v>
      </c>
      <c r="I407" s="1402">
        <f>'Part III-Sources of Funds'!I45</f>
        <v>77655</v>
      </c>
      <c r="J407" s="1393"/>
      <c r="K407" s="1399"/>
      <c r="L407" s="1334"/>
      <c r="M407" s="1334"/>
      <c r="N407" s="1817"/>
      <c r="O407" s="1817"/>
      <c r="P407" s="1334"/>
      <c r="Q407" s="1334"/>
    </row>
    <row r="408" spans="1:17" ht="13.8">
      <c r="A408" s="1330"/>
      <c r="B408" s="1393" t="s">
        <v>4498</v>
      </c>
      <c r="C408" s="1330"/>
      <c r="D408" s="1401"/>
      <c r="E408" s="1393"/>
      <c r="F408" s="1403" t="e">
        <f>'Part III-Sources of Funds'!#REF!</f>
        <v>#REF!</v>
      </c>
      <c r="G408" s="1403" t="e">
        <f>'Part III-Sources of Funds'!#REF!</f>
        <v>#REF!</v>
      </c>
      <c r="H408" s="1394" t="s">
        <v>4179</v>
      </c>
      <c r="I408" s="1403">
        <f>'Part III-Sources of Funds'!L45</f>
        <v>0.16391100674571879</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5.2">
      <c r="A412" s="1330"/>
      <c r="B412" s="1330" t="s">
        <v>802</v>
      </c>
      <c r="C412" s="1330"/>
      <c r="D412" s="1330"/>
      <c r="E412" s="1386" t="str">
        <f>'Part III-Sources of Funds'!E49</f>
        <v>Affordable Equity Partners, Inc.</v>
      </c>
      <c r="F412" s="1386">
        <f>'Part III-Sources of Funds'!F49</f>
        <v>0</v>
      </c>
      <c r="G412" s="1386">
        <f>'Part III-Sources of Funds'!G49</f>
        <v>0</v>
      </c>
      <c r="H412" s="1386">
        <f>'Part III-Sources of Funds'!H49</f>
        <v>0</v>
      </c>
      <c r="I412" s="1462">
        <f>'Part III-Sources of Funds'!I49</f>
        <v>8413300</v>
      </c>
      <c r="J412" s="1330">
        <f>'Part III-Sources of Funds'!J49</f>
        <v>0</v>
      </c>
      <c r="K412" s="1393"/>
      <c r="L412" s="1406">
        <f>'Part IV-A-Uses of Funds'!$J$175*10*'Part IV-A-Uses of Funds'!$N$168</f>
        <v>8500000</v>
      </c>
      <c r="M412" s="1406"/>
      <c r="N412" s="1407">
        <f>I412-L412</f>
        <v>-86700</v>
      </c>
      <c r="O412" s="1407"/>
      <c r="P412" s="1408" t="s">
        <v>2560</v>
      </c>
      <c r="Q412" s="1330"/>
    </row>
    <row r="413" spans="1:17" ht="55.2">
      <c r="A413" s="1330"/>
      <c r="B413" s="1330" t="s">
        <v>803</v>
      </c>
      <c r="C413" s="1330"/>
      <c r="D413" s="1330"/>
      <c r="E413" s="1386" t="str">
        <f>'Part III-Sources of Funds'!E50</f>
        <v>Affordable Equity Partners, Inc.</v>
      </c>
      <c r="F413" s="1386">
        <f>'Part III-Sources of Funds'!F50</f>
        <v>0</v>
      </c>
      <c r="G413" s="1386">
        <f>'Part III-Sources of Funds'!G50</f>
        <v>0</v>
      </c>
      <c r="H413" s="1386">
        <f>'Part III-Sources of Funds'!H50</f>
        <v>0</v>
      </c>
      <c r="I413" s="1462">
        <f>'Part III-Sources of Funds'!I50</f>
        <v>3985000</v>
      </c>
      <c r="J413" s="1330">
        <f>'Part III-Sources of Funds'!J50</f>
        <v>0</v>
      </c>
      <c r="K413" s="1393"/>
      <c r="L413" s="1406">
        <f>'Part IV-A-Uses of Funds'!$J$175*10*'Part IV-A-Uses of Funds'!$Q$168</f>
        <v>3900000</v>
      </c>
      <c r="M413" s="1406"/>
      <c r="N413" s="1407">
        <f>I413-L413</f>
        <v>85000</v>
      </c>
      <c r="O413" s="1407"/>
      <c r="P413" s="1409">
        <f>I412/I422</f>
        <v>0.59348627422348865</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0.28110762753980034</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0.87459390176328899</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27.6">
      <c r="A418" s="1330"/>
      <c r="B418" s="1330" t="s">
        <v>741</v>
      </c>
      <c r="C418" s="1386" t="str">
        <f>'Part III-Sources of Funds'!C55</f>
        <v>GP &amp; LP Equity</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110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14176065</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14176065</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3467</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Please see Tab 01 for the Construction and Permanent Debt Commitments from Sterling Bank.</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2019-042 Brennan Place,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2019-042 Brennan Place,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5000</v>
      </c>
      <c r="H444" s="1412">
        <f>'Part IV-A-Uses of Funds'!H8</f>
        <v>0</v>
      </c>
      <c r="I444" s="1330"/>
      <c r="J444" s="1412">
        <f>'Part IV-A-Uses of Funds'!J8</f>
        <v>5000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8000</v>
      </c>
      <c r="H445" s="1412">
        <f>'Part IV-A-Uses of Funds'!H9</f>
        <v>0</v>
      </c>
      <c r="I445" s="1330"/>
      <c r="J445" s="1412">
        <f>'Part IV-A-Uses of Funds'!J9</f>
        <v>8000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6500</v>
      </c>
      <c r="H446" s="1412">
        <f>'Part IV-A-Uses of Funds'!H10</f>
        <v>0</v>
      </c>
      <c r="I446" s="1330"/>
      <c r="J446" s="1412">
        <f>'Part IV-A-Uses of Funds'!J10</f>
        <v>6500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10000</v>
      </c>
      <c r="H447" s="1412">
        <f>'Part IV-A-Uses of Funds'!H11</f>
        <v>0</v>
      </c>
      <c r="I447" s="1330"/>
      <c r="J447" s="1412">
        <f>'Part IV-A-Uses of Funds'!J11</f>
        <v>10000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2500</v>
      </c>
      <c r="C448" s="1330"/>
      <c r="D448" s="1330"/>
      <c r="E448" s="1330"/>
      <c r="F448" s="1330"/>
      <c r="G448" s="1412">
        <f>'Part IV-A-Uses of Funds'!G12</f>
        <v>12500</v>
      </c>
      <c r="H448" s="1412">
        <f>'Part IV-A-Uses of Funds'!H12</f>
        <v>0</v>
      </c>
      <c r="I448" s="1330"/>
      <c r="J448" s="1412">
        <f>'Part IV-A-Uses of Funds'!J12</f>
        <v>12500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42000</v>
      </c>
      <c r="H453" s="1412"/>
      <c r="I453" s="1330"/>
      <c r="J453" s="1412">
        <f>SUM(J444:K452)</f>
        <v>42000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700000</v>
      </c>
      <c r="H455" s="1412">
        <f>'Part IV-A-Uses of Funds'!H19</f>
        <v>0</v>
      </c>
      <c r="I455" s="1330"/>
      <c r="J455" s="1347"/>
      <c r="K455" s="1412"/>
      <c r="L455" s="1347"/>
      <c r="M455" s="1347"/>
      <c r="N455" s="1412"/>
      <c r="O455" s="1330"/>
      <c r="P455" s="1347"/>
      <c r="Q455" s="1412"/>
      <c r="R455" s="1330"/>
      <c r="S455" s="1412">
        <f>'Part IV-A-Uses of Funds'!S19</f>
        <v>700000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700000</v>
      </c>
      <c r="H459" s="1412"/>
      <c r="I459" s="1330"/>
      <c r="J459" s="1347"/>
      <c r="K459" s="1412"/>
      <c r="L459" s="1347"/>
      <c r="M459" s="1412">
        <f>SUM(M457:N458)</f>
        <v>0</v>
      </c>
      <c r="N459" s="1412"/>
      <c r="O459" s="1330"/>
      <c r="P459" s="1347"/>
      <c r="Q459" s="1412"/>
      <c r="R459" s="1330"/>
      <c r="S459" s="1412">
        <f>SUM(S455:T458)</f>
        <v>700000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3724</v>
      </c>
      <c r="F461" s="1419">
        <f>IF('Part I-Project Information'!$O$37="","",G461/'Part I-Project Information'!$O$37)</f>
        <v>268449.03846153844</v>
      </c>
      <c r="G461" s="1412">
        <f>'Part IV-A-Uses of Funds'!G25</f>
        <v>1395935</v>
      </c>
      <c r="H461" s="1412">
        <f>'Part IV-A-Uses of Funds'!H25</f>
        <v>0</v>
      </c>
      <c r="I461" s="1330"/>
      <c r="J461" s="1412">
        <f>'Part IV-A-Uses of Funds'!J25</f>
        <v>1326138</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69797</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1395935</v>
      </c>
      <c r="H463" s="1412"/>
      <c r="I463" s="1330"/>
      <c r="J463" s="1412">
        <f>SUM(J461:K462)</f>
        <v>1326138</v>
      </c>
      <c r="K463" s="1412"/>
      <c r="L463" s="1347"/>
      <c r="M463" s="1412">
        <f>M461</f>
        <v>0</v>
      </c>
      <c r="N463" s="1412"/>
      <c r="O463" s="1330"/>
      <c r="P463" s="1412">
        <f>P461</f>
        <v>0</v>
      </c>
      <c r="Q463" s="1412"/>
      <c r="R463" s="1330"/>
      <c r="S463" s="1412">
        <f>SUM(S461:T462)</f>
        <v>69797</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6700000</v>
      </c>
      <c r="H465" s="1412">
        <f>'Part IV-A-Uses of Funds'!H29</f>
        <v>0</v>
      </c>
      <c r="I465" s="1330"/>
      <c r="J465" s="1412">
        <f>'Part IV-A-Uses of Funds'!J29</f>
        <v>6700000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2780</v>
      </c>
      <c r="C467" s="1330"/>
      <c r="D467" s="1330"/>
      <c r="E467" s="1330"/>
      <c r="F467" s="1330"/>
      <c r="G467" s="1412">
        <f>'Part IV-A-Uses of Funds'!G31</f>
        <v>231706</v>
      </c>
      <c r="H467" s="1412">
        <f>'Part IV-A-Uses of Funds'!H31</f>
        <v>0</v>
      </c>
      <c r="I467" s="1330"/>
      <c r="J467" s="1412">
        <f>'Part IV-A-Uses of Funds'!J31</f>
        <v>231706</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6931706</v>
      </c>
      <c r="H469" s="1412"/>
      <c r="I469" s="1330"/>
      <c r="J469" s="1412">
        <f>SUM(J465:K468)</f>
        <v>6931706</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499658.45999999996</v>
      </c>
      <c r="F471" s="1425" t="e">
        <f>IF(($G$27+$G$33)=0,0,G471/($G$27+$G$33))</f>
        <v>#VALUE!</v>
      </c>
      <c r="G471" s="1412">
        <f>'Part IV-A-Uses of Funds'!G35</f>
        <v>499658</v>
      </c>
      <c r="H471" s="1412">
        <f>'Part IV-A-Uses of Funds'!H35</f>
        <v>0</v>
      </c>
      <c r="I471" s="1336"/>
      <c r="J471" s="1412">
        <f>'Part IV-A-Uses of Funds'!J35</f>
        <v>499658</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2736</v>
      </c>
      <c r="C472" s="1330"/>
      <c r="D472" s="1425">
        <f>'DCA Underwriting Assumptions'!$R$74</f>
        <v>0.02</v>
      </c>
      <c r="E472" s="1426">
        <f>D472*(G463+G469)</f>
        <v>166552.82</v>
      </c>
      <c r="F472" s="1425" t="e">
        <f>IF(($G$27+$G$33)=0,0,G472/($G$27+$G$33))</f>
        <v>#VALUE!</v>
      </c>
      <c r="G472" s="1412">
        <f>'Part IV-A-Uses of Funds'!G36</f>
        <v>166552</v>
      </c>
      <c r="H472" s="1412">
        <f>'Part IV-A-Uses of Funds'!H36</f>
        <v>0</v>
      </c>
      <c r="I472" s="1336"/>
      <c r="J472" s="1412">
        <f>'Part IV-A-Uses of Funds'!J36</f>
        <v>166552</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2737</v>
      </c>
      <c r="C473" s="1330"/>
      <c r="D473" s="1425">
        <f>'DCA Underwriting Assumptions'!$R$75</f>
        <v>0.06</v>
      </c>
      <c r="E473" s="1426">
        <f>D473*(G463+G469)</f>
        <v>499658.45999999996</v>
      </c>
      <c r="F473" s="1425" t="e">
        <f>IF(($G$27+$G$33)=0,0,G473/($G$27+$G$33))</f>
        <v>#VALUE!</v>
      </c>
      <c r="G473" s="1412">
        <f>'Part IV-A-Uses of Funds'!G37</f>
        <v>499658</v>
      </c>
      <c r="H473" s="1412">
        <f>'Part IV-A-Uses of Funds'!H37</f>
        <v>0</v>
      </c>
      <c r="I473" s="1336"/>
      <c r="J473" s="1412">
        <f>'Part IV-A-Uses of Funds'!J37</f>
        <v>499658</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3729</v>
      </c>
      <c r="C474" s="1330"/>
      <c r="D474" s="1423">
        <f>SUM(D471:D473)</f>
        <v>0.14000000000000001</v>
      </c>
      <c r="E474" s="1427">
        <f>SUM(E471:E473)</f>
        <v>1165869.74</v>
      </c>
      <c r="F474" s="1416" t="s">
        <v>191</v>
      </c>
      <c r="G474" s="1412">
        <f>SUM(G471:H473)</f>
        <v>1165868</v>
      </c>
      <c r="H474" s="1412"/>
      <c r="I474" s="1330"/>
      <c r="J474" s="1412">
        <f>SUM(J471:K473)</f>
        <v>1165868</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4499</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4500</v>
      </c>
      <c r="C479" s="1429"/>
      <c r="D479" s="1330"/>
      <c r="E479" s="1329" t="s">
        <v>2744</v>
      </c>
      <c r="F479" s="1430">
        <f>B480/'Part VI-Revenues &amp; Expenses'!$O$65</f>
        <v>131854.29166666666</v>
      </c>
      <c r="G479" s="1431" t="s">
        <v>4501</v>
      </c>
      <c r="H479" s="1330"/>
      <c r="I479" s="1330"/>
      <c r="J479" s="1432">
        <f>B480/'Part VI-Revenues &amp; Expenses'!$O$67</f>
        <v>131854.29166666666</v>
      </c>
      <c r="K479" s="1432"/>
      <c r="L479" s="1330"/>
      <c r="M479" s="1433" t="s">
        <v>1402</v>
      </c>
      <c r="N479" s="1433"/>
      <c r="O479" s="1330"/>
      <c r="P479" s="1432">
        <f>B480/'Part I-Project Information'!$P$75</f>
        <v>129.21964664888114</v>
      </c>
      <c r="Q479" s="1432"/>
      <c r="R479" s="1330"/>
      <c r="S479" s="1354" t="s">
        <v>2778</v>
      </c>
      <c r="T479" s="1354"/>
      <c r="U479" s="1330"/>
      <c r="V479" s="1418"/>
      <c r="W479" s="1203">
        <f>'Part IV-A-Uses of Funds'!W43</f>
        <v>0</v>
      </c>
      <c r="X479" s="1203">
        <f>'Part IV-A-Uses of Funds'!X43</f>
        <v>0</v>
      </c>
    </row>
    <row r="480" spans="1:24" ht="13.8">
      <c r="A480" s="1330"/>
      <c r="B480" s="1434">
        <f>G463+G469+G474+G477</f>
        <v>9493509</v>
      </c>
      <c r="C480" s="1434"/>
      <c r="D480" s="1330"/>
      <c r="E480" s="1329"/>
      <c r="F480" s="1430">
        <f>B480/'Part VI-Revenues &amp; Expenses'!$O$154</f>
        <v>133.20857888533422</v>
      </c>
      <c r="G480" s="1354" t="s">
        <v>4502</v>
      </c>
      <c r="H480" s="1330"/>
      <c r="I480" s="1330"/>
      <c r="J480" s="1432">
        <f>B480/'Part VI-Revenues &amp; Expenses'!$O$156</f>
        <v>133.20857888533422</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4183</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4182</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474675.45</v>
      </c>
      <c r="F483" s="1438">
        <f>G483/B480</f>
        <v>4.9999952599191724E-2</v>
      </c>
      <c r="G483" s="1412">
        <f>'Part IV-A-Uses of Funds'!G47</f>
        <v>474675</v>
      </c>
      <c r="H483" s="1412">
        <f>'Part IV-A-Uses of Funds'!H47</f>
        <v>0</v>
      </c>
      <c r="I483" s="1330"/>
      <c r="J483" s="1412">
        <f>'Part IV-A-Uses of Funds'!J47</f>
        <v>474675</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4503</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3730</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3731</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98957</v>
      </c>
      <c r="H490" s="1412">
        <f>'Part IV-A-Uses of Funds'!H54</f>
        <v>0</v>
      </c>
      <c r="I490" s="1330"/>
      <c r="J490" s="1412">
        <f>'Part IV-A-Uses of Funds'!J54</f>
        <v>98957</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466862</v>
      </c>
      <c r="H491" s="1412">
        <f>'Part IV-A-Uses of Funds'!H55</f>
        <v>0</v>
      </c>
      <c r="I491" s="1330"/>
      <c r="J491" s="1412">
        <f>'Part IV-A-Uses of Funds'!J55</f>
        <v>389512</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77350</v>
      </c>
      <c r="T491" s="1412">
        <f>'Part IV-A-Uses of Funds'!T55</f>
        <v>0</v>
      </c>
      <c r="U491" s="1330"/>
      <c r="V491" s="1418"/>
      <c r="W491" s="1203"/>
      <c r="X491" s="1203"/>
    </row>
    <row r="492" spans="1:24" ht="13.8">
      <c r="A492" s="1330"/>
      <c r="B492" s="1330" t="s">
        <v>2348</v>
      </c>
      <c r="C492" s="1330"/>
      <c r="D492" s="1330"/>
      <c r="E492" s="1330"/>
      <c r="F492" s="1330"/>
      <c r="G492" s="1412">
        <f>'Part IV-A-Uses of Funds'!G56</f>
        <v>25000</v>
      </c>
      <c r="H492" s="1412">
        <f>'Part IV-A-Uses of Funds'!H56</f>
        <v>0</v>
      </c>
      <c r="I492" s="1330"/>
      <c r="J492" s="1412">
        <f>'Part IV-A-Uses of Funds'!J56</f>
        <v>25000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2687</v>
      </c>
      <c r="C493" s="1330"/>
      <c r="D493" s="1330"/>
      <c r="E493" s="1330"/>
      <c r="F493" s="1330"/>
      <c r="G493" s="1412">
        <f>'Part IV-A-Uses of Funds'!G57</f>
        <v>0</v>
      </c>
      <c r="H493" s="1412">
        <f>'Part IV-A-Uses of Funds'!H57</f>
        <v>0</v>
      </c>
      <c r="I493" s="1330"/>
      <c r="J493" s="1412">
        <f>'Part IV-A-Uses of Funds'!J57</f>
        <v>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10000</v>
      </c>
      <c r="H494" s="1412">
        <f>'Part IV-A-Uses of Funds'!H58</f>
        <v>0</v>
      </c>
      <c r="I494" s="1330"/>
      <c r="J494" s="1412">
        <f>'Part IV-A-Uses of Funds'!J58</f>
        <v>10000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25000</v>
      </c>
      <c r="H495" s="1412">
        <f>'Part IV-A-Uses of Funds'!H59</f>
        <v>0</v>
      </c>
      <c r="I495" s="1330"/>
      <c r="J495" s="1412">
        <f>'Part IV-A-Uses of Funds'!J59</f>
        <v>25000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30000</v>
      </c>
      <c r="H496" s="1412">
        <f>'Part IV-A-Uses of Funds'!H60</f>
        <v>0</v>
      </c>
      <c r="I496" s="1330"/>
      <c r="J496" s="1412">
        <f>'Part IV-A-Uses of Funds'!J60</f>
        <v>25000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5000</v>
      </c>
      <c r="T496" s="1412">
        <f>'Part IV-A-Uses of Funds'!T60</f>
        <v>0</v>
      </c>
      <c r="U496" s="1330"/>
      <c r="V496" s="1418"/>
      <c r="W496" s="1203"/>
      <c r="X496" s="1203"/>
    </row>
    <row r="497" spans="1:24" ht="13.8">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655819</v>
      </c>
      <c r="H500" s="1412"/>
      <c r="I500" s="1330"/>
      <c r="J500" s="1412">
        <f>SUM(J488:K499)</f>
        <v>573469</v>
      </c>
      <c r="K500" s="1412"/>
      <c r="L500" s="1347"/>
      <c r="M500" s="1412">
        <f>SUM(M488:N499)</f>
        <v>0</v>
      </c>
      <c r="N500" s="1412"/>
      <c r="O500" s="1330"/>
      <c r="P500" s="1412">
        <f>SUM(P488:Q499)</f>
        <v>0</v>
      </c>
      <c r="Q500" s="1412"/>
      <c r="R500" s="1330"/>
      <c r="S500" s="1412">
        <f>SUM(S488:T499)</f>
        <v>82350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172800</v>
      </c>
      <c r="H502" s="1412">
        <f>'Part IV-A-Uses of Funds'!H66</f>
        <v>0</v>
      </c>
      <c r="I502" s="1330"/>
      <c r="J502" s="1412">
        <f>'Part IV-A-Uses of Funds'!J66</f>
        <v>172800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43200</v>
      </c>
      <c r="H503" s="1412">
        <f>'Part IV-A-Uses of Funds'!H67</f>
        <v>0</v>
      </c>
      <c r="I503" s="1330"/>
      <c r="J503" s="1412">
        <f>'Part IV-A-Uses of Funds'!J67</f>
        <v>43200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3843</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20000</v>
      </c>
      <c r="H505" s="1412">
        <f>'Part IV-A-Uses of Funds'!H69</f>
        <v>0</v>
      </c>
      <c r="I505" s="1330"/>
      <c r="J505" s="1412">
        <f>'Part IV-A-Uses of Funds'!J69</f>
        <v>20000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25000</v>
      </c>
      <c r="H506" s="1412">
        <f>'Part IV-A-Uses of Funds'!H70</f>
        <v>0</v>
      </c>
      <c r="I506" s="1330"/>
      <c r="J506" s="1412">
        <f>'Part IV-A-Uses of Funds'!J70</f>
        <v>25000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25000</v>
      </c>
      <c r="H507" s="1412">
        <f>'Part IV-A-Uses of Funds'!H71</f>
        <v>0</v>
      </c>
      <c r="I507" s="1330"/>
      <c r="J507" s="1412">
        <f>'Part IV-A-Uses of Funds'!J71</f>
        <v>25000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90000</v>
      </c>
      <c r="H508" s="1412">
        <f>'Part IV-A-Uses of Funds'!H72</f>
        <v>0</v>
      </c>
      <c r="I508" s="1330"/>
      <c r="J508" s="1412">
        <f>'Part IV-A-Uses of Funds'!J72</f>
        <v>90000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20000</v>
      </c>
      <c r="H509" s="1412">
        <f>'Part IV-A-Uses of Funds'!H73</f>
        <v>0</v>
      </c>
      <c r="I509" s="1330"/>
      <c r="J509" s="1412">
        <f>'Part IV-A-Uses of Funds'!J73</f>
        <v>10000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10000</v>
      </c>
      <c r="T509" s="1412">
        <f>'Part IV-A-Uses of Funds'!T73</f>
        <v>0</v>
      </c>
      <c r="U509" s="1330"/>
      <c r="V509" s="1418"/>
      <c r="W509" s="1203"/>
      <c r="X509" s="1203"/>
    </row>
    <row r="510" spans="1:24" ht="13.8">
      <c r="A510" s="1330"/>
      <c r="B510" s="1330" t="s">
        <v>2049</v>
      </c>
      <c r="C510" s="1330"/>
      <c r="D510" s="1330"/>
      <c r="E510" s="1330"/>
      <c r="F510" s="1330"/>
      <c r="G510" s="1412">
        <f>'Part IV-A-Uses of Funds'!G74</f>
        <v>15000</v>
      </c>
      <c r="H510" s="1412">
        <f>'Part IV-A-Uses of Funds'!H74</f>
        <v>0</v>
      </c>
      <c r="I510" s="1330"/>
      <c r="J510" s="1412">
        <f>'Part IV-A-Uses of Funds'!J74</f>
        <v>15000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12500</v>
      </c>
      <c r="H511" s="1412">
        <f>'Part IV-A-Uses of Funds'!H75</f>
        <v>0</v>
      </c>
      <c r="I511" s="1330"/>
      <c r="J511" s="1412">
        <f>'Part IV-A-Uses of Funds'!J75</f>
        <v>12500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443500</v>
      </c>
      <c r="H513" s="1412"/>
      <c r="I513" s="1330"/>
      <c r="J513" s="1412">
        <f>SUM(J502:K512)</f>
        <v>433500</v>
      </c>
      <c r="K513" s="1412"/>
      <c r="L513" s="1347"/>
      <c r="M513" s="1412">
        <f>SUM(M502:N512)</f>
        <v>0</v>
      </c>
      <c r="N513" s="1412"/>
      <c r="O513" s="1330"/>
      <c r="P513" s="1412">
        <f>SUM(P502:Q512)</f>
        <v>0</v>
      </c>
      <c r="Q513" s="1412"/>
      <c r="R513" s="1330"/>
      <c r="S513" s="1412">
        <f>SUM(S502:T512)</f>
        <v>10000</v>
      </c>
      <c r="T513" s="1412"/>
      <c r="U513" s="1330"/>
      <c r="V513" s="1418">
        <f>SUM(V502:V512)</f>
        <v>0</v>
      </c>
      <c r="W513" s="1203"/>
      <c r="X513" s="1203"/>
    </row>
    <row r="514" spans="1:24" ht="13.8">
      <c r="A514" s="1330"/>
      <c r="B514" s="1311" t="s">
        <v>1269</v>
      </c>
      <c r="C514" s="1330"/>
      <c r="D514" s="1442" t="s">
        <v>3732</v>
      </c>
      <c r="E514" s="1443">
        <f>G519/'Part VI-Revenues &amp; Expenses'!$O$67</f>
        <v>1284.7222222222222</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42400</v>
      </c>
      <c r="H515" s="1412">
        <f>'Part IV-A-Uses of Funds'!H79</f>
        <v>0</v>
      </c>
      <c r="I515" s="1330"/>
      <c r="J515" s="1412">
        <f>'Part IV-A-Uses of Funds'!J79</f>
        <v>42400</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30000</v>
      </c>
      <c r="H517" s="1412">
        <f>'Part IV-A-Uses of Funds'!H81</f>
        <v>0</v>
      </c>
      <c r="I517" s="1336"/>
      <c r="J517" s="1412">
        <f>'Part IV-A-Uses of Funds'!J81</f>
        <v>30000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20100</v>
      </c>
      <c r="H518" s="1412">
        <f>'Part IV-A-Uses of Funds'!H82</f>
        <v>0</v>
      </c>
      <c r="I518" s="1336"/>
      <c r="J518" s="1412">
        <f>'Part IV-A-Uses of Funds'!J82</f>
        <v>20100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92500</v>
      </c>
      <c r="H519" s="1412"/>
      <c r="I519" s="1330"/>
      <c r="J519" s="1412">
        <f>SUM(J515:K518)</f>
        <v>92500</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17000</v>
      </c>
      <c r="H521" s="1412">
        <f>'Part IV-A-Uses of Funds'!H85</f>
        <v>0</v>
      </c>
      <c r="I521" s="1330"/>
      <c r="J521" s="1412"/>
      <c r="K521" s="1412"/>
      <c r="L521" s="1347"/>
      <c r="M521" s="1412"/>
      <c r="N521" s="1412"/>
      <c r="O521" s="1330"/>
      <c r="P521" s="1412"/>
      <c r="Q521" s="1412"/>
      <c r="R521" s="1330"/>
      <c r="S521" s="1412">
        <f>'Part IV-A-Uses of Funds'!S85</f>
        <v>17000</v>
      </c>
      <c r="T521" s="1412">
        <f>'Part IV-A-Uses of Funds'!T85</f>
        <v>0</v>
      </c>
      <c r="U521" s="1330"/>
      <c r="V521" s="1418"/>
      <c r="W521" s="1203"/>
      <c r="X521" s="1203"/>
    </row>
    <row r="522" spans="1:24" ht="13.8">
      <c r="A522" s="1330"/>
      <c r="B522" s="1330" t="s">
        <v>1275</v>
      </c>
      <c r="C522" s="1330"/>
      <c r="D522" s="1330"/>
      <c r="E522" s="1330"/>
      <c r="F522" s="1330"/>
      <c r="G522" s="1412">
        <f>'Part IV-A-Uses of Funds'!G86</f>
        <v>15000</v>
      </c>
      <c r="H522" s="1412">
        <f>'Part IV-A-Uses of Funds'!H86</f>
        <v>0</v>
      </c>
      <c r="I522" s="1330"/>
      <c r="J522" s="1412"/>
      <c r="K522" s="1412"/>
      <c r="L522" s="1347"/>
      <c r="M522" s="1412"/>
      <c r="N522" s="1412"/>
      <c r="O522" s="1330"/>
      <c r="P522" s="1412"/>
      <c r="Q522" s="1412"/>
      <c r="R522" s="1330"/>
      <c r="S522" s="1412">
        <f>'Part IV-A-Uses of Funds'!S86</f>
        <v>15000</v>
      </c>
      <c r="T522" s="1412">
        <f>'Part IV-A-Uses of Funds'!T86</f>
        <v>0</v>
      </c>
      <c r="U522" s="1330"/>
      <c r="V522" s="1418"/>
      <c r="W522" s="1203"/>
      <c r="X522" s="1203"/>
    </row>
    <row r="523" spans="1:24" ht="13.8">
      <c r="A523" s="1330"/>
      <c r="B523" s="1330" t="s">
        <v>1276</v>
      </c>
      <c r="C523" s="1330"/>
      <c r="D523" s="1330"/>
      <c r="E523" s="1330"/>
      <c r="F523" s="1330"/>
      <c r="G523" s="1412">
        <f>'Part IV-A-Uses of Funds'!G87</f>
        <v>10000</v>
      </c>
      <c r="H523" s="1412">
        <f>'Part IV-A-Uses of Funds'!H87</f>
        <v>0</v>
      </c>
      <c r="I523" s="1330"/>
      <c r="J523" s="1412"/>
      <c r="K523" s="1412"/>
      <c r="L523" s="1347"/>
      <c r="M523" s="1412"/>
      <c r="N523" s="1412"/>
      <c r="O523" s="1330"/>
      <c r="P523" s="1412"/>
      <c r="Q523" s="1412"/>
      <c r="R523" s="1330"/>
      <c r="S523" s="1412">
        <f>'Part IV-A-Uses of Funds'!S87</f>
        <v>10000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42000</v>
      </c>
      <c r="H527" s="1412"/>
      <c r="I527" s="1330"/>
      <c r="J527" s="1412"/>
      <c r="K527" s="1412"/>
      <c r="L527" s="1347"/>
      <c r="M527" s="1412"/>
      <c r="N527" s="1412"/>
      <c r="O527" s="1330"/>
      <c r="P527" s="1412"/>
      <c r="Q527" s="1412"/>
      <c r="R527" s="1330"/>
      <c r="S527" s="1412">
        <f>SUM(S521:T526)</f>
        <v>42000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4504</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3944</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ht="13.8">
      <c r="A535" s="1330"/>
      <c r="B535" s="1330" t="s">
        <v>519</v>
      </c>
      <c r="C535" s="1330"/>
      <c r="D535" s="1330"/>
      <c r="E535" s="1446">
        <f>'DCA Underwriting Assumptions'!$Q$88*J611</f>
        <v>80000</v>
      </c>
      <c r="F535" s="1446"/>
      <c r="G535" s="1412">
        <f>'Part IV-A-Uses of Funds'!G99</f>
        <v>80000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80000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57600</v>
      </c>
      <c r="F536" s="1446"/>
      <c r="G536" s="1412">
        <f>'Part IV-A-Uses of Funds'!G100</f>
        <v>57600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57600</v>
      </c>
      <c r="T536" s="1412">
        <f>'Part IV-A-Uses of Funds'!T100</f>
        <v>0</v>
      </c>
      <c r="U536" s="1330"/>
      <c r="V536" s="1418"/>
      <c r="W536" s="1203"/>
      <c r="X536" s="1203"/>
    </row>
    <row r="537" spans="1:24" ht="13.8">
      <c r="A537" s="1330"/>
      <c r="B537" s="1330" t="s">
        <v>4235</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4236</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151100</v>
      </c>
      <c r="H541" s="1412"/>
      <c r="I541" s="1330"/>
      <c r="J541" s="1347"/>
      <c r="K541" s="1347"/>
      <c r="L541" s="1347"/>
      <c r="M541" s="1347"/>
      <c r="N541" s="1347"/>
      <c r="O541" s="1330"/>
      <c r="P541" s="1347"/>
      <c r="Q541" s="1347"/>
      <c r="R541" s="1330"/>
      <c r="S541" s="1412">
        <f>SUM(S532:T540)</f>
        <v>151100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329938</v>
      </c>
      <c r="H549" s="1412">
        <f>'Part IV-A-Uses of Funds'!H113</f>
        <v>0</v>
      </c>
      <c r="I549" s="1330"/>
      <c r="J549" s="1412">
        <f>'Part IV-A-Uses of Funds'!J113</f>
        <v>329938</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4191</v>
      </c>
      <c r="C550" s="1330"/>
      <c r="D550" s="1330"/>
      <c r="E550" s="1330"/>
      <c r="F550" s="1819">
        <f>'Part IV-A-Uses of Funds'!F114</f>
        <v>329938</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1319753</v>
      </c>
      <c r="H553" s="1412">
        <f>'Part IV-A-Uses of Funds'!H117</f>
        <v>0</v>
      </c>
      <c r="I553" s="1330"/>
      <c r="J553" s="1412">
        <f>'Part IV-A-Uses of Funds'!J117</f>
        <v>1319753</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1649691</v>
      </c>
      <c r="H554" s="1412"/>
      <c r="I554" s="1330"/>
      <c r="J554" s="1412">
        <f>SUM(J549:K553)</f>
        <v>1649691</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50000</v>
      </c>
      <c r="H556" s="1412">
        <f>'Part IV-A-Uses of Funds'!H120</f>
        <v>0</v>
      </c>
      <c r="I556" s="1330"/>
      <c r="J556" s="1445"/>
      <c r="K556" s="1445"/>
      <c r="L556" s="1445"/>
      <c r="M556" s="1445"/>
      <c r="N556" s="1445"/>
      <c r="O556" s="1330"/>
      <c r="P556" s="1445"/>
      <c r="Q556" s="1445"/>
      <c r="R556" s="1330"/>
      <c r="S556" s="1412">
        <f>'Part IV-A-Uses of Funds'!S120</f>
        <v>50000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89629.25</v>
      </c>
      <c r="G557" s="1412">
        <f>'Part IV-A-Uses of Funds'!G121</f>
        <v>89630</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89630</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239140.30095688612</v>
      </c>
      <c r="G558" s="1412">
        <f>'Part IV-A-Uses of Funds'!G122</f>
        <v>239141</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239141</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3566</v>
      </c>
      <c r="F560" s="1419">
        <f>IF('Part VI-Revenues &amp; Expenses'!$O$67=0,0,G560/'Part VI-Revenues &amp; Expenses'!$O$67)</f>
        <v>694.44444444444446</v>
      </c>
      <c r="G560" s="1412">
        <f>'Part IV-A-Uses of Funds'!G124</f>
        <v>50000</v>
      </c>
      <c r="H560" s="1412">
        <f>'Part IV-A-Uses of Funds'!H124</f>
        <v>0</v>
      </c>
      <c r="I560" s="1330"/>
      <c r="J560" s="1412">
        <f>'Part IV-A-Uses of Funds'!J124</f>
        <v>50000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428771</v>
      </c>
      <c r="H562" s="1412"/>
      <c r="I562" s="1330"/>
      <c r="J562" s="1412">
        <f>SUM(J560:K561)</f>
        <v>50000</v>
      </c>
      <c r="K562" s="1412"/>
      <c r="L562" s="1347"/>
      <c r="M562" s="1412">
        <f>SUM(M560:N561)</f>
        <v>0</v>
      </c>
      <c r="N562" s="1412"/>
      <c r="O562" s="1330"/>
      <c r="P562" s="1412">
        <f>SUM(P560:Q561)</f>
        <v>0</v>
      </c>
      <c r="Q562" s="1412"/>
      <c r="R562" s="1330"/>
      <c r="S562" s="1412">
        <f>SUM(S556:T561)</f>
        <v>378771</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4505</v>
      </c>
      <c r="C568" s="1330"/>
      <c r="D568" s="1330"/>
      <c r="E568" s="1330"/>
      <c r="F568" s="1330"/>
      <c r="G568" s="1454">
        <f>G453+G459+G463+G469+G474+G477+G483+G500+G513+G519+G527+G541+G547+G554+G562+G566</f>
        <v>14176065</v>
      </c>
      <c r="H568" s="1454"/>
      <c r="I568" s="1330"/>
      <c r="J568" s="1454">
        <f>J453+J459+J463+J469+J474+J477+J483+J500+J513+J519+J527+J541+J547+J554+J562+J566</f>
        <v>12739547</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1436518</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4506</v>
      </c>
      <c r="C570" s="1429"/>
      <c r="D570" s="1456">
        <f>IF('Part VI-Revenues &amp; Expenses'!$O$67=0,0,G568/'Part VI-Revenues &amp; Expenses'!$O$67)</f>
        <v>196889.79166666666</v>
      </c>
      <c r="E570" s="1456"/>
      <c r="F570" s="1457" t="s">
        <v>2763</v>
      </c>
      <c r="G570" s="1456">
        <f>IF('Part I-Project Information'!$P$75=0,0,G568/'Part I-Project Information'!$P$75)</f>
        <v>192.95564055098819</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12739547</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12739547</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16561411.100000001</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0.875</v>
      </c>
      <c r="K590" s="1464"/>
      <c r="L590" s="1330"/>
      <c r="M590" s="1464">
        <f>MIN('Part VI-Revenues &amp; Expenses'!$O$63/'Part VI-Revenues &amp; Expenses'!$O$65,'Part VI-Revenues &amp; Expenses'!$O$152/'Part VI-Revenues &amp; Expenses'!$O$154)</f>
        <v>0.875</v>
      </c>
      <c r="N590" s="1464"/>
      <c r="O590" s="1330"/>
      <c r="P590" s="1464">
        <f>MIN('Part VI-Revenues &amp; Expenses'!$O$63/'Part VI-Revenues &amp; Expenses'!$O$65,'Part VI-Revenues &amp; Expenses'!$O$152/'Part VI-Revenues &amp; Expenses'!$O$154)</f>
        <v>0.875</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14491234.712500002</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2542</v>
      </c>
      <c r="C593" s="1330"/>
      <c r="D593" s="1330"/>
      <c r="E593" s="1330"/>
      <c r="F593" s="1330"/>
      <c r="G593" s="1330"/>
      <c r="H593" s="1330"/>
      <c r="I593" s="1330"/>
      <c r="J593" s="1462">
        <f>J591*J592</f>
        <v>1304211.1241250001</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1304211.1241250001</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4507</v>
      </c>
      <c r="C598" s="1330"/>
      <c r="D598" s="1330"/>
      <c r="E598" s="1330"/>
      <c r="F598" s="1330"/>
      <c r="G598" s="1424" t="str">
        <f>IF(J599&gt;J598,"TDC exceeds QAP PUCL!","")</f>
        <v/>
      </c>
      <c r="H598" s="1424"/>
      <c r="I598" s="1424"/>
      <c r="J598" s="1467">
        <f>'Part VIII-Threshold Criteria'!$P$63</f>
        <v>14215668</v>
      </c>
      <c r="K598" s="1467"/>
      <c r="L598" s="1467"/>
      <c r="M598" s="1468" t="s">
        <v>2746</v>
      </c>
      <c r="N598" s="1468"/>
      <c r="O598" s="1468"/>
      <c r="P598" s="1468"/>
      <c r="Q598" s="1468"/>
      <c r="R598" s="1468"/>
      <c r="S598" s="1468" t="s">
        <v>3672</v>
      </c>
      <c r="T598" s="1468"/>
      <c r="U598" s="1330"/>
      <c r="V598" s="1418"/>
      <c r="W598" s="1203"/>
      <c r="X598" s="1203"/>
    </row>
    <row r="599" spans="1:24" ht="13.8">
      <c r="A599" s="1330"/>
      <c r="B599" s="1330" t="s">
        <v>4508</v>
      </c>
      <c r="C599" s="1330"/>
      <c r="D599" s="1330"/>
      <c r="E599" s="1330"/>
      <c r="F599" s="1330"/>
      <c r="G599" s="1330"/>
      <c r="H599" s="1330"/>
      <c r="I599" s="1330"/>
      <c r="J599" s="1462">
        <f>'Part IV-A-Uses of Funds'!J163</f>
        <v>14176065</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1700110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12475955</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1247595.5</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4509</v>
      </c>
      <c r="C604" s="1330"/>
      <c r="D604" s="1330"/>
      <c r="E604" s="1330"/>
      <c r="F604" s="1330"/>
      <c r="G604" s="1330"/>
      <c r="H604" s="1330"/>
      <c r="I604" s="1330"/>
      <c r="J604" s="1471">
        <f>N604+Q604</f>
        <v>1.24</v>
      </c>
      <c r="K604" s="1471"/>
      <c r="L604" s="1471"/>
      <c r="M604" s="1334" t="s">
        <v>1289</v>
      </c>
      <c r="N604" s="1821">
        <f>'Part IV-A-Uses of Funds'!N168</f>
        <v>0.85</v>
      </c>
      <c r="O604" s="1821">
        <f>'Part IV-A-Uses of Funds'!O168</f>
        <v>0</v>
      </c>
      <c r="P604" s="1334" t="s">
        <v>612</v>
      </c>
      <c r="Q604" s="1821">
        <f>'Part IV-A-Uses of Funds'!Q168</f>
        <v>0.39</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1006125.4032258064</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4510</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1000000</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4511</v>
      </c>
      <c r="C609" s="1330"/>
      <c r="D609" s="1330"/>
      <c r="E609" s="1330"/>
      <c r="F609" s="1330"/>
      <c r="G609" s="1330"/>
      <c r="H609" s="1330"/>
      <c r="I609" s="1330"/>
      <c r="J609" s="1397">
        <f>'Part IV-A-Uses of Funds'!J173</f>
        <v>1000000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4512</v>
      </c>
      <c r="C611" s="1330"/>
      <c r="D611" s="1336"/>
      <c r="E611" s="1336"/>
      <c r="F611" s="1337"/>
      <c r="G611" s="1330"/>
      <c r="H611" s="1330"/>
      <c r="I611" s="1330"/>
      <c r="J611" s="1397">
        <f>IF(J609="",0,+MIN(J607,J609))</f>
        <v>1000000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Please see Tab 01 for documentation of Local Government Fees (water tap, sewer tap, permits, impact fees).</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6">
      <c r="A623" s="1474" t="str">
        <f>CONCATENATE("PART FOUR (b) -  OTHER COSTS","  -  ",'Part I-Project Information'!$O$6," - ",'Part I-Project Information'!$F$34,"  -  ",'Part I-Project Information'!$F$38,"  -  ",'Part I-Project Information'!$J$39,",  ","County")</f>
        <v>PART FOUR (b) -  OTHER COSTS  -  2019-042 - Brennan Place  -  Columbus  -  Muscogee,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4513</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3705</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3705</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4514</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3705</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4515</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3705</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4516</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2019-042 Brennan Place,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Local PHA</v>
      </c>
    </row>
    <row r="714" spans="1:13">
      <c r="A714" s="1489" t="s">
        <v>3800</v>
      </c>
    </row>
    <row r="716" spans="1:13" ht="26.4">
      <c r="A716" s="1324" t="s">
        <v>616</v>
      </c>
      <c r="B716" s="1324" t="s">
        <v>2227</v>
      </c>
      <c r="F716" s="638" t="s">
        <v>2519</v>
      </c>
      <c r="I716" s="1318" t="str">
        <f>'Part V-Utility Allowances'!I7</f>
        <v>UAPro - Utility Allowances</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3+ 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8</v>
      </c>
      <c r="K721" s="1320">
        <f>'Part V-Utility Allowances'!K12</f>
        <v>9</v>
      </c>
      <c r="L721" s="1320">
        <f>'Part V-Utility Allowances'!L12</f>
        <v>10</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4</v>
      </c>
      <c r="K722" s="1320">
        <f>'Part V-Utility Allowances'!K13</f>
        <v>6</v>
      </c>
      <c r="L722" s="1320">
        <f>'Part V-Utility Allowances'!L13</f>
        <v>8</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10</v>
      </c>
      <c r="K723" s="1320">
        <f>'Part V-Utility Allowances'!K14</f>
        <v>13</v>
      </c>
      <c r="L723" s="1320">
        <f>'Part V-Utility Allowances'!L14</f>
        <v>16</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10</v>
      </c>
      <c r="K724" s="1320">
        <f>'Part V-Utility Allowances'!K15</f>
        <v>15</v>
      </c>
      <c r="L724" s="1320">
        <f>'Part V-Utility Allowances'!L15</f>
        <v>22</v>
      </c>
      <c r="M724" s="1320">
        <f>'Part V-Utility Allowances'!M15</f>
        <v>0</v>
      </c>
    </row>
    <row r="725" spans="1:13">
      <c r="B725" s="638" t="s">
        <v>3797</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3798</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3799</v>
      </c>
      <c r="D727" s="638" t="s">
        <v>1596</v>
      </c>
      <c r="F727" s="1827" t="str">
        <f>'Part V-Utility Allowances'!F18</f>
        <v>X</v>
      </c>
      <c r="G727" s="1827">
        <f>'Part V-Utility Allowances'!G18</f>
        <v>0</v>
      </c>
      <c r="I727" s="1320">
        <f>'Part V-Utility Allowances'!I18</f>
        <v>0</v>
      </c>
      <c r="J727" s="1320">
        <f>'Part V-Utility Allowances'!J18</f>
        <v>17</v>
      </c>
      <c r="K727" s="1320">
        <f>'Part V-Utility Allowances'!K18</f>
        <v>23</v>
      </c>
      <c r="L727" s="1320">
        <f>'Part V-Utility Allowances'!L18</f>
        <v>30</v>
      </c>
      <c r="M727" s="1320">
        <f>'Part V-Utility Allowances'!M18</f>
        <v>0</v>
      </c>
    </row>
    <row r="728" spans="1:13">
      <c r="B728" s="638" t="s">
        <v>1370</v>
      </c>
      <c r="D728" s="638" t="s">
        <v>4517</v>
      </c>
      <c r="E728" s="1320" t="str">
        <f>'Part V-Utility Allowances'!E19</f>
        <v>Yes</v>
      </c>
      <c r="F728" s="1827">
        <f>'Part V-Utility Allowances'!F19</f>
        <v>0</v>
      </c>
      <c r="G728" s="1827" t="str">
        <f>'Part V-Utility Allowances'!G19</f>
        <v>X</v>
      </c>
      <c r="I728" s="1320">
        <f>'Part V-Utility Allowances'!I19</f>
        <v>0</v>
      </c>
      <c r="J728" s="1320">
        <f>'Part V-Utility Allowances'!J19</f>
        <v>0</v>
      </c>
      <c r="K728" s="1320">
        <f>'Part V-Utility Allowances'!K19</f>
        <v>0</v>
      </c>
      <c r="L728" s="1320">
        <f>'Part V-Utility Allowances'!L19</f>
        <v>0</v>
      </c>
      <c r="M728" s="1320">
        <f>'Part V-Utility Allowances'!M19</f>
        <v>0</v>
      </c>
    </row>
    <row r="729" spans="1:13">
      <c r="B729" s="638" t="s">
        <v>1851</v>
      </c>
      <c r="F729" s="1827" t="str">
        <f>'Part V-Utility Allowances'!F21</f>
        <v>X</v>
      </c>
      <c r="G729" s="1827">
        <f>'Part V-Utility Allowances'!G21</f>
        <v>0</v>
      </c>
      <c r="I729" s="1320">
        <f>'Part V-Utility Allowances'!I21</f>
        <v>0</v>
      </c>
      <c r="J729" s="1320">
        <f>'Part V-Utility Allowances'!J21</f>
        <v>14</v>
      </c>
      <c r="K729" s="1320">
        <f>'Part V-Utility Allowances'!K21</f>
        <v>14</v>
      </c>
      <c r="L729" s="1320">
        <f>'Part V-Utility Allowances'!L21</f>
        <v>14</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63</v>
      </c>
      <c r="K730" s="1322">
        <f>IF(SUM(K721:K729)=0,0,IF(OR($D721="&lt;&lt;Select Fuel &gt;&gt;",$D722="&lt;&lt;Select Fuel &gt;&gt;",$D723="&lt;&lt;Select Fuel &gt;&gt;"),"Select Fuel",IF($E728="&lt;Select&gt;","Submeter?",SUM(K721:K729))))</f>
        <v>80</v>
      </c>
      <c r="L730" s="1322">
        <f>IF(SUM(L721:L729)=0,0,IF(OR($D721="&lt;&lt;Select Fuel &gt;&gt;",$D722="&lt;&lt;Select Fuel &gt;&gt;",$D723="&lt;&lt;Select Fuel &gt;&gt;"),"Select Fuel",IF($E728="&lt;Select&gt;","Submeter?",SUM(L721:L729))))</f>
        <v>100</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3797</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3798</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3799</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4517</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4518</v>
      </c>
      <c r="F748" s="1320"/>
      <c r="G748" s="1320"/>
      <c r="I748" s="1322"/>
      <c r="J748" s="1322"/>
      <c r="K748" s="1322"/>
      <c r="L748" s="1322"/>
      <c r="M748" s="1322"/>
    </row>
    <row r="749" spans="1:13">
      <c r="A749" s="1324"/>
      <c r="B749" s="1324" t="s">
        <v>572</v>
      </c>
    </row>
    <row r="750" spans="1:13" ht="193.8">
      <c r="B750" s="1203" t="str">
        <f>'Part V-Utility Allowances'!B43</f>
        <v>Applicant has used UAPro utility allowances for Large Apartment (5+ units). The project will be a combination of two/three story walk-up designed buildings.</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2019-042 Brennan Place,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2019-042 Brennan Place,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3422</v>
      </c>
      <c r="JD760" s="1318" t="s">
        <v>3423</v>
      </c>
      <c r="JE760" s="1318" t="s">
        <v>3424</v>
      </c>
      <c r="JF760" s="1318" t="s">
        <v>3425</v>
      </c>
      <c r="JG760" s="1318" t="s">
        <v>3426</v>
      </c>
    </row>
    <row r="761" spans="1:277" s="1314" customFormat="1" ht="3" customHeight="1">
      <c r="B761" s="1312"/>
      <c r="D761" s="1312"/>
      <c r="P761" s="1491" t="s">
        <v>4519</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1846</v>
      </c>
      <c r="E762" s="1312"/>
      <c r="G762" s="1313" t="str">
        <f>'Part VI-Revenues &amp; Expenses'!G5</f>
        <v>&lt;Select&gt;</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3417</v>
      </c>
      <c r="JI762" s="1319" t="s">
        <v>3418</v>
      </c>
      <c r="JJ762" s="1319" t="s">
        <v>3419</v>
      </c>
      <c r="JK762" s="1319" t="s">
        <v>3420</v>
      </c>
      <c r="JL762" s="1319" t="s">
        <v>3421</v>
      </c>
      <c r="JM762" s="1318" t="s">
        <v>3431</v>
      </c>
      <c r="JN762" s="1318" t="s">
        <v>3433</v>
      </c>
      <c r="JO762" s="1318" t="s">
        <v>3434</v>
      </c>
      <c r="JP762" s="1318" t="s">
        <v>3435</v>
      </c>
      <c r="JQ762" s="1318" t="s">
        <v>3436</v>
      </c>
    </row>
    <row r="763" spans="1:277" s="1314" customFormat="1" ht="13.2" customHeight="1">
      <c r="A763" s="1494"/>
      <c r="B763" s="1497" t="s">
        <v>1805</v>
      </c>
      <c r="E763" s="1312"/>
      <c r="F763" s="1320" t="str">
        <f>'Part VI-Revenues &amp; Expenses'!F6</f>
        <v>No</v>
      </c>
      <c r="G763" s="1495" t="s">
        <v>3662</v>
      </c>
      <c r="H763" s="1491" t="s">
        <v>3883</v>
      </c>
      <c r="I763" s="1495" t="s">
        <v>799</v>
      </c>
      <c r="J763" s="1495" t="s">
        <v>3665</v>
      </c>
      <c r="K763" s="1319"/>
      <c r="L763" s="1319"/>
      <c r="M763" s="1498" t="str">
        <f>'Part I-Project Information'!$O$40</f>
        <v>Columbus</v>
      </c>
      <c r="N763" s="1498"/>
      <c r="O763" s="1499">
        <f>VLOOKUP('Part I-Project Information'!$O$40,'DCA Underwriting Assumptions'!$C$158:$D$268,2)</f>
        <v>56000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3845</v>
      </c>
      <c r="J764" s="1495" t="s">
        <v>3666</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4520</v>
      </c>
      <c r="K765" s="1503" t="s">
        <v>145</v>
      </c>
      <c r="L765" s="1503"/>
      <c r="M765" s="1495" t="s">
        <v>2367</v>
      </c>
      <c r="N765" s="1495" t="s">
        <v>532</v>
      </c>
      <c r="O765" s="1495" t="s">
        <v>383</v>
      </c>
      <c r="P765" s="1491"/>
      <c r="Q765" s="1503" t="s">
        <v>3573</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3365</v>
      </c>
      <c r="FH765" s="1318" t="s">
        <v>3365</v>
      </c>
      <c r="FI765" s="1318" t="s">
        <v>3365</v>
      </c>
      <c r="FJ765" s="1318" t="s">
        <v>3365</v>
      </c>
      <c r="FK765" s="1318" t="s">
        <v>3365</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3361</v>
      </c>
      <c r="GB765" s="1318" t="s">
        <v>3361</v>
      </c>
      <c r="GC765" s="1318" t="s">
        <v>3361</v>
      </c>
      <c r="GD765" s="1318" t="s">
        <v>3361</v>
      </c>
      <c r="GE765" s="1318" t="s">
        <v>3361</v>
      </c>
      <c r="GF765" s="1318" t="s">
        <v>358</v>
      </c>
      <c r="GG765" s="1318" t="s">
        <v>358</v>
      </c>
      <c r="GH765" s="1318" t="s">
        <v>358</v>
      </c>
      <c r="GI765" s="1318" t="s">
        <v>358</v>
      </c>
      <c r="GJ765" s="1318" t="s">
        <v>358</v>
      </c>
      <c r="GK765" s="1318" t="s">
        <v>3360</v>
      </c>
      <c r="GL765" s="1318" t="s">
        <v>3360</v>
      </c>
      <c r="GM765" s="1318" t="s">
        <v>3360</v>
      </c>
      <c r="GN765" s="1318" t="s">
        <v>3360</v>
      </c>
      <c r="GO765" s="1318" t="s">
        <v>3360</v>
      </c>
      <c r="GP765" s="1318" t="s">
        <v>359</v>
      </c>
      <c r="GQ765" s="1318" t="s">
        <v>359</v>
      </c>
      <c r="GR765" s="1318" t="s">
        <v>359</v>
      </c>
      <c r="GS765" s="1318" t="s">
        <v>359</v>
      </c>
      <c r="GT765" s="1318" t="s">
        <v>359</v>
      </c>
      <c r="GU765" s="1318" t="s">
        <v>3359</v>
      </c>
      <c r="GV765" s="1318" t="s">
        <v>3359</v>
      </c>
      <c r="GW765" s="1318" t="s">
        <v>3359</v>
      </c>
      <c r="GX765" s="1318" t="s">
        <v>3359</v>
      </c>
      <c r="GY765" s="1318" t="s">
        <v>3359</v>
      </c>
      <c r="GZ765" s="1318" t="s">
        <v>360</v>
      </c>
      <c r="HA765" s="1318" t="s">
        <v>360</v>
      </c>
      <c r="HB765" s="1318" t="s">
        <v>360</v>
      </c>
      <c r="HC765" s="1318" t="s">
        <v>360</v>
      </c>
      <c r="HD765" s="1318" t="s">
        <v>360</v>
      </c>
      <c r="HE765" s="1318" t="s">
        <v>3362</v>
      </c>
      <c r="HF765" s="1318" t="s">
        <v>3362</v>
      </c>
      <c r="HG765" s="1318" t="s">
        <v>3362</v>
      </c>
      <c r="HH765" s="1318" t="s">
        <v>3362</v>
      </c>
      <c r="HI765" s="1318" t="s">
        <v>3362</v>
      </c>
      <c r="HJ765" s="1318" t="s">
        <v>361</v>
      </c>
      <c r="HK765" s="1318" t="s">
        <v>361</v>
      </c>
      <c r="HL765" s="1318" t="s">
        <v>361</v>
      </c>
      <c r="HM765" s="1318" t="s">
        <v>361</v>
      </c>
      <c r="HN765" s="1318" t="s">
        <v>361</v>
      </c>
      <c r="HO765" s="1318" t="s">
        <v>3363</v>
      </c>
      <c r="HP765" s="1318" t="s">
        <v>3363</v>
      </c>
      <c r="HQ765" s="1318" t="s">
        <v>3363</v>
      </c>
      <c r="HR765" s="1318" t="s">
        <v>3363</v>
      </c>
      <c r="HS765" s="1318" t="s">
        <v>3363</v>
      </c>
      <c r="HT765" s="1318" t="s">
        <v>1461</v>
      </c>
      <c r="HU765" s="1318" t="s">
        <v>1461</v>
      </c>
      <c r="HV765" s="1318" t="s">
        <v>1461</v>
      </c>
      <c r="HW765" s="1318" t="s">
        <v>1461</v>
      </c>
      <c r="HX765" s="1318" t="s">
        <v>1461</v>
      </c>
      <c r="HY765" s="1318" t="s">
        <v>3364</v>
      </c>
      <c r="HZ765" s="1318" t="s">
        <v>3364</v>
      </c>
      <c r="IA765" s="1318" t="s">
        <v>3364</v>
      </c>
      <c r="IB765" s="1318" t="s">
        <v>3364</v>
      </c>
      <c r="IC765" s="1318" t="s">
        <v>3364</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3314</v>
      </c>
      <c r="O766" s="1495" t="s">
        <v>384</v>
      </c>
      <c r="P766" s="1491"/>
      <c r="Q766" s="1495" t="s">
        <v>3574</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3366</v>
      </c>
      <c r="FR766" s="1320" t="s">
        <v>3366</v>
      </c>
      <c r="FS766" s="1320" t="s">
        <v>3366</v>
      </c>
      <c r="FT766" s="1320" t="s">
        <v>3366</v>
      </c>
      <c r="FU766" s="1320" t="s">
        <v>3366</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1</v>
      </c>
      <c r="D769" s="1830">
        <f>'Part VI-Revenues &amp; Expenses'!D12</f>
        <v>1</v>
      </c>
      <c r="E769" s="1831">
        <f>'Part VI-Revenues &amp; Expenses'!E12</f>
        <v>2</v>
      </c>
      <c r="F769" s="1831">
        <f>'Part VI-Revenues &amp; Expenses'!F12</f>
        <v>704</v>
      </c>
      <c r="G769" s="1831">
        <f>'Part VI-Revenues &amp; Expenses'!G12</f>
        <v>0</v>
      </c>
      <c r="H769" s="1831">
        <f>'Part VI-Revenues &amp; Expenses'!H12</f>
        <v>610</v>
      </c>
      <c r="I769" s="1831">
        <f>'Part VI-Revenues &amp; Expenses'!I12</f>
        <v>0</v>
      </c>
      <c r="J769" s="1832">
        <f>'Part VI-Revenues &amp; Expenses'!J12</f>
        <v>0</v>
      </c>
      <c r="K769" s="1505">
        <f t="shared" si="1"/>
        <v>610</v>
      </c>
      <c r="L769" s="1505">
        <f t="shared" si="2"/>
        <v>1220</v>
      </c>
      <c r="M769" s="1816" t="str">
        <f>'Part VI-Revenues &amp; Expenses'!M12</f>
        <v>No</v>
      </c>
      <c r="N769" s="1816" t="str">
        <f>'Part VI-Revenues &amp; Expenses'!N12</f>
        <v>2-Story Walkup</v>
      </c>
      <c r="O769" s="1816" t="str">
        <f>'Part VI-Revenues &amp; Expenses'!O12</f>
        <v>New Construction</v>
      </c>
      <c r="P769" s="1316" t="str">
        <f>'Part VI-Revenues &amp; Expenses'!P12</f>
        <v>No</v>
      </c>
      <c r="Q769" s="1506">
        <f>'Part VI-Revenues &amp; Expenses'!Q12</f>
        <v>24400</v>
      </c>
      <c r="R769" s="1507">
        <f>'Part VI-Revenues &amp; Expenses'!R12</f>
        <v>0.580952380952381</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f t="shared" si="19"/>
        <v>2</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f t="shared" si="74"/>
        <v>1408</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f t="shared" si="94"/>
        <v>2</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f t="shared" si="134"/>
        <v>2</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f t="shared" si="199"/>
        <v>2</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2</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2</v>
      </c>
      <c r="D770" s="1830">
        <f>'Part VI-Revenues &amp; Expenses'!D13</f>
        <v>2</v>
      </c>
      <c r="E770" s="1831">
        <f>'Part VI-Revenues &amp; Expenses'!E13</f>
        <v>5</v>
      </c>
      <c r="F770" s="1831">
        <f>'Part VI-Revenues &amp; Expenses'!F13</f>
        <v>1005</v>
      </c>
      <c r="G770" s="1831">
        <f>'Part VI-Revenues &amp; Expenses'!G13</f>
        <v>0</v>
      </c>
      <c r="H770" s="1831">
        <f>'Part VI-Revenues &amp; Expenses'!H13</f>
        <v>761</v>
      </c>
      <c r="I770" s="1831">
        <f>'Part VI-Revenues &amp; Expenses'!I13</f>
        <v>0</v>
      </c>
      <c r="J770" s="1832">
        <f>'Part VI-Revenues &amp; Expenses'!J13</f>
        <v>0</v>
      </c>
      <c r="K770" s="1505">
        <f t="shared" si="1"/>
        <v>761</v>
      </c>
      <c r="L770" s="1505">
        <f t="shared" si="2"/>
        <v>3805</v>
      </c>
      <c r="M770" s="1816" t="str">
        <f>'Part VI-Revenues &amp; Expenses'!M13</f>
        <v>No</v>
      </c>
      <c r="N770" s="1816" t="str">
        <f>'Part VI-Revenues &amp; Expenses'!N13</f>
        <v>2-Story Walkup</v>
      </c>
      <c r="O770" s="1816" t="str">
        <f>'Part VI-Revenues &amp; Expenses'!O13</f>
        <v>New Construction</v>
      </c>
      <c r="P770" s="1316" t="str">
        <f>'Part VI-Revenues &amp; Expenses'!P13</f>
        <v>No</v>
      </c>
      <c r="Q770" s="1506">
        <f>'Part VI-Revenues &amp; Expenses'!Q13</f>
        <v>30440</v>
      </c>
      <c r="R770" s="1507">
        <f>'Part VI-Revenues &amp; Expenses'!R13</f>
        <v>0.60396825396825393</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f t="shared" si="20"/>
        <v>5</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f t="shared" si="75"/>
        <v>5025</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f t="shared" si="95"/>
        <v>5</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f t="shared" si="135"/>
        <v>5</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f t="shared" si="200"/>
        <v>5</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5</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3</v>
      </c>
      <c r="D771" s="1830">
        <f>'Part VI-Revenues &amp; Expenses'!D14</f>
        <v>2</v>
      </c>
      <c r="E771" s="1831">
        <f>'Part VI-Revenues &amp; Expenses'!E14</f>
        <v>2</v>
      </c>
      <c r="F771" s="1831">
        <f>'Part VI-Revenues &amp; Expenses'!F14</f>
        <v>1110</v>
      </c>
      <c r="G771" s="1831">
        <f>'Part VI-Revenues &amp; Expenses'!G14</f>
        <v>0</v>
      </c>
      <c r="H771" s="1831">
        <f>'Part VI-Revenues &amp; Expenses'!H14</f>
        <v>840</v>
      </c>
      <c r="I771" s="1831">
        <f>'Part VI-Revenues &amp; Expenses'!I14</f>
        <v>0</v>
      </c>
      <c r="J771" s="1832">
        <f>'Part VI-Revenues &amp; Expenses'!J14</f>
        <v>0</v>
      </c>
      <c r="K771" s="1505">
        <f t="shared" si="1"/>
        <v>840</v>
      </c>
      <c r="L771" s="1505">
        <f t="shared" si="2"/>
        <v>1680</v>
      </c>
      <c r="M771" s="1816" t="str">
        <f>'Part VI-Revenues &amp; Expenses'!M14</f>
        <v>No</v>
      </c>
      <c r="N771" s="1816" t="str">
        <f>'Part VI-Revenues &amp; Expenses'!N14</f>
        <v>2-Story Walkup</v>
      </c>
      <c r="O771" s="1816" t="str">
        <f>'Part VI-Revenues &amp; Expenses'!O14</f>
        <v>New Construction</v>
      </c>
      <c r="P771" s="1316" t="str">
        <f>'Part VI-Revenues &amp; Expenses'!P14</f>
        <v>No</v>
      </c>
      <c r="Q771" s="1506">
        <f>'Part VI-Revenues &amp; Expenses'!Q14</f>
        <v>33600</v>
      </c>
      <c r="R771" s="1507">
        <f>'Part VI-Revenues &amp; Expenses'!R14</f>
        <v>0.57692307692307687</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f t="shared" si="21"/>
        <v>2</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f t="shared" si="76"/>
        <v>2220</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f t="shared" si="96"/>
        <v>2</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f t="shared" si="136"/>
        <v>2</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f t="shared" si="201"/>
        <v>2</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2</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3</v>
      </c>
      <c r="F774" s="1831">
        <f>'Part VI-Revenues &amp; Expenses'!F17</f>
        <v>704</v>
      </c>
      <c r="G774" s="1831">
        <f>'Part VI-Revenues &amp; Expenses'!G17</f>
        <v>525</v>
      </c>
      <c r="H774" s="1831">
        <f>'Part VI-Revenues &amp; Expenses'!H17</f>
        <v>522</v>
      </c>
      <c r="I774" s="1831">
        <f>'Part VI-Revenues &amp; Expenses'!I17</f>
        <v>63</v>
      </c>
      <c r="J774" s="1832">
        <f>'Part VI-Revenues &amp; Expenses'!J17</f>
        <v>0</v>
      </c>
      <c r="K774" s="1505">
        <f t="shared" si="1"/>
        <v>459</v>
      </c>
      <c r="L774" s="1505">
        <f t="shared" si="2"/>
        <v>1377</v>
      </c>
      <c r="M774" s="1816" t="str">
        <f>'Part VI-Revenues &amp; Expenses'!M17</f>
        <v>No</v>
      </c>
      <c r="N774" s="1816" t="str">
        <f>'Part VI-Revenues &amp; Expenses'!N17</f>
        <v>2-Story Walkup</v>
      </c>
      <c r="O774" s="1816" t="str">
        <f>'Part VI-Revenues &amp; Expenses'!O17</f>
        <v>New Construction</v>
      </c>
      <c r="P774" s="1316" t="str">
        <f>'Part VI-Revenues &amp; Expenses'!P17</f>
        <v>No</v>
      </c>
      <c r="Q774" s="1506">
        <f>'Part VI-Revenues &amp; Expenses'!Q17</f>
        <v>20880</v>
      </c>
      <c r="R774" s="1507">
        <f>'Part VI-Revenues &amp; Expenses'!R17</f>
        <v>0.49714285714285716</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3</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3</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f t="shared" si="199"/>
        <v>3</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3</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6</v>
      </c>
      <c r="F775" s="1831">
        <f>'Part VI-Revenues &amp; Expenses'!F18</f>
        <v>1005</v>
      </c>
      <c r="G775" s="1831">
        <f>'Part VI-Revenues &amp; Expenses'!G18</f>
        <v>630</v>
      </c>
      <c r="H775" s="1831">
        <f>'Part VI-Revenues &amp; Expenses'!H18</f>
        <v>625</v>
      </c>
      <c r="I775" s="1831">
        <f>'Part VI-Revenues &amp; Expenses'!I18</f>
        <v>80</v>
      </c>
      <c r="J775" s="1832">
        <f>'Part VI-Revenues &amp; Expenses'!J18</f>
        <v>0</v>
      </c>
      <c r="K775" s="1505">
        <f t="shared" si="1"/>
        <v>545</v>
      </c>
      <c r="L775" s="1505">
        <f t="shared" si="2"/>
        <v>3270</v>
      </c>
      <c r="M775" s="1816" t="str">
        <f>'Part VI-Revenues &amp; Expenses'!M18</f>
        <v>No</v>
      </c>
      <c r="N775" s="1816" t="str">
        <f>'Part VI-Revenues &amp; Expenses'!N18</f>
        <v>2-Story Walkup</v>
      </c>
      <c r="O775" s="1816" t="str">
        <f>'Part VI-Revenues &amp; Expenses'!O18</f>
        <v>New Construction</v>
      </c>
      <c r="P775" s="1316" t="str">
        <f>'Part VI-Revenues &amp; Expenses'!P18</f>
        <v>No</v>
      </c>
      <c r="Q775" s="1506">
        <f>'Part VI-Revenues &amp; Expenses'!Q18</f>
        <v>25000</v>
      </c>
      <c r="R775" s="1507">
        <f>'Part VI-Revenues &amp; Expenses'!R18</f>
        <v>0.49603174603174605</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6</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6</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f t="shared" si="200"/>
        <v>6</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6</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3</v>
      </c>
      <c r="D776" s="1830">
        <f>'Part VI-Revenues &amp; Expenses'!D19</f>
        <v>2</v>
      </c>
      <c r="E776" s="1831">
        <f>'Part VI-Revenues &amp; Expenses'!E19</f>
        <v>4</v>
      </c>
      <c r="F776" s="1831">
        <f>'Part VI-Revenues &amp; Expenses'!F19</f>
        <v>1110</v>
      </c>
      <c r="G776" s="1831">
        <f>'Part VI-Revenues &amp; Expenses'!G19</f>
        <v>728</v>
      </c>
      <c r="H776" s="1831">
        <f>'Part VI-Revenues &amp; Expenses'!H19</f>
        <v>725</v>
      </c>
      <c r="I776" s="1831">
        <f>'Part VI-Revenues &amp; Expenses'!I19</f>
        <v>100</v>
      </c>
      <c r="J776" s="1832">
        <f>'Part VI-Revenues &amp; Expenses'!J19</f>
        <v>0</v>
      </c>
      <c r="K776" s="1505">
        <f t="shared" si="1"/>
        <v>625</v>
      </c>
      <c r="L776" s="1505">
        <f t="shared" si="2"/>
        <v>2500</v>
      </c>
      <c r="M776" s="1816" t="str">
        <f>'Part VI-Revenues &amp; Expenses'!M19</f>
        <v>No</v>
      </c>
      <c r="N776" s="1816" t="str">
        <f>'Part VI-Revenues &amp; Expenses'!N19</f>
        <v>2-Story Walkup</v>
      </c>
      <c r="O776" s="1816" t="str">
        <f>'Part VI-Revenues &amp; Expenses'!O19</f>
        <v>New Construction</v>
      </c>
      <c r="P776" s="1316" t="str">
        <f>'Part VI-Revenues &amp; Expenses'!P19</f>
        <v>No</v>
      </c>
      <c r="Q776" s="1506">
        <f>'Part VI-Revenues &amp; Expenses'!Q19</f>
        <v>29000</v>
      </c>
      <c r="R776" s="1507">
        <f>'Part VI-Revenues &amp; Expenses'!R19</f>
        <v>0.49793956043956045</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4</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f t="shared" si="136"/>
        <v>4</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f t="shared" si="201"/>
        <v>4</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4</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7</v>
      </c>
      <c r="F777" s="1831">
        <f>'Part VI-Revenues &amp; Expenses'!F20</f>
        <v>704</v>
      </c>
      <c r="G777" s="1831">
        <f>'Part VI-Revenues &amp; Expenses'!G20</f>
        <v>630</v>
      </c>
      <c r="H777" s="1831">
        <f>'Part VI-Revenues &amp; Expenses'!H20</f>
        <v>583</v>
      </c>
      <c r="I777" s="1831">
        <f>'Part VI-Revenues &amp; Expenses'!I20</f>
        <v>63</v>
      </c>
      <c r="J777" s="1832">
        <f>'Part VI-Revenues &amp; Expenses'!J20</f>
        <v>0</v>
      </c>
      <c r="K777" s="1505">
        <f t="shared" si="1"/>
        <v>520</v>
      </c>
      <c r="L777" s="1505">
        <f t="shared" si="2"/>
        <v>3640</v>
      </c>
      <c r="M777" s="1816" t="str">
        <f>'Part VI-Revenues &amp; Expenses'!M20</f>
        <v>No</v>
      </c>
      <c r="N777" s="1816" t="str">
        <f>'Part VI-Revenues &amp; Expenses'!N20</f>
        <v>2-Story Walkup</v>
      </c>
      <c r="O777" s="1816" t="str">
        <f>'Part VI-Revenues &amp; Expenses'!O20</f>
        <v>New Construction</v>
      </c>
      <c r="P777" s="1316" t="str">
        <f>'Part VI-Revenues &amp; Expenses'!P20</f>
        <v>No</v>
      </c>
      <c r="Q777" s="1506">
        <f>'Part VI-Revenues &amp; Expenses'!Q20</f>
        <v>23320</v>
      </c>
      <c r="R777" s="1507">
        <f>'Part VI-Revenues &amp; Expenses'!R20</f>
        <v>0.5552380952380952</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7</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7</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f t="shared" si="199"/>
        <v>7</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7</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25</v>
      </c>
      <c r="F778" s="1831">
        <f>'Part VI-Revenues &amp; Expenses'!F21</f>
        <v>1005</v>
      </c>
      <c r="G778" s="1831">
        <f>'Part VI-Revenues &amp; Expenses'!G21</f>
        <v>756</v>
      </c>
      <c r="H778" s="1831">
        <f>'Part VI-Revenues &amp; Expenses'!H21</f>
        <v>729</v>
      </c>
      <c r="I778" s="1831">
        <f>'Part VI-Revenues &amp; Expenses'!I21</f>
        <v>80</v>
      </c>
      <c r="J778" s="1832">
        <f>'Part VI-Revenues &amp; Expenses'!J21</f>
        <v>0</v>
      </c>
      <c r="K778" s="1505">
        <f t="shared" si="1"/>
        <v>649</v>
      </c>
      <c r="L778" s="1505">
        <f t="shared" si="2"/>
        <v>16225</v>
      </c>
      <c r="M778" s="1816" t="str">
        <f>'Part VI-Revenues &amp; Expenses'!M21</f>
        <v>No</v>
      </c>
      <c r="N778" s="1816" t="str">
        <f>'Part VI-Revenues &amp; Expenses'!N21</f>
        <v>2-Story Walkup</v>
      </c>
      <c r="O778" s="1816" t="str">
        <f>'Part VI-Revenues &amp; Expenses'!O21</f>
        <v>New Construction</v>
      </c>
      <c r="P778" s="1316" t="str">
        <f>'Part VI-Revenues &amp; Expenses'!P21</f>
        <v>No</v>
      </c>
      <c r="Q778" s="1506">
        <f>'Part VI-Revenues &amp; Expenses'!Q21</f>
        <v>29160</v>
      </c>
      <c r="R778" s="1507">
        <f>'Part VI-Revenues &amp; Expenses'!R21</f>
        <v>0.57857142857142863</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25</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25</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f t="shared" si="200"/>
        <v>25</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25</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18</v>
      </c>
      <c r="F779" s="1831">
        <f>'Part VI-Revenues &amp; Expenses'!F22</f>
        <v>1110</v>
      </c>
      <c r="G779" s="1831">
        <f>'Part VI-Revenues &amp; Expenses'!G22</f>
        <v>873</v>
      </c>
      <c r="H779" s="1831">
        <f>'Part VI-Revenues &amp; Expenses'!H22</f>
        <v>865</v>
      </c>
      <c r="I779" s="1831">
        <f>'Part VI-Revenues &amp; Expenses'!I22</f>
        <v>100</v>
      </c>
      <c r="J779" s="1832">
        <f>'Part VI-Revenues &amp; Expenses'!J22</f>
        <v>0</v>
      </c>
      <c r="K779" s="1505">
        <f t="shared" si="1"/>
        <v>765</v>
      </c>
      <c r="L779" s="1505">
        <f t="shared" si="2"/>
        <v>13770</v>
      </c>
      <c r="M779" s="1816" t="str">
        <f>'Part VI-Revenues &amp; Expenses'!M22</f>
        <v>No</v>
      </c>
      <c r="N779" s="1816" t="str">
        <f>'Part VI-Revenues &amp; Expenses'!N22</f>
        <v>2-Story Walkup</v>
      </c>
      <c r="O779" s="1816" t="str">
        <f>'Part VI-Revenues &amp; Expenses'!O22</f>
        <v>New Construction</v>
      </c>
      <c r="P779" s="1316" t="str">
        <f>'Part VI-Revenues &amp; Expenses'!P22</f>
        <v>No</v>
      </c>
      <c r="Q779" s="1506">
        <f>'Part VI-Revenues &amp; Expenses'!Q22</f>
        <v>34600</v>
      </c>
      <c r="R779" s="1507">
        <f>'Part VI-Revenues &amp; Expenses'!R22</f>
        <v>0.59409340659340659</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18</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f t="shared" si="136"/>
        <v>18</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f t="shared" si="201"/>
        <v>18</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18</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80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72</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71268</v>
      </c>
      <c r="G805" s="458"/>
      <c r="H805" s="458"/>
      <c r="I805" s="458"/>
      <c r="J805" s="458"/>
      <c r="K805" s="1511" t="s">
        <v>1302</v>
      </c>
      <c r="L805" s="1509">
        <f>SUM(L767:L804)</f>
        <v>47487</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2</v>
      </c>
      <c r="AN805" s="1323">
        <f t="shared" si="258"/>
        <v>5</v>
      </c>
      <c r="AO805" s="1323">
        <f t="shared" si="258"/>
        <v>2</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1408</v>
      </c>
      <c r="CQ805" s="1323">
        <f t="shared" si="259"/>
        <v>5025</v>
      </c>
      <c r="CR805" s="1323">
        <f t="shared" si="259"/>
        <v>2220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10</v>
      </c>
      <c r="DF805" s="1323">
        <f t="shared" si="259"/>
        <v>31</v>
      </c>
      <c r="DG805" s="1323">
        <f t="shared" si="259"/>
        <v>22</v>
      </c>
      <c r="DH805" s="1323">
        <f t="shared" si="259"/>
        <v>0</v>
      </c>
      <c r="DI805" s="1323">
        <f t="shared" si="259"/>
        <v>0</v>
      </c>
      <c r="DJ805" s="1323">
        <f t="shared" si="259"/>
        <v>2</v>
      </c>
      <c r="DK805" s="1323">
        <f t="shared" si="259"/>
        <v>5</v>
      </c>
      <c r="DL805" s="1323">
        <f t="shared" si="259"/>
        <v>2</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12</v>
      </c>
      <c r="EY805" s="1323">
        <f t="shared" si="260"/>
        <v>36</v>
      </c>
      <c r="EZ805" s="1323">
        <f t="shared" si="260"/>
        <v>24</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12</v>
      </c>
      <c r="HL805" s="1323">
        <f t="shared" si="261"/>
        <v>36</v>
      </c>
      <c r="HM805" s="1323">
        <f t="shared" si="261"/>
        <v>24</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12</v>
      </c>
      <c r="JJ805" s="1323">
        <f t="shared" si="261"/>
        <v>36</v>
      </c>
      <c r="JK805" s="1323">
        <f t="shared" si="261"/>
        <v>24</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569844</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4521</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2</v>
      </c>
      <c r="L816" s="1516">
        <f>AN805</f>
        <v>5</v>
      </c>
      <c r="M816" s="1516">
        <f>AO805</f>
        <v>2</v>
      </c>
      <c r="N816" s="1516">
        <f>AP805</f>
        <v>0</v>
      </c>
      <c r="O816" s="1516">
        <f t="shared" si="262"/>
        <v>9</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2</v>
      </c>
      <c r="L817" s="1516">
        <f>SUM(L815:L816)</f>
        <v>5</v>
      </c>
      <c r="M817" s="1516">
        <f>SUM(M815:M816)</f>
        <v>2</v>
      </c>
      <c r="N817" s="1516">
        <f>SUM(N815:N816)</f>
        <v>0</v>
      </c>
      <c r="O817" s="1516">
        <f t="shared" si="262"/>
        <v>9</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2</v>
      </c>
      <c r="L819" s="1516">
        <f>SUM(L817:L818)</f>
        <v>5</v>
      </c>
      <c r="M819" s="1516">
        <f>SUM(M817:M818)</f>
        <v>2</v>
      </c>
      <c r="N819" s="1516">
        <f>SUM(N817:N818)</f>
        <v>0</v>
      </c>
      <c r="O819" s="1516">
        <f t="shared" si="262"/>
        <v>9</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10</v>
      </c>
      <c r="L829" s="1516">
        <f>DF805</f>
        <v>31</v>
      </c>
      <c r="M829" s="1516">
        <f>DG805</f>
        <v>22</v>
      </c>
      <c r="N829" s="1516">
        <f>DH805</f>
        <v>0</v>
      </c>
      <c r="O829" s="1516">
        <f t="shared" ref="O829:O839" si="263">SUM(J829:N829)</f>
        <v>63</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2</v>
      </c>
      <c r="L830" s="1516">
        <f>DK805</f>
        <v>5</v>
      </c>
      <c r="M830" s="1516">
        <f>DL805</f>
        <v>2</v>
      </c>
      <c r="N830" s="1516">
        <f>DM805</f>
        <v>0</v>
      </c>
      <c r="O830" s="1516">
        <f t="shared" si="263"/>
        <v>9</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12</v>
      </c>
      <c r="L831" s="1516">
        <f>SUM(L829:L830)+DP805</f>
        <v>36</v>
      </c>
      <c r="M831" s="1516">
        <f>SUM(M829:M830)+DQ805</f>
        <v>24</v>
      </c>
      <c r="N831" s="1516">
        <f>SUM(N829:N830)+DR805</f>
        <v>0</v>
      </c>
      <c r="O831" s="1516">
        <f t="shared" si="263"/>
        <v>72</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4522</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3356</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4523</v>
      </c>
      <c r="D843" s="1521"/>
      <c r="E843" s="1317" t="s">
        <v>39</v>
      </c>
      <c r="F843" s="1314"/>
      <c r="G843" s="1335"/>
      <c r="J843" s="1516">
        <f t="shared" ref="J843:O843" si="264">SUM(J844:J851)</f>
        <v>0</v>
      </c>
      <c r="K843" s="1516">
        <f t="shared" si="264"/>
        <v>12</v>
      </c>
      <c r="L843" s="1516">
        <f t="shared" si="264"/>
        <v>36</v>
      </c>
      <c r="M843" s="1516">
        <f t="shared" si="264"/>
        <v>24</v>
      </c>
      <c r="N843" s="1516">
        <f t="shared" si="264"/>
        <v>0</v>
      </c>
      <c r="O843" s="1516">
        <f t="shared" si="264"/>
        <v>72</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3356</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3356</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12</v>
      </c>
      <c r="L848" s="1516">
        <f>HL805</f>
        <v>36</v>
      </c>
      <c r="M848" s="1516">
        <f>HM805</f>
        <v>24</v>
      </c>
      <c r="N848" s="1516">
        <f>HN805</f>
        <v>0</v>
      </c>
      <c r="O848" s="1516">
        <f t="shared" si="265"/>
        <v>72</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3356</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3356</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3356</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3356</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3356</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3356</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4524</v>
      </c>
      <c r="D861" s="1521"/>
      <c r="E861" s="1317" t="s">
        <v>3351</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3356</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3352</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3356</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3353</v>
      </c>
      <c r="F865" s="1335"/>
      <c r="H865" s="1524"/>
      <c r="J865" s="1516">
        <f>J848</f>
        <v>0</v>
      </c>
      <c r="K865" s="1516">
        <f t="shared" ref="K865:N866" si="269">K848</f>
        <v>12</v>
      </c>
      <c r="L865" s="1516">
        <f t="shared" si="269"/>
        <v>36</v>
      </c>
      <c r="M865" s="1516">
        <f t="shared" si="269"/>
        <v>24</v>
      </c>
      <c r="N865" s="1516">
        <f t="shared" si="269"/>
        <v>0</v>
      </c>
      <c r="O865" s="1516">
        <f t="shared" si="267"/>
        <v>72</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3356</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3354</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3356</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1408</v>
      </c>
      <c r="L873" s="1530">
        <f>CQ805</f>
        <v>5025</v>
      </c>
      <c r="M873" s="1530">
        <f>CR805</f>
        <v>2220</v>
      </c>
      <c r="N873" s="1530">
        <f>CS805</f>
        <v>0</v>
      </c>
      <c r="O873" s="1530">
        <f t="shared" si="271"/>
        <v>8653</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1408</v>
      </c>
      <c r="L874" s="1530">
        <f>SUM(L872:L873)</f>
        <v>5025</v>
      </c>
      <c r="M874" s="1530">
        <f>SUM(M872:M873)</f>
        <v>2220</v>
      </c>
      <c r="N874" s="1530">
        <f>SUM(N872:N873)</f>
        <v>0</v>
      </c>
      <c r="O874" s="1530">
        <f t="shared" si="271"/>
        <v>8653</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1408</v>
      </c>
      <c r="L876" s="1530">
        <f>SUM(L874:L875)</f>
        <v>5025</v>
      </c>
      <c r="M876" s="1530">
        <f>SUM(M874:M875)</f>
        <v>2220</v>
      </c>
      <c r="N876" s="1530">
        <f>SUM(N874:N875)</f>
        <v>0</v>
      </c>
      <c r="O876" s="1530">
        <f t="shared" si="271"/>
        <v>8653</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4525</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11396.880000000001</v>
      </c>
      <c r="I879" s="1834">
        <f>'Part VI-Revenues &amp; Expenses'!I173</f>
        <v>0</v>
      </c>
      <c r="J879" s="1204"/>
      <c r="K879" s="1532" t="s">
        <v>4526</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4527</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4528</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4527</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4528</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4527</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4528</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4527</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4528</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55587</v>
      </c>
      <c r="G921" s="1530">
        <f>'Part VI-Revenues &amp; Expenses'!G215</f>
        <v>0</v>
      </c>
      <c r="I921" s="1314" t="s">
        <v>1378</v>
      </c>
      <c r="K921" s="1530">
        <f>'Part VI-Revenues &amp; Expenses'!K215</f>
        <v>0</v>
      </c>
      <c r="L921" s="1530">
        <f>'Part VI-Revenues &amp; Expenses'!L215</f>
        <v>0</v>
      </c>
      <c r="N921" s="1314" t="s">
        <v>929</v>
      </c>
      <c r="P921" s="1545">
        <f>'Part VI-Revenues &amp; Expenses'!P215</f>
        <v>57600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40020</v>
      </c>
      <c r="G922" s="1530">
        <f>'Part VI-Revenues &amp; Expenses'!G216</f>
        <v>0</v>
      </c>
      <c r="I922" s="1314" t="s">
        <v>1379</v>
      </c>
      <c r="K922" s="1530">
        <f>'Part VI-Revenues &amp; Expenses'!K216</f>
        <v>600</v>
      </c>
      <c r="L922" s="1530">
        <f>'Part VI-Revenues &amp; Expenses'!L216</f>
        <v>0</v>
      </c>
      <c r="N922" s="1314" t="s">
        <v>147</v>
      </c>
      <c r="P922" s="1545">
        <f>'Part VI-Revenues &amp; Expenses'!P216</f>
        <v>28700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600</v>
      </c>
      <c r="L923" s="1530"/>
      <c r="N923" s="1837" t="str">
        <f>'Part VI-Revenues &amp; Expenses'!N217</f>
        <v>Personal Property Taxes</v>
      </c>
      <c r="O923" s="1837">
        <f>'Part VI-Revenues &amp; Expenses'!O217</f>
        <v>0</v>
      </c>
      <c r="P923" s="1545">
        <f>'Part VI-Revenues &amp; Expenses'!P217</f>
        <v>500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Eneriched Property Services</v>
      </c>
      <c r="C924" s="457">
        <f>'Part VI-Revenues &amp; Expenses'!C218</f>
        <v>0</v>
      </c>
      <c r="D924" s="457">
        <f>'Part VI-Revenues &amp; Expenses'!D218</f>
        <v>0</v>
      </c>
      <c r="E924" s="457">
        <f>'Part VI-Revenues &amp; Expenses'!E218</f>
        <v>0</v>
      </c>
      <c r="F924" s="1530">
        <f>'Part VI-Revenues &amp; Expenses'!F218</f>
        <v>12000</v>
      </c>
      <c r="G924" s="1530">
        <f>'Part VI-Revenues &amp; Expenses'!G218</f>
        <v>0</v>
      </c>
      <c r="N924" s="1544" t="s">
        <v>191</v>
      </c>
      <c r="P924" s="1545">
        <f>SUM(P921:P923)</f>
        <v>86800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107607</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34560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2500</v>
      </c>
      <c r="G928" s="1530">
        <f>'Part VI-Revenues &amp; Expenses'!G222</f>
        <v>0</v>
      </c>
      <c r="I928" s="1314" t="s">
        <v>1602</v>
      </c>
      <c r="K928" s="1545">
        <f>'Part VI-Revenues &amp; Expenses'!K222</f>
        <v>1200</v>
      </c>
      <c r="L928" s="1545">
        <f>'Part VI-Revenues &amp; Expenses'!L222</f>
        <v>0</v>
      </c>
      <c r="N928" s="1548">
        <f>+P927/(O819*0.93)</f>
        <v>4129.0322580645152</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2000</v>
      </c>
      <c r="G929" s="1530">
        <f>'Part VI-Revenues &amp; Expenses'!G223</f>
        <v>0</v>
      </c>
      <c r="I929" s="1314" t="s">
        <v>2049</v>
      </c>
      <c r="K929" s="1545">
        <f>'Part VI-Revenues &amp; Expenses'!K223</f>
        <v>7000</v>
      </c>
      <c r="L929" s="1545">
        <f>'Part VI-Revenues &amp; Expenses'!L223</f>
        <v>0</v>
      </c>
      <c r="N929" s="1548">
        <f>+P927/(O819*0.93)/12</f>
        <v>344.08602150537627</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0</v>
      </c>
      <c r="G930" s="1530">
        <f>'Part VI-Revenues &amp; Expenses'!G224</f>
        <v>0</v>
      </c>
      <c r="I930" s="1314" t="s">
        <v>1603</v>
      </c>
      <c r="K930" s="1545">
        <f>'Part VI-Revenues &amp; Expenses'!K224</f>
        <v>2000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4500</v>
      </c>
      <c r="G932" s="1530">
        <f>'Part VI-Revenues &amp; Expenses'!G226</f>
        <v>0</v>
      </c>
      <c r="I932" s="1312"/>
      <c r="J932" s="1544" t="s">
        <v>191</v>
      </c>
      <c r="K932" s="1545">
        <f>SUM(K928:K931)</f>
        <v>10200</v>
      </c>
      <c r="L932" s="1545"/>
      <c r="M932" s="1551" t="str">
        <f>IF(P934="","",IF(P932&lt;P934, "WARNING! OE below required minimum.",""))</f>
        <v/>
      </c>
      <c r="N932" s="1312" t="s">
        <v>2186</v>
      </c>
      <c r="P932" s="1545">
        <f>F925+F934+F945+K923+K932+K942+P924+P927</f>
        <v>358517</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Miscellaneous Administrative Expenses</v>
      </c>
      <c r="C933" s="457">
        <f>'Part VI-Revenues &amp; Expenses'!C227</f>
        <v>0</v>
      </c>
      <c r="D933" s="457">
        <f>'Part VI-Revenues &amp; Expenses'!D227</f>
        <v>0</v>
      </c>
      <c r="E933" s="457">
        <f>'Part VI-Revenues &amp; Expenses'!E227</f>
        <v>0</v>
      </c>
      <c r="F933" s="1530">
        <f>'Part VI-Revenues &amp; Expenses'!F227</f>
        <v>7250</v>
      </c>
      <c r="G933" s="1530">
        <f>'Part VI-Revenues &amp; Expenses'!G227</f>
        <v>0</v>
      </c>
      <c r="J933" s="1516"/>
      <c r="M933" s="1551"/>
      <c r="N933" s="1549" t="s">
        <v>2758</v>
      </c>
      <c r="O933" s="1548">
        <f>+P932/O819</f>
        <v>39835.222222222219</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16250</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3480</v>
      </c>
      <c r="O936" s="1312"/>
      <c r="P936" s="1838">
        <f>'Part VI-Revenues &amp; Expenses'!P230</f>
        <v>18000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14850</v>
      </c>
      <c r="G937" s="1530">
        <f>'Part VI-Revenues &amp; Expenses'!G231</f>
        <v>0</v>
      </c>
      <c r="I937" s="1314" t="s">
        <v>1368</v>
      </c>
      <c r="J937" s="1419">
        <f>K937/12/O819</f>
        <v>111.11111111111111</v>
      </c>
      <c r="K937" s="1545">
        <f>'Part VI-Revenues &amp; Expenses'!K231</f>
        <v>12000</v>
      </c>
      <c r="L937" s="1545">
        <f>'Part VI-Revenues &amp; Expenses'!L231</f>
        <v>0</v>
      </c>
      <c r="M937" s="1551" t="str">
        <f>IF(P936&lt;P945, "WARNING! RR proposed is below the DCA required minimum.","")</f>
        <v/>
      </c>
      <c r="N937" s="457" t="s">
        <v>3735</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14850</v>
      </c>
      <c r="G938" s="1530">
        <f>'Part VI-Revenues &amp; Expenses'!G232</f>
        <v>0</v>
      </c>
      <c r="I938" s="1314" t="s">
        <v>1369</v>
      </c>
      <c r="J938" s="1419">
        <f>K938/12/O819</f>
        <v>0</v>
      </c>
      <c r="K938" s="1545">
        <f>'Part VI-Revenues &amp; Expenses'!K232</f>
        <v>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15000</v>
      </c>
      <c r="G939" s="1530">
        <f>'Part VI-Revenues &amp; Expenses'!G233</f>
        <v>0</v>
      </c>
      <c r="I939" s="1314" t="s">
        <v>2352</v>
      </c>
      <c r="J939" s="1419">
        <f>K939/12/O819</f>
        <v>300</v>
      </c>
      <c r="K939" s="1545">
        <f>'Part VI-Revenues &amp; Expenses'!K233</f>
        <v>32400</v>
      </c>
      <c r="L939" s="1545">
        <f>'Part VI-Revenues &amp; Expenses'!L233</f>
        <v>0</v>
      </c>
      <c r="M939" s="1551"/>
      <c r="N939" s="1554" t="s">
        <v>2714</v>
      </c>
      <c r="O939" s="1555" t="s">
        <v>3844</v>
      </c>
      <c r="P939" s="1555" t="s">
        <v>3437</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4000</v>
      </c>
      <c r="G940" s="1530">
        <f>'Part VI-Revenues &amp; Expenses'!G234</f>
        <v>0</v>
      </c>
      <c r="I940" s="1314" t="s">
        <v>1371</v>
      </c>
      <c r="K940" s="1545">
        <f>'Part VI-Revenues &amp; Expenses'!K234</f>
        <v>5000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1200</v>
      </c>
      <c r="G941" s="1530">
        <f>'Part VI-Revenues &amp; Expenses'!G235</f>
        <v>0</v>
      </c>
      <c r="I941" s="1837" t="str">
        <f>'Part VI-Revenues &amp; Expenses'!I235</f>
        <v>Cable TV &amp; Internet</v>
      </c>
      <c r="J941" s="1837">
        <f>'Part VI-Revenues &amp; Expenses'!J235</f>
        <v>0</v>
      </c>
      <c r="K941" s="1545">
        <f>'Part VI-Revenues &amp; Expenses'!K235</f>
        <v>1200</v>
      </c>
      <c r="L941" s="1545">
        <f>'Part VI-Revenues &amp; Expenses'!L235</f>
        <v>0</v>
      </c>
      <c r="M941" s="1551"/>
      <c r="N941" s="1335" t="s">
        <v>3429</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50600</v>
      </c>
      <c r="L942" s="1545"/>
      <c r="M942" s="1551"/>
      <c r="N942" s="1335" t="s">
        <v>3428</v>
      </c>
      <c r="O942" s="1557" t="str">
        <f>CONCATENATE(SUM(JH805:JL805)," units x $",'DCA Underwriting Assumptions'!$Q$65," =")</f>
        <v>72 units x $250 =</v>
      </c>
      <c r="P942" s="1557">
        <f>SUM(JH805:JL805)*'DCA Underwriting Assumptions'!$Q$65</f>
        <v>18000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2000</v>
      </c>
      <c r="G943" s="1530">
        <f>'Part VI-Revenues &amp; Expenses'!G237</f>
        <v>0</v>
      </c>
      <c r="J943" s="1516"/>
      <c r="M943" s="1551"/>
      <c r="N943" s="1424" t="s">
        <v>3432</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3427</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51900</v>
      </c>
      <c r="G945" s="1530"/>
      <c r="J945" s="1516"/>
      <c r="N945" s="1511" t="s">
        <v>2717</v>
      </c>
      <c r="O945" s="1506">
        <f>SUM(JC805:JG805)+SUM(JH805:JL805)+SUM(JM805:JQ805)+O841</f>
        <v>72</v>
      </c>
      <c r="P945" s="1558">
        <f>SUM(P941:P944)</f>
        <v>18000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376517</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4100</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The project will be a combination of two/three story walk-up designed buildings.
Please see Tab 1 in the application for documentation of real estate taxes and insurance calculations.
Please see Tab 30 for the Enriched Property Services documentation. The Enriched Property Services line item above represents the costs associated for the Preventive Health services provided by MercyMed. The combination of the full-time management staff and MercyMed will fulfill the required functions of the Health Services Coordinator.</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4099</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2019-042 Brennan Place,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4529</v>
      </c>
    </row>
    <row r="961" spans="1:19" ht="12.75" customHeight="1">
      <c r="A961" s="638" t="s">
        <v>2188</v>
      </c>
      <c r="B961" s="1559">
        <v>0.02</v>
      </c>
      <c r="D961" s="1521" t="s">
        <v>4530</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Yes</v>
      </c>
      <c r="H964" s="1563" t="s">
        <v>1444</v>
      </c>
      <c r="K964" s="1841">
        <f>'Part VII-Pro Forma'!K8</f>
        <v>34560</v>
      </c>
    </row>
    <row r="965" spans="1:19">
      <c r="A965" s="638" t="s">
        <v>1418</v>
      </c>
      <c r="B965" s="1559">
        <v>0.02</v>
      </c>
      <c r="D965" s="1314" t="s">
        <v>1718</v>
      </c>
      <c r="G965" s="1840">
        <f>'Part VII-Pro Forma'!G9</f>
        <v>0</v>
      </c>
      <c r="H965" s="1563" t="s">
        <v>2356</v>
      </c>
      <c r="K965" s="1842">
        <f>'Part VII-Pro Forma'!K9</f>
        <v>0</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569844</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3" t="s">
        <v>4181</v>
      </c>
    </row>
    <row r="971" spans="1:19">
      <c r="A971" s="638" t="s">
        <v>1016</v>
      </c>
      <c r="B971" s="1564">
        <f>MIN(B970*B965,'Part VI-Revenues &amp; Expenses'!$H$173)</f>
        <v>11396.880000000001</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3"/>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3" t="s">
        <v>3877</v>
      </c>
      <c r="R972" s="4203" t="s">
        <v>4180</v>
      </c>
      <c r="S972" s="4203"/>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3"/>
      <c r="R973" s="4203"/>
      <c r="S973" s="4203"/>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-323957</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39273</v>
      </c>
      <c r="S975" s="454">
        <f>B986+R975</f>
        <v>114520.27808622774</v>
      </c>
    </row>
    <row r="976" spans="1:19">
      <c r="A976" s="638" t="s">
        <v>1115</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77655</v>
      </c>
      <c r="S976" s="454">
        <f>SUM(B986:C986)+R976</f>
        <v>-10243.323827544518</v>
      </c>
    </row>
    <row r="977" spans="1:19">
      <c r="A977" s="638" t="s">
        <v>1202</v>
      </c>
      <c r="B977" s="1564">
        <f>-('Part VI-Revenues &amp; Expenses'!$P$230)</f>
        <v>-18000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77655</v>
      </c>
      <c r="S977" s="454">
        <f>SUM(B986:D986)+R977</f>
        <v>-135006.92574131678</v>
      </c>
    </row>
    <row r="978" spans="1:19">
      <c r="A978" s="638" t="s">
        <v>1203</v>
      </c>
      <c r="B978" s="1564">
        <f t="shared" ref="B978:K978" si="284">SUM(B970:B977)</f>
        <v>239283.88</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77655</v>
      </c>
      <c r="S978" s="454">
        <f>SUM(B986:E986)+R978</f>
        <v>-259770.52765508904</v>
      </c>
    </row>
    <row r="979" spans="1:19">
      <c r="A979" s="638" t="s">
        <v>1591</v>
      </c>
      <c r="B979" s="1564">
        <f>'Part VII-Pro Forma'!B25</f>
        <v>-119763.60191377226</v>
      </c>
      <c r="C979" s="1564">
        <f>'Part VII-Pro Forma'!C25</f>
        <v>-119763.60191377226</v>
      </c>
      <c r="D979" s="1564">
        <f>'Part VII-Pro Forma'!D25</f>
        <v>-119763.60191377226</v>
      </c>
      <c r="E979" s="1564">
        <f>'Part VII-Pro Forma'!E25</f>
        <v>-119763.60191377226</v>
      </c>
      <c r="F979" s="1564">
        <f>'Part VII-Pro Forma'!F25</f>
        <v>-119763.60191377226</v>
      </c>
      <c r="G979" s="1564">
        <f>'Part VII-Pro Forma'!G25</f>
        <v>-119763.60191377226</v>
      </c>
      <c r="H979" s="1564">
        <f>'Part VII-Pro Forma'!H25</f>
        <v>-119763.60191377226</v>
      </c>
      <c r="I979" s="1564">
        <f>'Part VII-Pro Forma'!I25</f>
        <v>-119763.60191377226</v>
      </c>
      <c r="J979" s="1564">
        <f>'Part VII-Pro Forma'!J25</f>
        <v>-119763.60191377226</v>
      </c>
      <c r="K979" s="1564">
        <f>'Part VII-Pro Forma'!K25</f>
        <v>-119763.60191377226</v>
      </c>
      <c r="Q979" s="453">
        <v>5</v>
      </c>
      <c r="R979" s="454">
        <f>-SUM(B985:F985)</f>
        <v>77655</v>
      </c>
      <c r="S979" s="454">
        <f>SUM(B986:F986)+R979</f>
        <v>-384534.12956886133</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77655</v>
      </c>
      <c r="S980" s="454">
        <f>SUM(B986:G986)+R980</f>
        <v>-509297.73148263362</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77655</v>
      </c>
      <c r="S981" s="454">
        <f>SUM(B986:H986)+R981</f>
        <v>-634061.33339640591</v>
      </c>
    </row>
    <row r="982" spans="1:19">
      <c r="A982" s="638" t="s">
        <v>3847</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77655</v>
      </c>
      <c r="S982" s="454">
        <f>SUM(B986:I986)+R982</f>
        <v>-758824.9353101782</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77655</v>
      </c>
      <c r="S983" s="454">
        <f>SUM(B986:J986)+R983</f>
        <v>-883588.53722395049</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77655</v>
      </c>
      <c r="S984" s="454">
        <f>SUM(B986:K986)+R984</f>
        <v>-1008352.1391377228</v>
      </c>
    </row>
    <row r="985" spans="1:19">
      <c r="A985" s="638" t="s">
        <v>4078</v>
      </c>
      <c r="B985" s="1564">
        <f>'Part VII-Pro Forma'!B31</f>
        <v>-39273</v>
      </c>
      <c r="C985" s="1564">
        <f>'Part VII-Pro Forma'!C31</f>
        <v>-38382</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77655</v>
      </c>
      <c r="S985" s="454">
        <f>SUM(B986:K986)+B1016+R985</f>
        <v>-1133115.7410514951</v>
      </c>
    </row>
    <row r="986" spans="1:19">
      <c r="A986" s="638" t="s">
        <v>1164</v>
      </c>
      <c r="B986" s="1564">
        <f>SUM(B978:B985)</f>
        <v>75247.278086227743</v>
      </c>
      <c r="C986" s="1564">
        <f t="shared" ref="C986:K986" si="285">SUM(C978:C985)</f>
        <v>-163145.60191377226</v>
      </c>
      <c r="D986" s="1564">
        <f t="shared" si="285"/>
        <v>-124763.60191377226</v>
      </c>
      <c r="E986" s="1564">
        <f t="shared" si="285"/>
        <v>-124763.60191377226</v>
      </c>
      <c r="F986" s="1564">
        <f t="shared" si="285"/>
        <v>-124763.60191377226</v>
      </c>
      <c r="G986" s="1564">
        <f t="shared" si="285"/>
        <v>-124763.60191377226</v>
      </c>
      <c r="H986" s="1564">
        <f t="shared" si="285"/>
        <v>-124763.60191377226</v>
      </c>
      <c r="I986" s="1564">
        <f t="shared" si="285"/>
        <v>-124763.60191377226</v>
      </c>
      <c r="J986" s="1564">
        <f t="shared" si="285"/>
        <v>-124763.60191377226</v>
      </c>
      <c r="K986" s="1564">
        <f t="shared" si="285"/>
        <v>-124763.60191377226</v>
      </c>
      <c r="Q986" s="453">
        <v>12</v>
      </c>
      <c r="R986" s="454">
        <f>-SUM(B985:K985) - SUM(B1015:C1015)</f>
        <v>77655</v>
      </c>
      <c r="S986" s="454">
        <f>SUM(B986:K986) + SUM(B60:C60)+R986</f>
        <v>-1008352.1391377228</v>
      </c>
    </row>
    <row r="987" spans="1:19">
      <c r="A987" s="638" t="str">
        <f>IF('Part III-Sources of Funds'!$E$38 = "Neither", "", "DCR Mortgage A")</f>
        <v>DCR Mortgage A</v>
      </c>
      <c r="B987" s="1565">
        <f t="shared" ref="B987:K987" si="286">IF(B979=0,"",-B978/B979)</f>
        <v>1.9979682990185974</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77655</v>
      </c>
      <c r="S987" s="454">
        <f>SUM(B986:K986) + SUM(B1016:D1016)+R987</f>
        <v>-1382642.9448790397</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77655</v>
      </c>
      <c r="S988" s="454">
        <f>SUM(B986:K986) + SUM(B1016:E1016)+R988</f>
        <v>-1507406.5467928117</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77655</v>
      </c>
      <c r="S989" s="454">
        <f>SUM(B986:K986) + SUM(B1016:F1016)+R989</f>
        <v>-1632170.1487065842</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77655</v>
      </c>
      <c r="S990" s="454">
        <f>SUM(B986:K986) + SUM(B1016:G1016)+R990</f>
        <v>-1756933.7506203563</v>
      </c>
    </row>
    <row r="991" spans="1:19">
      <c r="A991" s="638" t="s">
        <v>3710</v>
      </c>
      <c r="B991" s="1565">
        <f t="shared" ref="B991:K991" si="290">IF(AND(B979=0,B980=0,B981=0,B982=0),"",-B978/(B979+B980+B981+B982))</f>
        <v>1.9979682990185974</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77655</v>
      </c>
      <c r="S991" s="454">
        <f>SUM(B986:K986) + SUM(B1016:H1016)+R991</f>
        <v>-1881697.3525341288</v>
      </c>
    </row>
    <row r="992" spans="1:19">
      <c r="A992" s="638" t="s">
        <v>770</v>
      </c>
      <c r="B992" s="1566">
        <f t="shared" ref="B992:K992" si="291">IF(OR(B976="Choose mgt fee",B976="Choose One!"),"",(B970+B971+B972+B973+B974) / -(B975+B976+B977))</f>
        <v>1.6997484479042686</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77655</v>
      </c>
      <c r="S992" s="454">
        <f>SUM(B986:K986) + SUM(B1016:I1016)+R992</f>
        <v>-2006460.9544479009</v>
      </c>
    </row>
    <row r="993" spans="1:19">
      <c r="A993" s="638" t="s">
        <v>2617</v>
      </c>
      <c r="B993" s="1564">
        <f>'Part VII-Pro Forma'!B39</f>
        <v>1686092.4896486134</v>
      </c>
      <c r="C993" s="1564">
        <f>'Part VII-Pro Forma'!C39</f>
        <v>1671290.4229947689</v>
      </c>
      <c r="D993" s="1564">
        <f>'Part VII-Pro Forma'!D39</f>
        <v>1655536.2605538252</v>
      </c>
      <c r="E993" s="1564">
        <f>'Part VII-Pro Forma'!E39</f>
        <v>1638768.7617970766</v>
      </c>
      <c r="F993" s="1564">
        <f>'Part VII-Pro Forma'!F39</f>
        <v>1620922.7470938843</v>
      </c>
      <c r="G993" s="1564">
        <f>'Part VII-Pro Forma'!G39</f>
        <v>1601928.8443414911</v>
      </c>
      <c r="H993" s="1564">
        <f>'Part VII-Pro Forma'!H39</f>
        <v>1581713.2192976074</v>
      </c>
      <c r="I993" s="1564">
        <f>'Part VII-Pro Forma'!I39</f>
        <v>1560197.2885674995</v>
      </c>
      <c r="J993" s="1564">
        <f>'Part VII-Pro Forma'!J39</f>
        <v>1537297.4141298865</v>
      </c>
      <c r="K993" s="1564">
        <f>'Part VII-Pro Forma'!K39</f>
        <v>1512924.5782141888</v>
      </c>
      <c r="Q993" s="453">
        <v>19</v>
      </c>
      <c r="R993" s="454">
        <f>-SUM(B985:K985) - SUM(B1015:J1015)</f>
        <v>77655</v>
      </c>
      <c r="S993" s="454">
        <f>SUM(B986:K986) + SUM(B1016:J1016)+R993</f>
        <v>-2131224.5563616734</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77655</v>
      </c>
      <c r="S994" s="454">
        <f>SUM(B986:K986) + SUM(B1016:K1016)+R994</f>
        <v>-2255988.1582754455</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4079</v>
      </c>
      <c r="B997" s="1564">
        <f>'Part VII-Pro Forma'!B43</f>
        <v>38382</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-119763.60191377226</v>
      </c>
      <c r="C1009" s="1564">
        <f>'Part VII-Pro Forma'!C57</f>
        <v>-119763.60191377226</v>
      </c>
      <c r="D1009" s="1564">
        <f>'Part VII-Pro Forma'!D57</f>
        <v>-119763.60191377226</v>
      </c>
      <c r="E1009" s="1564">
        <f>'Part VII-Pro Forma'!E57</f>
        <v>-119763.60191377226</v>
      </c>
      <c r="F1009" s="1564">
        <f>'Part VII-Pro Forma'!F57</f>
        <v>-119763.60191377226</v>
      </c>
      <c r="G1009" s="1564">
        <f>'Part VII-Pro Forma'!G57</f>
        <v>-119763.60191377226</v>
      </c>
      <c r="H1009" s="1564">
        <f>'Part VII-Pro Forma'!H57</f>
        <v>-119763.60191377226</v>
      </c>
      <c r="I1009" s="1564">
        <f>'Part VII-Pro Forma'!I57</f>
        <v>-119763.60191377226</v>
      </c>
      <c r="J1009" s="1564">
        <f>'Part VII-Pro Forma'!J57</f>
        <v>-119763.60191377226</v>
      </c>
      <c r="K1009" s="1564">
        <f>'Part VII-Pro Forma'!K57</f>
        <v>-119763.60191377226</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4078</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-124763.60191377226</v>
      </c>
      <c r="C1016" s="1564">
        <f t="shared" ref="C1016:K1016" si="299">SUM(C1008:C1015)</f>
        <v>-124763.60191377226</v>
      </c>
      <c r="D1016" s="1564">
        <f t="shared" si="299"/>
        <v>-124763.60191377226</v>
      </c>
      <c r="E1016" s="1564">
        <f t="shared" si="299"/>
        <v>-124763.60191377226</v>
      </c>
      <c r="F1016" s="1564">
        <f t="shared" si="299"/>
        <v>-124763.60191377226</v>
      </c>
      <c r="G1016" s="1564">
        <f t="shared" si="299"/>
        <v>-124763.60191377226</v>
      </c>
      <c r="H1016" s="1564">
        <f t="shared" si="299"/>
        <v>-124763.60191377226</v>
      </c>
      <c r="I1016" s="1564">
        <f t="shared" si="299"/>
        <v>-124763.60191377226</v>
      </c>
      <c r="J1016" s="1564">
        <f t="shared" si="299"/>
        <v>-124763.60191377226</v>
      </c>
      <c r="K1016" s="1564">
        <f t="shared" si="299"/>
        <v>-124763.60191377226</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1486984.0372652905</v>
      </c>
      <c r="C1023" s="1564">
        <f>'Part VII-Pro Forma'!C71</f>
        <v>1459374.953650689</v>
      </c>
      <c r="D1023" s="1564">
        <f>'Part VII-Pro Forma'!D71</f>
        <v>1429990.0036783777</v>
      </c>
      <c r="E1023" s="1564">
        <f>'Part VII-Pro Forma'!E71</f>
        <v>1398714.9604017306</v>
      </c>
      <c r="F1023" s="1564">
        <f>'Part VII-Pro Forma'!F71</f>
        <v>1365428.2495896374</v>
      </c>
      <c r="G1023" s="1564">
        <f>'Part VII-Pro Forma'!G71</f>
        <v>1330000.4771358336</v>
      </c>
      <c r="H1023" s="1564">
        <f>'Part VII-Pro Forma'!H71</f>
        <v>1292293.9260703404</v>
      </c>
      <c r="I1023" s="1564">
        <f>'Part VII-Pro Forma'!I71</f>
        <v>1252162.0212177678</v>
      </c>
      <c r="J1023" s="1564">
        <f>'Part VII-Pro Forma'!J71</f>
        <v>1209448.7594214682</v>
      </c>
      <c r="K1023" s="1564">
        <f>'Part VII-Pro Forma'!K71</f>
        <v>1163988.1031186746</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4079</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-119763.60191377226</v>
      </c>
      <c r="C1039" s="1564">
        <f>'Part VII-Pro Forma'!C89</f>
        <v>-119763.60191377226</v>
      </c>
      <c r="D1039" s="1564">
        <f>'Part VII-Pro Forma'!D89</f>
        <v>-119763.60191377226</v>
      </c>
      <c r="E1039" s="1564">
        <f>'Part VII-Pro Forma'!E89</f>
        <v>-119763.60191377226</v>
      </c>
      <c r="F1039" s="1564">
        <f>'Part VII-Pro Forma'!F89</f>
        <v>-119763.60191377226</v>
      </c>
      <c r="G1039" s="1564">
        <f>'Part VII-Pro Forma'!G89</f>
        <v>-119763.60191377226</v>
      </c>
      <c r="H1039" s="1564">
        <f>'Part VII-Pro Forma'!H89</f>
        <v>-119763.60191377226</v>
      </c>
      <c r="I1039" s="1564">
        <f>'Part VII-Pro Forma'!I89</f>
        <v>-119763.60191377226</v>
      </c>
      <c r="J1039" s="1564">
        <f>'Part VII-Pro Forma'!J89</f>
        <v>-119763.60191377226</v>
      </c>
      <c r="K1039" s="1564">
        <f>'Part VII-Pro Forma'!K89</f>
        <v>-119763.60191377226</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-124763.60191377226</v>
      </c>
      <c r="C1045" s="1564">
        <f t="shared" si="313"/>
        <v>-124763.60191377226</v>
      </c>
      <c r="D1045" s="1564">
        <f t="shared" si="313"/>
        <v>-124763.60191377226</v>
      </c>
      <c r="E1045" s="1564">
        <f t="shared" si="313"/>
        <v>-124763.60191377226</v>
      </c>
      <c r="F1045" s="1564">
        <f t="shared" si="313"/>
        <v>-124763.60191377226</v>
      </c>
      <c r="G1045" s="1564">
        <f t="shared" si="313"/>
        <v>-124763.60191377226</v>
      </c>
      <c r="H1045" s="1564">
        <f t="shared" si="313"/>
        <v>-124763.60191377226</v>
      </c>
      <c r="I1045" s="1564">
        <f t="shared" si="313"/>
        <v>-124763.60191377226</v>
      </c>
      <c r="J1045" s="1564">
        <f t="shared" si="313"/>
        <v>-124763.60191377226</v>
      </c>
      <c r="K1045" s="1564">
        <f t="shared" si="313"/>
        <v>-124763.60191377226</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1115603.3349092898</v>
      </c>
      <c r="C1052" s="1564">
        <f>'Part VII-Pro Forma'!C102</f>
        <v>1064106.3706093698</v>
      </c>
      <c r="D1052" s="1564">
        <f>'Part VII-Pro Forma'!D102</f>
        <v>1009297.0281189606</v>
      </c>
      <c r="E1052" s="1564">
        <f>'Part VII-Pro Forma'!E102</f>
        <v>950962.2492621874</v>
      </c>
      <c r="F1052" s="1564">
        <f>'Part VII-Pro Forma'!F102</f>
        <v>888875.27157468651</v>
      </c>
      <c r="G1052" s="1564">
        <f>'Part VII-Pro Forma'!G102</f>
        <v>822794.74681890151</v>
      </c>
      <c r="H1052" s="1564">
        <f>'Part VII-Pro Forma'!H102</f>
        <v>752463.8028006847</v>
      </c>
      <c r="I1052" s="1564">
        <f>'Part VII-Pro Forma'!I102</f>
        <v>677609.04484023876</v>
      </c>
      <c r="J1052" s="1564">
        <f>'Part VII-Pro Forma'!J102</f>
        <v>597939.49301585788</v>
      </c>
      <c r="K1052" s="1564">
        <f>'Part VII-Pro Forma'!K102</f>
        <v>513145.45104925818</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-119763.60191377226</v>
      </c>
      <c r="C1067" s="1564">
        <f>'Part VII-Pro Forma'!C119</f>
        <v>-119763.60191377226</v>
      </c>
      <c r="D1067" s="1564">
        <f>'Part VII-Pro Forma'!D119</f>
        <v>-119763.60191377226</v>
      </c>
      <c r="E1067" s="1564">
        <f>'Part VII-Pro Forma'!E119</f>
        <v>-119763.60191377226</v>
      </c>
      <c r="F1067" s="1564">
        <f>'Part VII-Pro Forma'!F119</f>
        <v>-119763.60191377226</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-124763.60191377226</v>
      </c>
      <c r="C1073" s="1564">
        <f>SUM(C1066:C1072)</f>
        <v>-124763.60191377226</v>
      </c>
      <c r="D1073" s="1564">
        <f>SUM(D1066:D1072)</f>
        <v>-124763.60191377226</v>
      </c>
      <c r="E1073" s="1564">
        <f>SUM(E1066:E1072)</f>
        <v>-124763.60191377226</v>
      </c>
      <c r="F1073" s="1564">
        <f>SUM(F1066:F1072)</f>
        <v>-124763.60191377226</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422897.30243555986</v>
      </c>
      <c r="C1080" s="1564">
        <f>'Part VII-Pro Forma'!C132</f>
        <v>326844.22913816496</v>
      </c>
      <c r="D1080" s="1564">
        <f>'Part VII-Pro Forma'!D132</f>
        <v>224612.847867765</v>
      </c>
      <c r="E1080" s="1564">
        <f>'Part VII-Pro Forma'!E132</f>
        <v>115805.75864433937</v>
      </c>
      <c r="F1080" s="1564">
        <f>'Part VII-Pro Forma'!F132</f>
        <v>2.805609256029129E-8</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2019-042 Brennan Place,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4531</v>
      </c>
      <c r="K1100" s="1570"/>
      <c r="L1100" s="1570"/>
      <c r="M1100" s="1570"/>
      <c r="N1100" s="1570"/>
      <c r="O1100" s="1570"/>
      <c r="P1100" s="1571">
        <f>'Part VIII-Threshold Criteria'!P6</f>
        <v>0</v>
      </c>
      <c r="Q1100" s="1571">
        <f>'Part VIII-Threshold Criteria'!Q6</f>
        <v>0</v>
      </c>
    </row>
    <row r="1101" spans="1:17">
      <c r="A1101" s="1572" t="s">
        <v>3450</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3749</v>
      </c>
      <c r="C1125" s="1549"/>
      <c r="D1125" s="1549"/>
      <c r="E1125" s="1549"/>
      <c r="F1125" s="1549"/>
      <c r="G1125" s="1578"/>
      <c r="H1125" s="1578"/>
      <c r="I1125" s="1578"/>
      <c r="J1125" s="1578"/>
      <c r="K1125" s="1495"/>
      <c r="L1125" s="1495"/>
      <c r="M1125" s="1495"/>
      <c r="N1125" s="1495"/>
      <c r="O1125" s="1495"/>
      <c r="P1125" s="1495"/>
    </row>
    <row r="1126" spans="1:17" ht="316.2">
      <c r="A1126" s="1583" t="str">
        <f>'Part VIII-Threshold Criteria'!A32</f>
        <v>Applicant believes that the proposed project is feasible, viable and in conformance with the plan. The overall development and construction costs are considered reasonable and were evaluated by an experienced General Contractor and Engineer.
Residential Square Footage: 1BR / 1BA - 715, 2BR / 2BA - 1,013 and 3BR / 2BA - 1,105</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4532</v>
      </c>
      <c r="B1131" s="1585"/>
      <c r="C1131" s="1585"/>
      <c r="D1131" s="1585"/>
      <c r="E1131" s="1585"/>
      <c r="F1131" s="1585"/>
      <c r="G1131" s="1424" t="s">
        <v>2715</v>
      </c>
      <c r="H1131" s="1424"/>
      <c r="I1131" s="1577"/>
      <c r="J1131" s="1314"/>
      <c r="K1131" s="1577" t="s">
        <v>3632</v>
      </c>
      <c r="L1131" s="1577"/>
      <c r="M1131" s="1577"/>
      <c r="N1131" s="1577"/>
    </row>
    <row r="1132" spans="1:17">
      <c r="A1132" s="1585"/>
      <c r="B1132" s="1585"/>
      <c r="C1132" s="1585"/>
      <c r="D1132" s="1585"/>
      <c r="E1132" s="1585"/>
      <c r="F1132" s="1585"/>
      <c r="G1132" s="1424" t="s">
        <v>346</v>
      </c>
      <c r="H1132" s="1424"/>
      <c r="I1132" s="1577"/>
      <c r="J1132" s="1314"/>
      <c r="K1132" s="457" t="s">
        <v>3633</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3452</v>
      </c>
      <c r="G1134" s="1587" t="s">
        <v>3451</v>
      </c>
      <c r="H1134" s="1587"/>
      <c r="I1134" s="1587"/>
      <c r="K1134" s="1587" t="s">
        <v>3452</v>
      </c>
      <c r="L1134" s="1587" t="s">
        <v>3451</v>
      </c>
      <c r="M1134" s="1587"/>
      <c r="N1134" s="1587"/>
    </row>
    <row r="1135" spans="1:17" ht="12.75" customHeight="1">
      <c r="A1135" s="1588" t="s">
        <v>3357</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3885</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Columbus</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14176065</v>
      </c>
      <c r="Q1139" s="1594">
        <f>'Part VIII-Threshold Criteria'!Q45</f>
        <v>0</v>
      </c>
    </row>
    <row r="1140" spans="1:17" ht="12.75" customHeight="1">
      <c r="C1140" s="1314"/>
      <c r="D1140" s="1595" t="s">
        <v>3367</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3352</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4082</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3367</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3245</v>
      </c>
      <c r="Q1147" s="1504" t="s">
        <v>256</v>
      </c>
    </row>
    <row r="1148" spans="1:17">
      <c r="C1148" s="1314"/>
      <c r="D1148" s="1602"/>
      <c r="E1148" s="1602"/>
      <c r="F1148" s="1603"/>
      <c r="G1148" s="1604"/>
      <c r="I1148" s="1603"/>
      <c r="K1148" s="1603"/>
      <c r="M1148" s="1582"/>
      <c r="N1148" s="1603"/>
      <c r="O1148" s="1606"/>
    </row>
    <row r="1149" spans="1:17">
      <c r="A1149" s="1424" t="s">
        <v>3353</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12</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12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2441</v>
      </c>
      <c r="E1151" s="1578">
        <v>2</v>
      </c>
      <c r="F1151" s="1590">
        <f>'Part VI-Revenues &amp; Expenses'!$L$139</f>
        <v>36</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36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3245</v>
      </c>
      <c r="Q1151" s="1504" t="s">
        <v>256</v>
      </c>
    </row>
    <row r="1152" spans="1:17">
      <c r="C1152" s="1314"/>
      <c r="D1152" s="1589" t="s">
        <v>2442</v>
      </c>
      <c r="E1152" s="1578">
        <v>3</v>
      </c>
      <c r="F1152" s="1590">
        <f>'Part VI-Revenues &amp; Expenses'!$M$139</f>
        <v>24</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24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3367</v>
      </c>
      <c r="E1154" s="1596"/>
      <c r="F1154" s="1597">
        <f>SUM(F1149:F1153)</f>
        <v>72</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3354</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14215668</v>
      </c>
      <c r="Q1157" s="1609">
        <f>'Part VIII-Threshold Criteria'!Q63</f>
        <v>0</v>
      </c>
    </row>
    <row r="1158" spans="1:17" ht="12.75" customHeight="1">
      <c r="C1158" s="1314"/>
      <c r="D1158" s="1589" t="s">
        <v>2441</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4533</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3367</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3368</v>
      </c>
      <c r="B1163" s="1314"/>
      <c r="C1163" s="1314"/>
      <c r="D1163" s="1314"/>
      <c r="E1163" s="1317"/>
      <c r="F1163" s="1613">
        <f>F1140+F1147+F1154+F1161</f>
        <v>72</v>
      </c>
      <c r="G1163" s="1381"/>
      <c r="H1163" s="1614">
        <f>'Part VIII-Threshold Criteria'!H69</f>
        <v>14215668</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3749</v>
      </c>
      <c r="D1164" s="1525"/>
      <c r="E1164" s="1525"/>
      <c r="F1164" s="1525"/>
      <c r="G1164" s="1525"/>
      <c r="H1164" s="1524"/>
      <c r="I1164" s="1578"/>
      <c r="J1164" s="1578"/>
      <c r="K1164" s="1580" t="s">
        <v>1866</v>
      </c>
      <c r="L1164" s="1495"/>
      <c r="M1164" s="1495"/>
      <c r="N1164" s="1495"/>
      <c r="O1164" s="1495"/>
      <c r="P1164" s="1495"/>
      <c r="Q1164" s="1495"/>
    </row>
    <row r="1165" spans="1:17" ht="91.8">
      <c r="A1165" s="1583" t="str">
        <f>'Part VIII-Threshold Criteria'!A71</f>
        <v>The project's total development cost is below the cost limits for the Columbus Cost Limit Area.</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3749</v>
      </c>
      <c r="D1168" s="1525"/>
      <c r="E1168" s="1525"/>
      <c r="F1168" s="1525"/>
      <c r="G1168" s="1525"/>
      <c r="H1168" s="1524"/>
      <c r="I1168" s="1578"/>
      <c r="J1168" s="1578"/>
      <c r="K1168" s="1580" t="s">
        <v>1866</v>
      </c>
      <c r="L1168" s="1495"/>
      <c r="M1168" s="1495"/>
      <c r="N1168" s="1495"/>
      <c r="O1168" s="1495"/>
      <c r="P1168" s="1495"/>
      <c r="Q1168" s="1495"/>
    </row>
    <row r="1169" spans="1:17" ht="71.400000000000006">
      <c r="A1169" s="1583" t="str">
        <f>'Part VIII-Threshold Criteria'!A75</f>
        <v>The Applicant is targeting a family tenancy for the proposed project.</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1985</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3896</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3887</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3749</v>
      </c>
      <c r="D1181" s="1525"/>
      <c r="E1181" s="1525"/>
      <c r="F1181" s="1525"/>
      <c r="G1181" s="1525"/>
      <c r="H1181" s="1524"/>
      <c r="I1181" s="1578"/>
      <c r="J1181" s="1578"/>
      <c r="K1181" s="1580" t="s">
        <v>1866</v>
      </c>
      <c r="L1181" s="1495"/>
      <c r="M1181" s="1495"/>
      <c r="N1181" s="1495"/>
      <c r="O1181" s="1495"/>
      <c r="P1181" s="1495"/>
      <c r="Q1181" s="1495"/>
    </row>
    <row r="1182" spans="1:17" ht="112.2">
      <c r="A1182" s="1583" t="str">
        <f>'Part VIII-Threshold Criteria'!A90</f>
        <v>Applicant certifies that they will include the number and kinds of services required in the QAP for the proposed tenancy.</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Novogradac &amp; Company, LLP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15 units per month (4-5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2878</v>
      </c>
      <c r="D1188" s="1550"/>
      <c r="E1188" s="1550"/>
      <c r="F1188" s="1550"/>
      <c r="L1188" s="1620" t="s">
        <v>749</v>
      </c>
      <c r="M1188" s="1622">
        <f>'Part VIII-Threshold Criteria'!M96</f>
        <v>0.96</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3889</v>
      </c>
      <c r="D1189" s="1550"/>
      <c r="E1189" s="1550"/>
      <c r="F1189" s="1550"/>
      <c r="L1189" s="1620" t="s">
        <v>3890</v>
      </c>
      <c r="M1189" s="1844">
        <f>'Part VIII-Threshold Criteria'!M97</f>
        <v>0.02</v>
      </c>
      <c r="N1189" s="1622"/>
      <c r="O1189" s="1623" t="s">
        <v>4121</v>
      </c>
      <c r="P1189" s="1691">
        <f>'Part VIII-Threshold Criteria'!P97</f>
        <v>2E-3</v>
      </c>
      <c r="Q1189" s="1621">
        <f>'Part VIII-Threshold Criteria'!Q97</f>
        <v>0</v>
      </c>
    </row>
    <row r="1190" spans="1:17">
      <c r="A1190" s="1616" t="s">
        <v>1735</v>
      </c>
      <c r="B1190" s="1604" t="s">
        <v>3888</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2018-050</v>
      </c>
      <c r="E1192" s="1577" t="str">
        <f>'Part VIII-Threshold Criteria'!E100</f>
        <v>Highlands at Kayne Blvd</v>
      </c>
      <c r="F1192" s="1577">
        <f>'Part VIII-Threshold Criteria'!F100</f>
        <v>0</v>
      </c>
      <c r="G1192" s="1577">
        <f>'Part VIII-Threshold Criteria'!G100</f>
        <v>0</v>
      </c>
      <c r="H1192" s="1620" t="s">
        <v>1739</v>
      </c>
      <c r="I1192" s="1621" t="str">
        <f>'Part VIII-Threshold Criteria'!I100</f>
        <v>2017-004</v>
      </c>
      <c r="J1192" s="1577" t="str">
        <f>'Part VIII-Threshold Criteria'!J100</f>
        <v>Claflin School</v>
      </c>
      <c r="K1192" s="1577">
        <f>'Part VIII-Threshold Criteria'!K100</f>
        <v>0</v>
      </c>
      <c r="L1192" s="1577">
        <f>'Part VIII-Threshold Criteria'!L100</f>
        <v>0</v>
      </c>
      <c r="M1192" s="1620" t="s">
        <v>1549</v>
      </c>
      <c r="N1192" s="1621" t="str">
        <f>'Part VIII-Threshold Criteria'!N100</f>
        <v>2004-046</v>
      </c>
      <c r="O1192" s="1577" t="str">
        <f>'Part VIII-Threshold Criteria'!O100</f>
        <v>Peabody Redvelopment Partnership</v>
      </c>
      <c r="P1192" s="1577">
        <f>'Part VIII-Threshold Criteria'!P100</f>
        <v>0</v>
      </c>
      <c r="Q1192" s="1577">
        <f>'Part VIII-Threshold Criteria'!Q100</f>
        <v>0</v>
      </c>
    </row>
    <row r="1193" spans="1:17">
      <c r="C1193" s="1620" t="s">
        <v>1738</v>
      </c>
      <c r="D1193" s="1621" t="str">
        <f>'Part VIII-Threshold Criteria'!D101</f>
        <v>2017-049</v>
      </c>
      <c r="E1193" s="1577" t="str">
        <f>'Part VIII-Threshold Criteria'!E101</f>
        <v>Highland Terrace</v>
      </c>
      <c r="F1193" s="1577">
        <f>'Part VIII-Threshold Criteria'!F101</f>
        <v>0</v>
      </c>
      <c r="G1193" s="1577">
        <f>'Part VIII-Threshold Criteria'!G101</f>
        <v>0</v>
      </c>
      <c r="H1193" s="1620" t="s">
        <v>2365</v>
      </c>
      <c r="I1193" s="1621" t="str">
        <f>'Part VIII-Threshold Criteria'!I101</f>
        <v>2013-039</v>
      </c>
      <c r="J1193" s="1577" t="str">
        <f>'Part VIII-Threshold Criteria'!J101</f>
        <v>Waverly Terrace Senior</v>
      </c>
      <c r="K1193" s="1577">
        <f>'Part VIII-Threshold Criteria'!K101</f>
        <v>0</v>
      </c>
      <c r="L1193" s="1577">
        <f>'Part VIII-Threshold Criteria'!L101</f>
        <v>0</v>
      </c>
      <c r="M1193" s="1620" t="s">
        <v>1550</v>
      </c>
      <c r="N1193" s="1621" t="str">
        <f>'Part VIII-Threshold Criteria'!N101</f>
        <v>2006-042</v>
      </c>
      <c r="O1193" s="1577" t="str">
        <f>'Part VIII-Threshold Criteria'!O101</f>
        <v>Ashley Station Phase II</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3610</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3369</v>
      </c>
      <c r="B1197" s="1583" t="s">
        <v>2730</v>
      </c>
      <c r="C1197" s="1583"/>
      <c r="D1197" s="1583"/>
      <c r="E1197" s="1583"/>
      <c r="F1197" s="1583"/>
      <c r="G1197" s="1583"/>
      <c r="H1197" s="1583"/>
      <c r="I1197" s="1583"/>
      <c r="J1197" s="1583"/>
      <c r="K1197" s="1583"/>
      <c r="L1197" s="1583"/>
      <c r="M1197" s="1583"/>
      <c r="N1197" s="1583"/>
      <c r="O1197" s="1583"/>
      <c r="P1197" s="1627" t="s">
        <v>3369</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3370</v>
      </c>
      <c r="B1199" s="1604" t="s">
        <v>3611</v>
      </c>
      <c r="C1199" s="1596"/>
      <c r="D1199" s="1596"/>
      <c r="E1199" s="1596"/>
      <c r="F1199" s="1596"/>
      <c r="G1199" s="1596"/>
      <c r="H1199" s="1596"/>
      <c r="I1199" s="1596"/>
      <c r="J1199" s="1596"/>
      <c r="K1199" s="1596"/>
      <c r="L1199" s="1629"/>
      <c r="M1199" s="1596"/>
      <c r="N1199" s="1625"/>
      <c r="O1199" s="1596"/>
      <c r="P1199" s="1620" t="s">
        <v>3370</v>
      </c>
      <c r="Q1199" s="1628" t="e">
        <f>'Part VIII-Threshold Criteria'!#REF!</f>
        <v>#REF!</v>
      </c>
    </row>
    <row r="1200" spans="1:17">
      <c r="B1200" s="1525" t="s">
        <v>3749</v>
      </c>
      <c r="D1200" s="1525"/>
      <c r="E1200" s="1525"/>
      <c r="F1200" s="1525"/>
      <c r="G1200" s="1525"/>
      <c r="H1200" s="1524"/>
      <c r="I1200" s="1578"/>
      <c r="J1200" s="1578"/>
      <c r="K1200" s="1578"/>
      <c r="L1200" s="1495"/>
      <c r="M1200" s="1495"/>
      <c r="N1200" s="1495"/>
      <c r="O1200" s="1495"/>
      <c r="P1200" s="1495"/>
      <c r="Q1200" s="1495"/>
    </row>
    <row r="1201" spans="1:17" ht="409.6">
      <c r="A1201" s="1583" t="str">
        <f>'Part VIII-Threshold Criteria'!A104</f>
        <v>Additional DCA funded properties in the primary market area include 2014-015 BTW-Chapman 2, 2007-025 Arbor Pointe, 2008-074 Arbor Pointe II, 2010-025 Arbor Pointe III, 2013-019 BTW-Chapman 2, 2001-084 Windsor Lake Senior and 2000-055 Springfield Crossing. The overall market occupancy is 96% and the capture rate for the subject property is low at 2% for tax credit units and 0.2% for the market rate units. All capture rates fall below threshold limits. The market study is included in Tab 05 of the application.</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3470</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3471</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2879</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t="str">
        <f>'Part VIII-Threshold Criteria'!P118</f>
        <v>No</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t="str">
        <f>'Part VIII-Threshold Criteria'!P120</f>
        <v>Yes</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3749</v>
      </c>
      <c r="D1218" s="1525"/>
      <c r="E1218" s="1525"/>
      <c r="F1218" s="1525"/>
      <c r="G1218" s="1525"/>
      <c r="H1218" s="1524"/>
      <c r="I1218" s="1578"/>
      <c r="J1218" s="1578"/>
      <c r="K1218" s="1578"/>
      <c r="L1218" s="1495"/>
      <c r="M1218" s="1495"/>
      <c r="N1218" s="1495"/>
      <c r="O1218" s="1495"/>
      <c r="P1218" s="1495"/>
      <c r="Q1218" s="1495"/>
    </row>
    <row r="1219" spans="1:17" ht="102">
      <c r="A1219" s="1583" t="str">
        <f>'Part VIII-Threshold Criteria'!A124</f>
        <v>There is not an identity of interest between the buyer and seller. An appraisal is not included in the application.</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3634</v>
      </c>
      <c r="D1224" s="1550"/>
      <c r="E1224" s="1550"/>
      <c r="F1224" s="1550"/>
      <c r="G1224" s="1550"/>
      <c r="H1224" s="1550"/>
      <c r="I1224" s="1314"/>
      <c r="J1224" s="1314"/>
      <c r="K1224" s="1620" t="s">
        <v>1983</v>
      </c>
      <c r="L1224" s="1503" t="str">
        <f>'Part VIII-Threshold Criteria'!L129</f>
        <v>Geotechnical &amp;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Yes</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Geotechnical &amp;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3472</v>
      </c>
      <c r="E1228" s="1314"/>
      <c r="F1228" s="1314"/>
      <c r="G1228" s="1314"/>
      <c r="H1228" s="457"/>
      <c r="I1228" s="1314"/>
      <c r="J1228" s="1314"/>
      <c r="K1228" s="1550"/>
      <c r="L1228" s="1517"/>
      <c r="M1228" s="1517"/>
      <c r="O1228" s="1620" t="s">
        <v>1738</v>
      </c>
      <c r="P1228" s="1621" t="str">
        <f>'Part VIII-Threshold Criteria'!P133</f>
        <v>&lt;65</v>
      </c>
      <c r="Q1228" s="1621">
        <f>'Part VIII-Threshold Criteria'!Q133</f>
        <v>0</v>
      </c>
    </row>
    <row r="1229" spans="1:17">
      <c r="A1229" s="1508"/>
      <c r="B1229" s="1620" t="s">
        <v>1739</v>
      </c>
      <c r="C1229" s="457" t="s">
        <v>4108</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0</v>
      </c>
      <c r="Q1238" s="1632">
        <f>'Part VIII-Threshold Criteria'!Q142</f>
        <v>0</v>
      </c>
    </row>
    <row r="1239" spans="1:17">
      <c r="A1239" s="1618"/>
      <c r="B1239" s="1620"/>
      <c r="E1239" s="1620" t="s">
        <v>2436</v>
      </c>
      <c r="F1239" s="457" t="s">
        <v>2637</v>
      </c>
      <c r="G1239" s="1314"/>
      <c r="H1239" s="457"/>
      <c r="I1239" s="1314"/>
      <c r="J1239" s="1314"/>
      <c r="O1239" s="1620" t="s">
        <v>2436</v>
      </c>
      <c r="P1239" s="1621">
        <f>'Part VIII-Threshold Criteria'!P143</f>
        <v>0</v>
      </c>
      <c r="Q1239" s="1621">
        <f>'Part VIII-Threshold Criteria'!Q143</f>
        <v>0</v>
      </c>
    </row>
    <row r="1240" spans="1:17">
      <c r="A1240" s="1618"/>
      <c r="B1240" s="1620"/>
      <c r="E1240" s="1620" t="s">
        <v>2437</v>
      </c>
      <c r="F1240" s="457" t="s">
        <v>2635</v>
      </c>
      <c r="G1240" s="1314"/>
      <c r="H1240" s="457"/>
      <c r="I1240" s="1314"/>
      <c r="J1240" s="1314"/>
      <c r="O1240" s="1620" t="s">
        <v>2437</v>
      </c>
      <c r="P1240" s="1621">
        <f>'Part VIII-Threshold Criteria'!P144</f>
        <v>0</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No</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3841</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2893</v>
      </c>
      <c r="C1247" s="457" t="s">
        <v>2804</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3462</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3369</v>
      </c>
      <c r="B1255" s="1583" t="s">
        <v>4534</v>
      </c>
      <c r="C1255" s="1583"/>
      <c r="D1255" s="1583"/>
      <c r="E1255" s="1583"/>
      <c r="F1255" s="1583"/>
      <c r="G1255" s="1583"/>
      <c r="H1255" s="1583"/>
      <c r="I1255" s="1583"/>
      <c r="J1255" s="1583"/>
      <c r="K1255" s="1583"/>
      <c r="L1255" s="1583"/>
      <c r="M1255" s="1627" t="s">
        <v>3369</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3370</v>
      </c>
      <c r="B1257" s="1524" t="s">
        <v>1415</v>
      </c>
      <c r="C1257" s="1314"/>
      <c r="D1257" s="1630"/>
      <c r="E1257" s="1630"/>
      <c r="F1257" s="1630"/>
      <c r="G1257" s="1313"/>
      <c r="H1257" s="1313"/>
      <c r="I1257" s="1524"/>
      <c r="J1257" s="1314"/>
      <c r="K1257" s="1313"/>
      <c r="L1257" s="1313"/>
      <c r="M1257" s="1313"/>
      <c r="N1257" s="1314"/>
      <c r="O1257" s="1620" t="s">
        <v>3370</v>
      </c>
      <c r="P1257" s="1621" t="e">
        <f>'Part VIII-Threshold Criteria'!#REF!</f>
        <v>#REF!</v>
      </c>
      <c r="Q1257" s="1621" t="e">
        <f>'Part VIII-Threshold Criteria'!#REF!</f>
        <v>#REF!</v>
      </c>
    </row>
    <row r="1258" spans="1:17">
      <c r="B1258" s="1525" t="s">
        <v>3749</v>
      </c>
      <c r="D1258" s="1525"/>
      <c r="E1258" s="1525"/>
      <c r="F1258" s="1525"/>
      <c r="G1258" s="1525"/>
      <c r="H1258" s="1524"/>
      <c r="I1258" s="1578"/>
      <c r="J1258" s="1578"/>
      <c r="K1258" s="1578"/>
      <c r="L1258" s="1495"/>
      <c r="M1258" s="1495"/>
      <c r="N1258" s="1495"/>
      <c r="O1258" s="1495"/>
      <c r="P1258" s="1495"/>
      <c r="Q1258" s="1495"/>
    </row>
    <row r="1259" spans="1:17" ht="102">
      <c r="A1259" s="1583" t="str">
        <f>'Part VIII-Threshold Criteria'!A160</f>
        <v>Please see Tab 7 for the Phase 1 Assessment. The Applicant is not requesting HOME Funds.</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4535</v>
      </c>
      <c r="D1265" s="457"/>
      <c r="E1265" s="457"/>
      <c r="F1265" s="457"/>
      <c r="G1265" s="457"/>
      <c r="I1265" s="457" t="s">
        <v>2707</v>
      </c>
      <c r="K1265" s="1845" t="str">
        <f>'Part VIII-Threshold Criteria'!K166</f>
        <v>12.31.2019</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Brennan Place,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2881</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3749</v>
      </c>
      <c r="D1269" s="1525"/>
      <c r="E1269" s="1525"/>
      <c r="F1269" s="1525"/>
      <c r="G1269" s="1525"/>
      <c r="H1269" s="1524"/>
      <c r="I1269" s="1578"/>
      <c r="J1269" s="1578"/>
      <c r="K1269" s="1578"/>
      <c r="L1269" s="1495"/>
      <c r="M1269" s="1495"/>
      <c r="N1269" s="1495"/>
      <c r="O1269" s="1495"/>
      <c r="P1269" s="1495"/>
      <c r="Q1269" s="1495"/>
    </row>
    <row r="1270" spans="1:17" ht="71.400000000000006">
      <c r="A1270" s="1583" t="str">
        <f>'Part VIII-Threshold Criteria'!A170</f>
        <v>Please see Tab 8 for evidence of site control through November 30, 2019.</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3740</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3635</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3741</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3749</v>
      </c>
      <c r="D1279" s="1525"/>
      <c r="E1279" s="1525"/>
      <c r="F1279" s="1525"/>
      <c r="G1279" s="1525"/>
      <c r="H1279" s="1524"/>
      <c r="I1279" s="1578"/>
      <c r="J1279" s="1578"/>
      <c r="K1279" s="1578"/>
      <c r="L1279" s="1495"/>
      <c r="M1279" s="1495"/>
      <c r="N1279" s="1495"/>
      <c r="O1279" s="1495"/>
      <c r="P1279" s="1495"/>
      <c r="Q1279" s="1495"/>
    </row>
    <row r="1280" spans="1:17" ht="183.6">
      <c r="A1280" s="1583" t="str">
        <f>'Part VIII-Threshold Criteria'!A180</f>
        <v>The site is legally accessible by paved roads and documentation reflecting this is included in the application. Documentation reflecting such paved roads is included in Tab 9 of the application.</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4536</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3742</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3891</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3749</v>
      </c>
      <c r="D1296" s="1525"/>
      <c r="E1296" s="1525"/>
      <c r="F1296" s="1525"/>
      <c r="G1296" s="1525"/>
      <c r="H1296" s="1524"/>
      <c r="I1296" s="1578"/>
      <c r="J1296" s="1578"/>
      <c r="K1296" s="1578"/>
      <c r="L1296" s="1495"/>
      <c r="M1296" s="1495"/>
      <c r="N1296" s="1495"/>
      <c r="O1296" s="1495"/>
      <c r="P1296" s="1495"/>
      <c r="Q1296" s="1495"/>
    </row>
    <row r="1297" spans="1:17" ht="51">
      <c r="A1297" s="1583" t="str">
        <f>'Part VIII-Threshold Criteria'!A197</f>
        <v>Please see Tab 10 for zoning documentation.</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f>'Part VIII-Threshold Criteria'!J203</f>
        <v>0</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3749</v>
      </c>
      <c r="C1303" s="1521"/>
      <c r="D1303" s="1521"/>
      <c r="E1303" s="1521"/>
      <c r="F1303" s="1521"/>
      <c r="H1303" s="1620" t="s">
        <v>1738</v>
      </c>
      <c r="I1303" s="457" t="s">
        <v>1596</v>
      </c>
      <c r="J1303" s="1577" t="str">
        <f>'Part VIII-Threshold Criteria'!J204</f>
        <v>Georgia Power Company</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91.8">
      <c r="A1304" s="1583" t="str">
        <f>'Part VIII-Threshold Criteria'!A205</f>
        <v>Please see Tab 11 for the operating utility letter stating electric service is available at the site.</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Columbus Water Works</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Columbus Water Works</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3897</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2115</v>
      </c>
      <c r="B1315" s="457" t="s">
        <v>3898</v>
      </c>
      <c r="D1315" s="457"/>
      <c r="E1315" s="457"/>
      <c r="F1315" s="457"/>
      <c r="G1315" s="457"/>
      <c r="H1315" s="457"/>
      <c r="I1315" s="457"/>
      <c r="J1315" s="457"/>
      <c r="K1315" s="1314"/>
      <c r="L1315" s="457"/>
      <c r="M1315" s="457"/>
      <c r="O1315" s="1620" t="s">
        <v>2115</v>
      </c>
      <c r="P1315" s="1621" t="str">
        <f>'Part VIII-Threshold Criteria'!P213</f>
        <v>No</v>
      </c>
      <c r="Q1315" s="1621">
        <f>'Part VIII-Threshold Criteria'!Q213</f>
        <v>0</v>
      </c>
    </row>
    <row r="1316" spans="1:17">
      <c r="B1316" s="1525" t="s">
        <v>3749</v>
      </c>
      <c r="D1316" s="1525"/>
      <c r="E1316" s="1525"/>
      <c r="F1316" s="1525"/>
      <c r="G1316" s="1525"/>
      <c r="H1316" s="1524"/>
      <c r="I1316" s="1578"/>
      <c r="J1316" s="1578"/>
      <c r="K1316" s="1578"/>
      <c r="L1316" s="1495"/>
      <c r="M1316" s="1495"/>
      <c r="N1316" s="1495"/>
      <c r="O1316" s="1495"/>
      <c r="P1316" s="1495"/>
      <c r="Q1316" s="1495"/>
    </row>
    <row r="1317" spans="1:17" ht="112.2">
      <c r="A1317" s="1583" t="str">
        <f>'Part VIII-Threshold Criteria'!A215</f>
        <v>Pleasee see Tab 12 for public water/sanitary sewer/storm sewer letter from Columbus Water Works.</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4537</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c r="A1325" s="1618"/>
      <c r="B1325" s="1620" t="s">
        <v>1738</v>
      </c>
      <c r="C1325" s="1524" t="s">
        <v>2723</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4538</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30.6">
      <c r="A1330" s="1621"/>
      <c r="B1330" s="1620" t="s">
        <v>1737</v>
      </c>
      <c r="C1330" s="1583" t="str">
        <f>'Part VIII-Threshold Criteria'!C229</f>
        <v>Fenced community gardens</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20.399999999999999">
      <c r="A1331" s="1621"/>
      <c r="B1331" s="1620" t="s">
        <v>1738</v>
      </c>
      <c r="C1331" s="1583" t="str">
        <f>'Part VIII-Threshold Criteria'!C230</f>
        <v>Equipped playground</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3464</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f>'Part VIII-Threshold Criteria'!P240</f>
        <v>0</v>
      </c>
      <c r="Q1339" s="1621">
        <f>'Part VIII-Threshold Criteria'!Q240</f>
        <v>0</v>
      </c>
    </row>
    <row r="1340" spans="1:17">
      <c r="A1340" s="1618" t="s">
        <v>2115</v>
      </c>
      <c r="B1340" s="457" t="s">
        <v>3660</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3899</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3749</v>
      </c>
      <c r="D1343" s="1525"/>
      <c r="E1343" s="1525"/>
      <c r="F1343" s="1525"/>
      <c r="G1343" s="1525"/>
      <c r="H1343" s="1524"/>
      <c r="I1343" s="1578"/>
      <c r="J1343" s="1578"/>
      <c r="K1343" s="1578"/>
      <c r="L1343" s="1495"/>
      <c r="M1343" s="1495"/>
      <c r="N1343" s="1495"/>
      <c r="O1343" s="1495"/>
      <c r="P1343" s="1495"/>
      <c r="Q1343" s="1495"/>
    </row>
    <row r="1344" spans="1:17" ht="51">
      <c r="A1344" s="1583" t="str">
        <f>'Part VIII-Threshold Criteria'!A245</f>
        <v>Applicant agrees to provide the required site amenities.</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3756</v>
      </c>
      <c r="D1354" s="457"/>
      <c r="E1354" s="457"/>
      <c r="F1354" s="457"/>
      <c r="M1354" s="457"/>
      <c r="N1354" s="1640"/>
      <c r="O1354" s="1620" t="s">
        <v>749</v>
      </c>
      <c r="P1354" s="1621">
        <f>'Part VIII-Threshold Criteria'!P255</f>
        <v>0</v>
      </c>
      <c r="Q1354" s="1621">
        <f>'Part VIII-Threshold Criteria'!Q255</f>
        <v>0</v>
      </c>
    </row>
    <row r="1355" spans="1:17">
      <c r="A1355" s="1618"/>
      <c r="B1355" s="457" t="s">
        <v>3755</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3900</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3757</v>
      </c>
      <c r="C1357" s="1583"/>
      <c r="D1357" s="1583"/>
      <c r="E1357" s="1583"/>
      <c r="F1357" s="1583"/>
      <c r="G1357" s="1583"/>
      <c r="H1357" s="1051" t="s">
        <v>4109</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4110</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4111</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4112</v>
      </c>
      <c r="K1360" s="1314"/>
      <c r="M1360" s="457"/>
      <c r="N1360" s="1640"/>
      <c r="O1360" s="1620" t="s">
        <v>2365</v>
      </c>
      <c r="P1360" s="1621">
        <f>'Part VIII-Threshold Criteria'!P263</f>
        <v>0</v>
      </c>
      <c r="Q1360" s="1621">
        <f>'Part VIII-Threshold Criteria'!Q263</f>
        <v>0</v>
      </c>
    </row>
    <row r="1361" spans="1:17" ht="12.75" customHeight="1">
      <c r="A1361" s="1616" t="s">
        <v>1735</v>
      </c>
      <c r="B1361" s="1583" t="s">
        <v>4539</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3749</v>
      </c>
      <c r="D1362" s="1525"/>
      <c r="E1362" s="1525"/>
      <c r="F1362" s="1525"/>
      <c r="G1362" s="1525"/>
      <c r="H1362" s="1524"/>
      <c r="I1362" s="1578"/>
      <c r="J1362" s="1578"/>
      <c r="K1362" s="1578"/>
      <c r="L1362" s="1495"/>
      <c r="M1362" s="1495"/>
      <c r="N1362" s="1495"/>
      <c r="O1362" s="1495"/>
      <c r="P1362" s="1495"/>
      <c r="Q1362" s="1495"/>
    </row>
    <row r="1363" spans="1:17">
      <c r="A1363" s="1583" t="str">
        <f>'Part VIII-Threshold Criteria'!A272</f>
        <v>N/A</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3902</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3752</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3753</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4113</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3754</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4114</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3749</v>
      </c>
      <c r="D1375" s="1525"/>
      <c r="E1375" s="1525"/>
      <c r="F1375" s="1525"/>
      <c r="G1375" s="1525"/>
      <c r="H1375" s="1524"/>
      <c r="I1375" s="1578"/>
      <c r="J1375" s="1578"/>
      <c r="K1375" s="1578"/>
      <c r="L1375" s="1495"/>
      <c r="M1375" s="1495"/>
      <c r="N1375" s="1495"/>
      <c r="O1375" s="1495"/>
      <c r="P1375" s="1495"/>
      <c r="Q1375" s="1495"/>
    </row>
    <row r="1376" spans="1:17" ht="387.6">
      <c r="A1376" s="1583" t="str">
        <f>'Part VIII-Threshold Criteria'!A284</f>
        <v>The Concept Site Development Plan has been prepared in accordance with all instructions set forth in the DCA Submission Requirement Manual and Qualified Allocation Plan. Please see Tab 15 for the Conceptual Site Development Plan, location and vicinity maps, ground level color photos of the site and surrounding structures with key and aerial showing site boundary and adjacent land uses.</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4095</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3749</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4096</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4540</v>
      </c>
    </row>
    <row r="1389" spans="1:17" ht="12.75" customHeight="1">
      <c r="A1389" s="1616"/>
      <c r="B1389" s="1627" t="s">
        <v>1737</v>
      </c>
      <c r="C1389" s="1583" t="s">
        <v>3904</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3905</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3903</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3871</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4541</v>
      </c>
      <c r="D1393" s="1583"/>
      <c r="E1393" s="1583"/>
      <c r="F1393" s="1583"/>
      <c r="G1393" s="1583"/>
      <c r="H1393" s="1583"/>
      <c r="I1393" s="1604"/>
      <c r="J1393" s="1587" t="s">
        <v>3789</v>
      </c>
      <c r="K1393" s="1638"/>
      <c r="L1393" s="1638"/>
      <c r="M1393" s="1644" t="s">
        <v>3759</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3760</v>
      </c>
      <c r="N1394" s="1578" t="s">
        <v>3788</v>
      </c>
      <c r="O1394" s="1330"/>
      <c r="P1394" s="1343"/>
      <c r="Q1394" s="1330"/>
    </row>
    <row r="1395" spans="1:17" ht="13.8">
      <c r="A1395" s="1333"/>
      <c r="B1395" s="1330"/>
      <c r="C1395" s="1583"/>
      <c r="D1395" s="1583"/>
      <c r="E1395" s="1583"/>
      <c r="F1395" s="1583"/>
      <c r="G1395" s="1583"/>
      <c r="H1395" s="1583"/>
      <c r="I1395" s="457" t="s">
        <v>4116</v>
      </c>
      <c r="J1395" s="1330"/>
      <c r="K1395" s="1846">
        <f>'Part VIII-Threshold Criteria'!K306</f>
        <v>4</v>
      </c>
      <c r="L1395" s="1331" t="str">
        <f>IF(K1395&lt;M1395,"Check!!!","")</f>
        <v/>
      </c>
      <c r="M1395" s="1645">
        <f>'Part VIII-Threshold Criteria'!M306</f>
        <v>4</v>
      </c>
      <c r="N1395" s="1646">
        <f>'DCA Underwriting Assumptions'!$Q$139</f>
        <v>0.05</v>
      </c>
      <c r="O1395" s="1620" t="s">
        <v>3636</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4542</v>
      </c>
      <c r="D1397" s="1583"/>
      <c r="E1397" s="1583"/>
      <c r="F1397" s="1583"/>
      <c r="G1397" s="1583"/>
      <c r="H1397" s="1583"/>
      <c r="I1397" s="1647" t="s">
        <v>4117</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4543</v>
      </c>
      <c r="D1399" s="1583"/>
      <c r="E1399" s="1583"/>
      <c r="F1399" s="1583"/>
      <c r="G1399" s="1583"/>
      <c r="H1399" s="1583"/>
      <c r="I1399" s="457" t="s">
        <v>4118</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3872</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3758</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2365</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3749</v>
      </c>
      <c r="D1409" s="1525"/>
      <c r="E1409" s="1525"/>
      <c r="F1409" s="1525"/>
      <c r="G1409" s="1525"/>
      <c r="H1409" s="1524"/>
      <c r="I1409" s="1578"/>
      <c r="J1409" s="1578"/>
      <c r="K1409" s="1578"/>
      <c r="L1409" s="1495"/>
      <c r="M1409" s="1495"/>
      <c r="N1409" s="1495"/>
      <c r="O1409" s="1495"/>
      <c r="P1409" s="1495"/>
      <c r="Q1409" s="1495"/>
    </row>
    <row r="1410" spans="1:17" ht="357">
      <c r="A1410" s="1583" t="str">
        <f>'Part VIII-Threshold Criteria'!A320</f>
        <v>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4094</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4544</v>
      </c>
      <c r="D1416" s="1524"/>
      <c r="E1416" s="1524"/>
      <c r="F1416" s="1524"/>
      <c r="G1416" s="1524"/>
      <c r="H1416" s="1524"/>
      <c r="I1416" s="1524"/>
      <c r="J1416" s="1524"/>
      <c r="K1416" s="1524"/>
      <c r="L1416" s="1524"/>
      <c r="M1416" s="1524"/>
      <c r="N1416" s="1627"/>
    </row>
    <row r="1417" spans="1:17" ht="12.75" customHeight="1">
      <c r="B1417" s="1583" t="s">
        <v>2880</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4545</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3749</v>
      </c>
      <c r="D1426" s="1525"/>
      <c r="E1426" s="1525"/>
      <c r="F1426" s="1525"/>
      <c r="G1426" s="1525"/>
      <c r="H1426" s="1524"/>
      <c r="I1426" s="1578"/>
      <c r="J1426" s="1578"/>
      <c r="K1426" s="1578"/>
      <c r="L1426" s="1495"/>
      <c r="M1426" s="1495"/>
      <c r="N1426" s="1495"/>
      <c r="O1426" s="1495"/>
      <c r="P1426" s="1495"/>
      <c r="Q1426" s="1495"/>
    </row>
    <row r="1427" spans="1:17" ht="142.80000000000001">
      <c r="A1427" s="1583" t="str">
        <f>'Part VIII-Threshold Criteria'!A337</f>
        <v>The project will meet the Architectural Standards contained in the Application Manual. There is no waiver for this criterion included in the application.</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4097</v>
      </c>
      <c r="B1430" s="1488" t="s">
        <v>4135</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3907</v>
      </c>
      <c r="O1431" s="1627" t="s">
        <v>1983</v>
      </c>
      <c r="P1431" s="1621" t="str">
        <f>'Part VIII-Threshold Criteria'!P341</f>
        <v>Yes</v>
      </c>
      <c r="Q1431" s="1621">
        <f>'Part VIII-Threshold Criteria'!Q341</f>
        <v>0</v>
      </c>
    </row>
    <row r="1432" spans="1:17">
      <c r="A1432" s="1616" t="s">
        <v>1985</v>
      </c>
      <c r="B1432" s="1051" t="s">
        <v>4083</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3837</v>
      </c>
      <c r="O1434" s="1620" t="s">
        <v>2115</v>
      </c>
      <c r="P1434" s="1621" t="str">
        <f>'Part VIII-Threshold Criteria'!P344</f>
        <v>No</v>
      </c>
      <c r="Q1434" s="1621">
        <f>'Part VIII-Threshold Criteria'!Q344</f>
        <v>0</v>
      </c>
    </row>
    <row r="1435" spans="1:17">
      <c r="A1435" s="1616" t="s">
        <v>1735</v>
      </c>
      <c r="B1435" s="1051" t="s">
        <v>2883</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3749</v>
      </c>
      <c r="D1437" s="1525"/>
      <c r="E1437" s="1525"/>
      <c r="F1437" s="1525"/>
      <c r="G1437" s="1525"/>
      <c r="H1437" s="1524"/>
      <c r="I1437" s="1578"/>
      <c r="J1437" s="1578"/>
      <c r="K1437" s="1578"/>
      <c r="L1437" s="1495"/>
      <c r="M1437" s="1495"/>
      <c r="N1437" s="1495"/>
      <c r="O1437" s="1495"/>
      <c r="P1437" s="1495"/>
      <c r="Q1437" s="1495"/>
    </row>
    <row r="1438" spans="1:17" ht="122.4">
      <c r="A1438" s="1583" t="str">
        <f>'Part VIII-Threshold Criteria'!A348</f>
        <v>Please see Tab 19 for the Qualification Determination letter. The Certifying Entity, C. Jeffrey Rice, met the qualifications in 2018.</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4098</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3654</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3846</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4084</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3749</v>
      </c>
      <c r="D1445" s="1525"/>
      <c r="E1445" s="1525"/>
      <c r="F1445" s="1525"/>
      <c r="G1445" s="1525"/>
      <c r="H1445" s="1524"/>
      <c r="I1445" s="1578"/>
      <c r="J1445" s="1578"/>
      <c r="K1445" s="1578"/>
      <c r="L1445" s="1495"/>
      <c r="M1445" s="1495"/>
      <c r="N1445" s="1495"/>
      <c r="O1445" s="1495"/>
      <c r="P1445" s="1495"/>
      <c r="Q1445" s="1495"/>
    </row>
    <row r="1446" spans="1:17">
      <c r="A1446" s="1583">
        <f>'Part VIII-Threshold Criteria'!A356</f>
        <v>0</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4101</v>
      </c>
      <c r="B1450" s="1312" t="s">
        <v>4074</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4075</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4076</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4066</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4067</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4068</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4069</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4070</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4546</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3369</v>
      </c>
      <c r="B1459" s="1583" t="s">
        <v>4071</v>
      </c>
      <c r="C1459" s="1583"/>
      <c r="D1459" s="1583"/>
      <c r="E1459" s="1583"/>
      <c r="F1459" s="1583"/>
      <c r="G1459" s="1583"/>
      <c r="H1459" s="1583"/>
      <c r="I1459" s="1583"/>
      <c r="J1459" s="1583"/>
      <c r="K1459" s="1583"/>
      <c r="L1459" s="1583"/>
      <c r="M1459" s="1583"/>
      <c r="N1459" s="1583"/>
      <c r="O1459" s="1627" t="s">
        <v>3369</v>
      </c>
      <c r="P1459" s="1628">
        <f>'Part VIII-Threshold Criteria'!P369</f>
        <v>0</v>
      </c>
      <c r="Q1459" s="1628">
        <f>'Part VIII-Threshold Criteria'!Q369</f>
        <v>0</v>
      </c>
    </row>
    <row r="1460" spans="1:17" ht="12.75" customHeight="1">
      <c r="A1460" s="1616" t="s">
        <v>616</v>
      </c>
      <c r="B1460" s="1583" t="s">
        <v>4072</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3749</v>
      </c>
      <c r="D1461" s="1525"/>
      <c r="E1461" s="1525"/>
      <c r="F1461" s="1525"/>
      <c r="G1461" s="1525"/>
      <c r="H1461" s="1524"/>
      <c r="I1461" s="1578"/>
      <c r="J1461" s="1578"/>
      <c r="K1461" s="1578"/>
      <c r="L1461" s="1495"/>
      <c r="M1461" s="1495"/>
      <c r="N1461" s="1495"/>
      <c r="O1461" s="1495"/>
      <c r="P1461" s="1495"/>
      <c r="Q1461" s="1495"/>
    </row>
    <row r="1462" spans="1:17" ht="30.6">
      <c r="A1462" s="1583" t="str">
        <f>'Part VIII-Threshold Criteria'!A372</f>
        <v>Applicant is not a non-profit.</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4102</v>
      </c>
      <c r="B1466" s="1312" t="s">
        <v>3908</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3910</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4119</v>
      </c>
      <c r="D1468" s="457"/>
      <c r="E1468" s="457"/>
      <c r="F1468" s="457"/>
      <c r="G1468" s="1577">
        <f>'Part VIII-Threshold Criteria'!J378</f>
        <v>0</v>
      </c>
      <c r="H1468" s="1577">
        <f>'Part VIII-Threshold Criteria'!K378</f>
        <v>0</v>
      </c>
      <c r="I1468" s="1577">
        <f>'Part VIII-Threshold Criteria'!L378</f>
        <v>0</v>
      </c>
      <c r="J1468" s="1578" t="s">
        <v>3917</v>
      </c>
      <c r="K1468" s="1577">
        <f>'Part VIII-Threshold Criteria'!J379</f>
        <v>0</v>
      </c>
      <c r="L1468" s="1577">
        <f>'Part VIII-Threshold Criteria'!K379</f>
        <v>0</v>
      </c>
      <c r="M1468" s="1577">
        <f>'Part VIII-Threshold Criteria'!L379</f>
        <v>0</v>
      </c>
      <c r="N1468" s="457" t="s">
        <v>3909</v>
      </c>
      <c r="O1468" s="457"/>
      <c r="P1468" s="1577">
        <f>'Part VIII-Threshold Criteria'!P378</f>
        <v>0</v>
      </c>
      <c r="Q1468" s="1577">
        <f>'Part VIII-Threshold Criteria'!Q378</f>
        <v>0</v>
      </c>
    </row>
    <row r="1469" spans="1:17">
      <c r="A1469" s="1314"/>
      <c r="B1469" s="457" t="s">
        <v>1738</v>
      </c>
      <c r="C1469" s="457" t="s">
        <v>3911</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3912</v>
      </c>
      <c r="D1470" s="1313"/>
      <c r="E1470" s="1550"/>
      <c r="F1470" s="1649" t="str">
        <f>'Part VIII-Threshold Criteria'!J381</f>
        <v>Urban</v>
      </c>
      <c r="G1470" s="1649">
        <f>'Part VIII-Threshold Criteria'!K381</f>
        <v>0</v>
      </c>
      <c r="H1470" s="1517" t="s">
        <v>3913</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3914</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3924</v>
      </c>
      <c r="O1471" s="1620"/>
      <c r="P1471" s="1621">
        <f>'Part VIII-Threshold Criteria'!J383</f>
        <v>0</v>
      </c>
      <c r="Q1471" s="1621">
        <f>'Part VIII-Threshold Criteria'!L383</f>
        <v>0</v>
      </c>
    </row>
    <row r="1472" spans="1:17">
      <c r="A1472" s="1618"/>
      <c r="B1472" s="457" t="s">
        <v>1549</v>
      </c>
      <c r="C1472" s="457" t="s">
        <v>3915</v>
      </c>
      <c r="D1472" s="1314"/>
      <c r="E1472" s="457"/>
      <c r="F1472" s="1650">
        <f>'Part VIII-Threshold Criteria'!F384</f>
        <v>1000000</v>
      </c>
      <c r="G1472" s="1650">
        <f>'Part VIII-Threshold Criteria'!G384</f>
        <v>0</v>
      </c>
      <c r="H1472" s="457" t="s">
        <v>3916</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3918</v>
      </c>
      <c r="D1473" s="1314"/>
      <c r="E1473" s="457"/>
      <c r="F1473" s="457"/>
      <c r="G1473" s="457"/>
      <c r="H1473" s="457" t="s">
        <v>3592</v>
      </c>
      <c r="I1473" s="457"/>
      <c r="J1473" s="1650">
        <f>'Part VIII-Threshold Criteria'!J385</f>
        <v>0</v>
      </c>
      <c r="K1473" s="1650">
        <f>'Part VIII-Threshold Criteria'!K385</f>
        <v>0</v>
      </c>
      <c r="L1473" s="457" t="s">
        <v>3919</v>
      </c>
      <c r="M1473" s="1650">
        <f>'Part VIII-Threshold Criteria'!L385</f>
        <v>0</v>
      </c>
      <c r="N1473" s="1650">
        <f>'Part VIII-Threshold Criteria'!M385</f>
        <v>0</v>
      </c>
      <c r="O1473" s="1314"/>
      <c r="P1473" s="1314"/>
      <c r="Q1473" s="1314"/>
    </row>
    <row r="1474" spans="1:17">
      <c r="A1474" s="1314"/>
      <c r="B1474" s="457" t="s">
        <v>98</v>
      </c>
      <c r="C1474" s="457" t="s">
        <v>3920</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3921</v>
      </c>
      <c r="C1476" s="1314"/>
      <c r="D1476" s="1550"/>
      <c r="E1476" s="1550"/>
      <c r="F1476" s="1550"/>
      <c r="G1476" s="1550"/>
      <c r="H1476" s="1550"/>
      <c r="I1476" s="1314"/>
      <c r="J1476" s="457" t="s">
        <v>3926</v>
      </c>
      <c r="K1476" s="457"/>
      <c r="L1476" s="457"/>
      <c r="M1476" s="457"/>
      <c r="N1476" s="1550" t="s">
        <v>3923</v>
      </c>
      <c r="O1476" s="1550"/>
      <c r="P1476" s="1550"/>
      <c r="Q1476" s="1550"/>
    </row>
    <row r="1477" spans="1:17">
      <c r="A1477" s="1314"/>
      <c r="B1477" s="457" t="s">
        <v>1737</v>
      </c>
      <c r="C1477" s="1524" t="s">
        <v>3922</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3925</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3927</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3749</v>
      </c>
      <c r="D1480" s="1525"/>
      <c r="E1480" s="1525"/>
      <c r="F1480" s="1525"/>
      <c r="G1480" s="1525"/>
      <c r="H1480" s="1524"/>
      <c r="I1480" s="1578"/>
      <c r="J1480" s="1578"/>
      <c r="K1480" s="1578"/>
      <c r="L1480" s="1495"/>
      <c r="M1480" s="1495"/>
      <c r="N1480" s="1495"/>
      <c r="O1480" s="1495"/>
      <c r="P1480" s="1495"/>
      <c r="Q1480" s="1495"/>
    </row>
    <row r="1481" spans="1:17">
      <c r="A1481" s="1583" t="str">
        <f>'Part VIII-Threshold Criteria'!A394</f>
        <v>N/A</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4103</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3463</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3473</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3695</v>
      </c>
      <c r="G1490" s="1517"/>
      <c r="H1490" s="1517"/>
      <c r="I1490" s="1517"/>
      <c r="J1490" s="1524" t="s">
        <v>3696</v>
      </c>
      <c r="L1490" s="1517"/>
      <c r="M1490" s="1653">
        <f>'Part III-Sources of Funds'!E1105</f>
        <v>0</v>
      </c>
      <c r="N1490" s="1653"/>
      <c r="O1490" s="1620" t="s">
        <v>2115</v>
      </c>
      <c r="P1490" s="1621">
        <f>'Part VIII-Threshold Criteria'!P403</f>
        <v>0</v>
      </c>
      <c r="Q1490" s="1621">
        <f>'Part VIII-Threshold Criteria'!Q403</f>
        <v>0</v>
      </c>
    </row>
    <row r="1491" spans="1:17">
      <c r="B1491" s="1525" t="s">
        <v>3749</v>
      </c>
      <c r="D1491" s="1525"/>
      <c r="E1491" s="1525"/>
      <c r="F1491" s="1525"/>
      <c r="G1491" s="1525"/>
      <c r="H1491" s="1524"/>
      <c r="I1491" s="1578"/>
      <c r="J1491" s="1578"/>
      <c r="K1491" s="1578"/>
      <c r="L1491" s="1495"/>
      <c r="M1491" s="1495"/>
      <c r="N1491" s="1495"/>
      <c r="O1491" s="1495"/>
      <c r="P1491" s="1495"/>
      <c r="Q1491" s="1495"/>
    </row>
    <row r="1492" spans="1:17" ht="30.6">
      <c r="A1492" s="1583" t="str">
        <f>'Part VIII-Threshold Criteria'!A405</f>
        <v>N/A. Applicant is not a CHDO.</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4104</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f>'Part VIII-Threshold Criteria'!P410</f>
        <v>0</v>
      </c>
      <c r="Q1497" s="1621">
        <f>'Part VIII-Threshold Criteria'!Q410</f>
        <v>0</v>
      </c>
    </row>
    <row r="1498" spans="1:17">
      <c r="A1498" s="1618" t="s">
        <v>1985</v>
      </c>
      <c r="B1498" s="457" t="s">
        <v>3582</v>
      </c>
      <c r="D1498" s="1583"/>
      <c r="E1498" s="1583"/>
      <c r="O1498" s="1620" t="s">
        <v>1985</v>
      </c>
      <c r="P1498" s="1621">
        <f>'Part VIII-Threshold Criteria'!P411</f>
        <v>0</v>
      </c>
      <c r="Q1498" s="1621">
        <f>'Part VIII-Threshold Criteria'!Q411</f>
        <v>0</v>
      </c>
    </row>
    <row r="1499" spans="1:17">
      <c r="A1499" s="1618" t="s">
        <v>749</v>
      </c>
      <c r="B1499" s="457" t="s">
        <v>4073</v>
      </c>
      <c r="D1499" s="1583"/>
      <c r="E1499" s="1583"/>
      <c r="O1499" s="1620" t="s">
        <v>749</v>
      </c>
      <c r="P1499" s="1621">
        <f>'Part VIII-Threshold Criteria'!P412</f>
        <v>0</v>
      </c>
      <c r="Q1499" s="1621">
        <f>'Part VIII-Threshold Criteria'!Q412</f>
        <v>0</v>
      </c>
    </row>
    <row r="1500" spans="1:17">
      <c r="A1500" s="1618" t="s">
        <v>2115</v>
      </c>
      <c r="B1500" s="457" t="s">
        <v>3583</v>
      </c>
      <c r="E1500" s="1604"/>
      <c r="O1500" s="1620" t="s">
        <v>2115</v>
      </c>
      <c r="P1500" s="1621">
        <f>'Part VIII-Threshold Criteria'!P413</f>
        <v>0</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3749</v>
      </c>
      <c r="D1502" s="1525"/>
      <c r="E1502" s="1525"/>
      <c r="F1502" s="1525"/>
      <c r="G1502" s="1525"/>
      <c r="H1502" s="1524"/>
      <c r="I1502" s="1578"/>
      <c r="J1502" s="1578"/>
      <c r="K1502" s="1578"/>
      <c r="L1502" s="1495"/>
      <c r="M1502" s="1495"/>
      <c r="N1502" s="1495"/>
      <c r="O1502" s="1495"/>
      <c r="P1502" s="1495"/>
      <c r="Q1502" s="1495"/>
    </row>
    <row r="1503" spans="1:17">
      <c r="A1503" s="1583" t="str">
        <f>'Part VIII-Threshold Criteria'!A416</f>
        <v>N/A</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4105</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3475</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3474</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3749</v>
      </c>
      <c r="D1521" s="1525"/>
      <c r="E1521" s="1525"/>
      <c r="F1521" s="1525"/>
      <c r="G1521" s="1525"/>
      <c r="H1521" s="1524"/>
      <c r="I1521" s="1578"/>
      <c r="J1521" s="1578"/>
      <c r="K1521" s="1578"/>
      <c r="P1521" s="1495"/>
      <c r="Q1521" s="1495"/>
    </row>
    <row r="1522" spans="1:17" ht="20.399999999999999">
      <c r="A1522" s="1583" t="str">
        <f>'Part VIII-Threshold Criteria'!A440</f>
        <v>N/A. Site is vacant land.</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4106</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3928</v>
      </c>
      <c r="C1527" s="1312"/>
      <c r="D1527" s="1577"/>
      <c r="E1527" s="1582"/>
      <c r="F1527" s="1582"/>
      <c r="G1527" s="1582"/>
      <c r="H1527" s="1582"/>
    </row>
    <row r="1528" spans="1:17" ht="12.75" customHeight="1">
      <c r="A1528" s="1616" t="s">
        <v>1983</v>
      </c>
      <c r="B1528" s="1583" t="s">
        <v>3931</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3929</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3930</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3932</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3933</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3934</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3935</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3936</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3937</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3476</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3749</v>
      </c>
      <c r="D1538" s="1525"/>
      <c r="E1538" s="1525"/>
      <c r="F1538" s="1525"/>
      <c r="G1538" s="1525"/>
      <c r="H1538" s="1524"/>
      <c r="I1538" s="1578"/>
      <c r="J1538" s="1578"/>
      <c r="K1538" s="1578"/>
      <c r="L1538" s="1495"/>
      <c r="M1538" s="1495"/>
      <c r="N1538" s="1495"/>
      <c r="O1538" s="1495"/>
      <c r="P1538" s="1495"/>
      <c r="Q1538" s="1495"/>
    </row>
    <row r="1539" spans="1:17" ht="91.8">
      <c r="A1539" s="1583" t="str">
        <f>'Part VIII-Threshold Criteria'!A457</f>
        <v>The Applicant agrees to prepare and submit an AFFH Marketing Plan if selected.</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4107</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3749</v>
      </c>
      <c r="D1544" s="1525"/>
      <c r="E1544" s="1525"/>
      <c r="F1544" s="1525"/>
      <c r="G1544" s="1525"/>
      <c r="H1544" s="1524"/>
      <c r="I1544" s="1578"/>
      <c r="J1544" s="1578"/>
      <c r="K1544" s="1578"/>
      <c r="L1544" s="1495"/>
      <c r="M1544" s="1495"/>
      <c r="N1544" s="1495"/>
      <c r="O1544" s="1495"/>
      <c r="P1544" s="1495"/>
      <c r="Q1544" s="1495"/>
    </row>
    <row r="1545" spans="1:17" ht="91.8">
      <c r="A1545" s="1583" t="str">
        <f>'Part VIII-Threshold Criteria'!A480</f>
        <v>The Applicant believes the project as proposed is an optimal utilization of DCA resources.</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2019-042 Brennan Place,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4547</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4548</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3646</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4549</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4137</v>
      </c>
      <c r="D1567" s="457"/>
      <c r="E1567" s="457"/>
      <c r="F1567" s="457"/>
      <c r="G1567" s="1549"/>
      <c r="H1567" s="1335" t="s">
        <v>4549</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3838</v>
      </c>
      <c r="B1568" s="1513"/>
      <c r="C1568" s="1513"/>
      <c r="D1568" s="1513"/>
      <c r="E1568" s="1513"/>
      <c r="F1568" s="1578" t="s">
        <v>4139</v>
      </c>
      <c r="G1568" s="1314"/>
      <c r="H1568" s="1314"/>
      <c r="I1568" s="1314"/>
      <c r="J1568" s="1578" t="s">
        <v>4139</v>
      </c>
      <c r="K1568" s="1578"/>
      <c r="L1568" s="1314"/>
      <c r="M1568" s="1314"/>
      <c r="N1568" s="1314"/>
      <c r="O1568" s="457" t="s">
        <v>4139</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3371</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2904</v>
      </c>
      <c r="K1572" s="1573">
        <f>'Part IX Scoring Criteria'!K36</f>
        <v>3</v>
      </c>
      <c r="L1572" s="1573">
        <f>'Part IX Scoring Criteria'!L36</f>
        <v>0</v>
      </c>
      <c r="M1572" s="1573">
        <f>'Part IX Scoring Criteria'!M36</f>
        <v>0</v>
      </c>
      <c r="N1572" s="1573">
        <f>'Part IX Scoring Criteria'!N36</f>
        <v>0</v>
      </c>
      <c r="O1572" s="1648" t="s">
        <v>2904</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2904</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4550</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4140</v>
      </c>
      <c r="B1583" s="457" t="s">
        <v>4141</v>
      </c>
      <c r="C1583" s="457"/>
      <c r="D1583" s="457"/>
      <c r="E1583" s="1424" t="s">
        <v>4168</v>
      </c>
      <c r="F1583" s="457" t="s">
        <v>4167</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4142</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4143</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4144</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2904</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4145</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2904</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4146</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3785</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4147</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4451</v>
      </c>
      <c r="B1591" s="1053" t="s">
        <v>4452</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4095</v>
      </c>
      <c r="B1592" s="1053" t="s">
        <v>4148</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4096</v>
      </c>
      <c r="B1593" s="1053" t="s">
        <v>4149</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4094</v>
      </c>
      <c r="B1594" s="1053" t="s">
        <v>4150</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4097</v>
      </c>
      <c r="B1595" s="1053" t="s">
        <v>4151</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3590</v>
      </c>
      <c r="I1599" s="1468"/>
      <c r="J1599" s="1680">
        <f>'Part VI-Revenues &amp; Expenses'!$O$65</f>
        <v>72</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3373</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3592</v>
      </c>
      <c r="L1601" s="1442" t="s">
        <v>3593</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3372</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3343</v>
      </c>
      <c r="B1603" s="1687" t="s">
        <v>1988</v>
      </c>
      <c r="C1603" s="1688">
        <v>0.2</v>
      </c>
      <c r="D1603" s="1604" t="s">
        <v>3372</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4551</v>
      </c>
      <c r="C1605" s="1689"/>
      <c r="D1605" s="1689"/>
      <c r="E1605" s="1638"/>
      <c r="F1605" s="1689"/>
      <c r="G1605" s="1689"/>
      <c r="H1605" s="1550" t="s">
        <v>3650</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3950</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4090</v>
      </c>
      <c r="C1611" s="1659"/>
      <c r="D1611" s="1695"/>
      <c r="E1611" s="1659"/>
      <c r="F1611" s="1659"/>
      <c r="G1611" s="1659"/>
      <c r="H1611" s="1659"/>
      <c r="I1611" s="1468" t="s">
        <v>3765</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3850</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4552</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4.4">
      <c r="A1615" s="1508" t="s">
        <v>1985</v>
      </c>
      <c r="B1615" s="1503" t="s">
        <v>3839</v>
      </c>
      <c r="C1615" s="1659"/>
      <c r="D1615" s="1695"/>
      <c r="E1615" s="1659"/>
      <c r="F1615" s="1700"/>
      <c r="G1615" s="1335" t="s">
        <v>3979</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4.4">
      <c r="A1616" s="1314"/>
      <c r="B1616" s="1677" t="s">
        <v>3750</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The applicant is eligible for the maximum ten (10) total Desirable Activities points. The proposed site is within 1.5 miles of a Walmart Supercenter, Family Doller, Piggly Wiggly, Golden Chopstick resataurant, Vlley Healthcare System (medical care provider), CVS, Dominion Children's Academy, Baker Middle School, Recreation Center, Synovous Bank, Macedonia Christian Ministry and US Post Ofice. There are no undesirables. Please see Tab 28 of the Applcation for the Desirable/Undesirable form and additional information regarding the desirable activities.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5</v>
      </c>
      <c r="P1621" s="1658">
        <f>'Part IX Scoring Criteria'!P71</f>
        <v>0</v>
      </c>
      <c r="Q1621" s="1496" t="s">
        <v>441</v>
      </c>
      <c r="R1621" s="1702" t="s">
        <v>4553</v>
      </c>
      <c r="S1621" s="1702"/>
      <c r="T1621" s="1702"/>
      <c r="U1621" s="1702"/>
      <c r="V1621" s="1659"/>
      <c r="W1621" s="1659"/>
      <c r="X1621" s="1659"/>
      <c r="Y1621" s="1659"/>
      <c r="Z1621" s="1659"/>
    </row>
    <row r="1622" spans="1:26" ht="14.4">
      <c r="A1622" s="1660"/>
      <c r="B1622" s="1317" t="s">
        <v>3953</v>
      </c>
      <c r="C1622" s="1659"/>
      <c r="D1622" s="1695"/>
      <c r="E1622" s="1659"/>
      <c r="F1622" s="1659"/>
      <c r="G1622" s="1659"/>
      <c r="H1622" s="1503" t="s">
        <v>2794</v>
      </c>
      <c r="I1622" s="1531"/>
      <c r="J1622" s="1503" t="str">
        <f>'Part I-Project Information'!$H$105</f>
        <v>Flexible</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4.4">
      <c r="A1623" s="1660"/>
      <c r="B1623" s="1704" t="s">
        <v>1986</v>
      </c>
      <c r="C1623" s="1051" t="s">
        <v>3594</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3951</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2534</v>
      </c>
      <c r="C1625" s="1051" t="s">
        <v>3952</v>
      </c>
      <c r="D1625" s="1695"/>
      <c r="E1625" s="1659"/>
      <c r="F1625" s="1659"/>
      <c r="G1625" s="1659"/>
      <c r="H1625" s="1677"/>
      <c r="I1625" s="1549"/>
      <c r="J1625" s="1317"/>
      <c r="K1625" s="1317"/>
      <c r="L1625" s="1659"/>
      <c r="M1625" s="1659"/>
      <c r="N1625" s="1620"/>
      <c r="O1625" s="1621" t="str">
        <f>'Part IX Scoring Criteria'!O76</f>
        <v>N/a</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3959</v>
      </c>
      <c r="C1627" s="1659"/>
      <c r="D1627" s="1695"/>
      <c r="E1627" s="1659"/>
      <c r="F1627" s="1317" t="s">
        <v>3714</v>
      </c>
      <c r="G1627" s="1317"/>
      <c r="H1627" s="1317"/>
      <c r="I1627" s="1317"/>
      <c r="J1627" s="1317" t="s">
        <v>3715</v>
      </c>
      <c r="K1627" s="1317"/>
      <c r="L1627" s="1317"/>
      <c r="M1627" s="1317"/>
      <c r="N1627" s="1620"/>
      <c r="O1627" s="1469" t="s">
        <v>4554</v>
      </c>
      <c r="P1627" s="1705"/>
      <c r="Q1627" s="1496"/>
      <c r="R1627" s="1702"/>
      <c r="S1627" s="1702"/>
      <c r="T1627" s="1702"/>
      <c r="U1627" s="1702"/>
      <c r="V1627" s="1659"/>
      <c r="W1627" s="1659"/>
      <c r="X1627" s="1659"/>
      <c r="Y1627" s="1659"/>
      <c r="Z1627" s="1659"/>
    </row>
    <row r="1628" spans="1:26" ht="14.4">
      <c r="A1628" s="1660"/>
      <c r="B1628" s="1659"/>
      <c r="C1628" s="1317" t="s">
        <v>3958</v>
      </c>
      <c r="D1628" s="1394"/>
      <c r="E1628" s="1393"/>
      <c r="F1628" s="1706">
        <f>'Part IX Scoring Criteria'!F79</f>
        <v>32.439467</v>
      </c>
      <c r="G1628" s="1706">
        <f>'Part IX Scoring Criteria'!G79</f>
        <v>0</v>
      </c>
      <c r="H1628" s="1706">
        <f>'Part IX Scoring Criteria'!H79</f>
        <v>0</v>
      </c>
      <c r="I1628" s="1706">
        <f>'Part IX Scoring Criteria'!I79</f>
        <v>0</v>
      </c>
      <c r="J1628" s="1706">
        <f>'Part IX Scoring Criteria'!J79</f>
        <v>-84.940430000000006</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3960</v>
      </c>
      <c r="E1629" s="1393"/>
      <c r="F1629" s="1706">
        <f>'Part IX Scoring Criteria'!F80</f>
        <v>32.4317481</v>
      </c>
      <c r="G1629" s="1706">
        <f>'Part IX Scoring Criteria'!G80</f>
        <v>0</v>
      </c>
      <c r="H1629" s="1706">
        <f>'Part IX Scoring Criteria'!H80</f>
        <v>0</v>
      </c>
      <c r="I1629" s="1706">
        <f>'Part IX Scoring Criteria'!I80</f>
        <v>0</v>
      </c>
      <c r="J1629" s="1706">
        <f>'Part IX Scoring Criteria'!J80</f>
        <v>-84.940139700000003</v>
      </c>
      <c r="K1629" s="1706">
        <f>'Part IX Scoring Criteria'!K80</f>
        <v>0</v>
      </c>
      <c r="L1629" s="1706">
        <f>'Part IX Scoring Criteria'!L80</f>
        <v>0</v>
      </c>
      <c r="M1629" s="1706">
        <f>'Part IX Scoring Criteria'!M80</f>
        <v>0</v>
      </c>
      <c r="N1629" s="1620"/>
      <c r="O1629" s="1707">
        <f>'Part IX Scoring Criteria'!O80</f>
        <v>0.6</v>
      </c>
      <c r="P1629" s="1707">
        <f>'Part IX Scoring Criteria'!P80</f>
        <v>0</v>
      </c>
      <c r="Q1629" s="1496"/>
      <c r="R1629" s="1702"/>
      <c r="S1629" s="1702"/>
      <c r="T1629" s="1702"/>
      <c r="U1629" s="1702"/>
      <c r="V1629" s="1659"/>
      <c r="W1629" s="1659"/>
      <c r="X1629" s="1659"/>
      <c r="Y1629" s="1659"/>
      <c r="Z1629" s="1659"/>
    </row>
    <row r="1630" spans="1:26" ht="15" customHeight="1">
      <c r="A1630" s="1570" t="s">
        <v>4136</v>
      </c>
      <c r="B1630" s="1570"/>
      <c r="C1630" s="1317" t="s">
        <v>4088</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4087</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2785</v>
      </c>
      <c r="B1633" s="1661"/>
      <c r="C1633" s="1659"/>
      <c r="D1633" s="1695"/>
      <c r="E1633" s="1659"/>
      <c r="F1633" s="1709" t="s">
        <v>4555</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3743</v>
      </c>
      <c r="C1634" s="1659"/>
      <c r="D1634" s="1695"/>
      <c r="E1634" s="1659"/>
      <c r="F1634" s="1677" t="s">
        <v>4556</v>
      </c>
      <c r="G1634" s="1659"/>
      <c r="H1634" s="1659"/>
      <c r="I1634" s="1710" t="s">
        <v>4557</v>
      </c>
      <c r="J1634" s="1710"/>
      <c r="K1634" s="1710"/>
      <c r="L1634" s="1710"/>
      <c r="M1634" s="1496">
        <v>6</v>
      </c>
      <c r="N1634" s="1684" t="s">
        <v>1983</v>
      </c>
      <c r="O1634" s="1546">
        <f>'Part IX Scoring Criteria'!O86</f>
        <v>5</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4558</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4559</v>
      </c>
      <c r="D1636" s="1604"/>
      <c r="E1636" s="1604"/>
      <c r="F1636" s="1604"/>
      <c r="G1636" s="1604"/>
      <c r="H1636" s="1604"/>
      <c r="I1636" s="1710"/>
      <c r="J1636" s="1710"/>
      <c r="K1636" s="1710"/>
      <c r="L1636" s="1710"/>
      <c r="M1636" s="1713">
        <v>4</v>
      </c>
      <c r="N1636" s="1704" t="s">
        <v>1988</v>
      </c>
      <c r="O1636" s="1697">
        <f>'Part IX Scoring Criteria'!O88</f>
        <v>4</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3744</v>
      </c>
      <c r="D1637" s="1604"/>
      <c r="E1637" s="1604"/>
      <c r="F1637" s="1604"/>
      <c r="G1637" s="1620" t="s">
        <v>4086</v>
      </c>
      <c r="H1637" s="1612" t="str">
        <f>'Part I-Project Information'!$H$82</f>
        <v>Family</v>
      </c>
      <c r="I1637" s="1573" t="str">
        <f>'Part IX Scoring Criteria'!I92</f>
        <v>Columbus METRA Transit System</v>
      </c>
      <c r="J1637" s="1573">
        <f>'Part IX Scoring Criteria'!J92</f>
        <v>0</v>
      </c>
      <c r="K1637" s="1573">
        <f>'Part IX Scoring Criteria'!K92</f>
        <v>0</v>
      </c>
      <c r="L1637" s="1848">
        <f>'Part IX Scoring Criteria'!L92</f>
        <v>7062254673</v>
      </c>
      <c r="M1637" s="1713">
        <v>1</v>
      </c>
      <c r="N1637" s="1704" t="s">
        <v>2534</v>
      </c>
      <c r="O1637" s="1697">
        <f>'Part IX Scoring Criteria'!O89</f>
        <v>1</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4.4">
      <c r="A1638" s="1619" t="s">
        <v>1985</v>
      </c>
      <c r="B1638" s="1714" t="s">
        <v>3745</v>
      </c>
      <c r="C1638" s="1202"/>
      <c r="D1638" s="1202"/>
      <c r="E1638" s="1202"/>
      <c r="F1638" s="1715" t="s">
        <v>4560</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4561</v>
      </c>
      <c r="D1639" s="1550"/>
      <c r="E1639" s="1550"/>
      <c r="F1639" s="1550"/>
      <c r="G1639" s="1550"/>
      <c r="H1639" s="1550"/>
      <c r="I1639" s="1573" t="str">
        <f>'Part IX Scoring Criteria'!I96</f>
        <v>https://www.columbusga.gov/Metra/routes/Route02.pdf
https://www.columbusga.gov/Metra/routes/Route04.pdf
https://www.columbusga.gov/Metra/routes/Route07.pdf</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4562</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4563</v>
      </c>
      <c r="D1641" s="1583"/>
      <c r="E1641" s="1583"/>
      <c r="F1641" s="1583"/>
      <c r="G1641" s="1583"/>
      <c r="H1641" s="1583"/>
      <c r="I1641" s="1573" t="str">
        <f>'Part IX Scoring Criteria'!I98</f>
        <v>https://www.columbusga.gov/Metra/routes/Route02.pdf
https://www.columbusga.gov/Metra/routes/Route04.pdf
https://www.columbusga.gov/Metra/routes/Route07.pdf</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4.4">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4564</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4.4">
      <c r="A1644" s="457" t="s">
        <v>4565</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4566</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2794</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3962</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3966</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3967</v>
      </c>
      <c r="D1654" s="1722"/>
      <c r="E1654" s="1722"/>
      <c r="F1654" s="1722"/>
      <c r="G1654" s="1722"/>
      <c r="H1654" s="1722"/>
      <c r="I1654" s="1658" t="e">
        <f>'Part IX Scoring Criteria'!#REF!</f>
        <v>#REF!</v>
      </c>
      <c r="J1654" s="1658" t="e">
        <f>'Part IX Scoring Criteria'!#REF!</f>
        <v>#REF!</v>
      </c>
      <c r="K1654" s="1528"/>
      <c r="L1654" s="1722"/>
      <c r="M1654" s="1722"/>
      <c r="N1654" s="1722"/>
      <c r="O1654" s="1722" t="s">
        <v>3975</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4567</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4568</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3774</v>
      </c>
      <c r="D1659" s="1314"/>
      <c r="E1659" s="1314"/>
      <c r="F1659" s="457" t="s">
        <v>3976</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4.4">
      <c r="A1660" s="1314"/>
      <c r="B1660" s="1677" t="s">
        <v>3750</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3977</v>
      </c>
      <c r="C1665" s="1659"/>
      <c r="D1665" s="457"/>
      <c r="E1665" s="457"/>
      <c r="F1665" s="1496"/>
      <c r="G1665" s="1496"/>
      <c r="H1665" s="1496"/>
      <c r="I1665" s="1709" t="s">
        <v>4555</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3978</v>
      </c>
      <c r="C1667" s="1676"/>
      <c r="D1667" s="1695"/>
      <c r="E1667" s="1051" t="s">
        <v>4092</v>
      </c>
      <c r="F1667" s="1659"/>
      <c r="G1667" s="1612"/>
      <c r="H1667" s="1659"/>
      <c r="I1667" s="1620" t="s">
        <v>4086</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3980</v>
      </c>
      <c r="C1669" s="1676"/>
      <c r="D1669" s="1724"/>
      <c r="E1669" s="1372" t="s">
        <v>4196</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4122</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4123</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3981</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7.399999999999999">
      <c r="A1674" s="1508"/>
      <c r="B1674" s="1729"/>
      <c r="C1674" s="457" t="s">
        <v>3982</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4569</v>
      </c>
      <c r="D1675" s="1335" t="s">
        <v>4093</v>
      </c>
      <c r="E1675" s="1676"/>
      <c r="F1675" s="457"/>
      <c r="G1675" s="457"/>
      <c r="H1675" s="1468" t="str">
        <f>'Part IX Scoring Criteria'!H117</f>
        <v xml:space="preserve">MercyMed of Columbus </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3985</v>
      </c>
      <c r="D1676" s="1676"/>
      <c r="E1676" s="457"/>
      <c r="F1676" s="457"/>
      <c r="G1676" s="457"/>
      <c r="H1676" s="1676"/>
      <c r="I1676" s="1676"/>
      <c r="J1676" s="1676"/>
      <c r="K1676" s="1676"/>
      <c r="L1676" s="1676"/>
      <c r="M1676" s="1313"/>
      <c r="N1676" s="1627" t="s">
        <v>3776</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3986</v>
      </c>
      <c r="D1677" s="457"/>
      <c r="E1677" s="457"/>
      <c r="F1677" s="457"/>
      <c r="G1677" s="457"/>
      <c r="H1677" s="457"/>
      <c r="I1677" s="457"/>
      <c r="J1677" s="457"/>
      <c r="K1677" s="457"/>
      <c r="L1677" s="457"/>
      <c r="M1677" s="1578"/>
      <c r="N1677" s="1620" t="s">
        <v>3777</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4120</v>
      </c>
      <c r="D1678" s="1051"/>
      <c r="E1678" s="457"/>
      <c r="F1678" s="457"/>
      <c r="G1678" s="457"/>
      <c r="H1678" s="1051"/>
      <c r="I1678" s="1051"/>
      <c r="J1678" s="1051"/>
      <c r="K1678" s="1051"/>
      <c r="L1678" s="1638" t="s">
        <v>3813</v>
      </c>
      <c r="M1678" s="1638"/>
      <c r="N1678" s="1638"/>
      <c r="O1678" s="1638" t="s">
        <v>3812</v>
      </c>
      <c r="P1678" s="1638"/>
      <c r="Q1678" s="457"/>
      <c r="R1678" s="1051"/>
      <c r="S1678" s="1051"/>
      <c r="T1678" s="1051"/>
      <c r="U1678" s="1051"/>
      <c r="V1678" s="1051"/>
      <c r="W1678" s="1051"/>
      <c r="X1678" s="1051"/>
      <c r="Y1678" s="1051"/>
      <c r="Z1678" s="1051"/>
    </row>
    <row r="1679" spans="1:26" ht="71.400000000000006">
      <c r="A1679" s="1618"/>
      <c r="B1679" s="1620"/>
      <c r="C1679" s="1583" t="str">
        <f>'Part IX Scoring Criteria'!C121</f>
        <v xml:space="preserve">Wellness and preventive health care education and information </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71.400000000000006">
      <c r="A1680" s="1618"/>
      <c r="B1680" s="1627"/>
      <c r="C1680" s="1583" t="str">
        <f>'Part IX Scoring Criteria'!C122</f>
        <v xml:space="preserve">Basic screening for diseases such as high blood pressure or diabetes </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71.400000000000006">
      <c r="A1681" s="1618"/>
      <c r="B1681" s="1620"/>
      <c r="C1681" s="1583" t="str">
        <f>'Part IX Scoring Criteria'!C123</f>
        <v>Assess future disease risk factors such as high cholesterol and obesity</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20.399999999999999">
      <c r="A1682" s="1618"/>
      <c r="B1682" s="1620"/>
      <c r="C1682" s="1583" t="str">
        <f>'Part IX Scoring Criteria'!C124</f>
        <v xml:space="preserve">Biometric Screening </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monthly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4570</v>
      </c>
      <c r="D1683" s="457" t="s">
        <v>3987</v>
      </c>
      <c r="E1683" s="457"/>
      <c r="F1683" s="457"/>
      <c r="G1683" s="457"/>
      <c r="H1683" s="1676"/>
      <c r="I1683" s="1676"/>
      <c r="J1683" s="1676"/>
      <c r="K1683" s="1676"/>
      <c r="L1683" s="1676"/>
      <c r="M1683" s="1676"/>
      <c r="N1683" s="1627" t="s">
        <v>3776</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3988</v>
      </c>
      <c r="E1684" s="457"/>
      <c r="F1684" s="457"/>
      <c r="G1684" s="457"/>
      <c r="H1684" s="1676"/>
      <c r="I1684" s="1676"/>
      <c r="J1684" s="1676"/>
      <c r="K1684" s="1676"/>
      <c r="L1684" s="1676"/>
      <c r="M1684" s="1313"/>
      <c r="N1684" s="1620" t="s">
        <v>3777</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4124</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4152</v>
      </c>
      <c r="D1686" s="1618"/>
      <c r="E1686" s="1618"/>
      <c r="F1686" s="1618"/>
      <c r="G1686" s="1621" t="str">
        <f>'Part IX Scoring Criteria'!O128</f>
        <v>Yes</v>
      </c>
      <c r="H1686" s="1621">
        <f>'Part IX Scoring Criteria'!P128</f>
        <v>0</v>
      </c>
      <c r="I1686" s="1524" t="s">
        <v>4155</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4153</v>
      </c>
      <c r="D1687" s="1618"/>
      <c r="E1687" s="1618"/>
      <c r="F1687" s="1618"/>
      <c r="G1687" s="1621" t="str">
        <f>'Part IX Scoring Criteria'!O129</f>
        <v>Yes</v>
      </c>
      <c r="H1687" s="1621">
        <f>'Part IX Scoring Criteria'!P129</f>
        <v>0</v>
      </c>
      <c r="I1687" s="457" t="s">
        <v>4156</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4154</v>
      </c>
      <c r="D1688" s="1618"/>
      <c r="E1688" s="1618"/>
      <c r="F1688" s="1618"/>
      <c r="G1688" s="1621" t="str">
        <f>'Part IX Scoring Criteria'!O130</f>
        <v>Yes</v>
      </c>
      <c r="H1688" s="1621">
        <f>'Part IX Scoring Criteria'!P130</f>
        <v>0</v>
      </c>
      <c r="I1688" s="1524" t="s">
        <v>4157</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3814</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7.399999999999999">
      <c r="A1692" s="1618"/>
      <c r="B1692" s="457"/>
      <c r="C1692" s="457" t="s">
        <v>3989</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4571</v>
      </c>
      <c r="D1693" s="1643"/>
      <c r="E1693" s="1643"/>
      <c r="F1693" s="1643"/>
      <c r="G1693" s="1524" t="s">
        <v>3990</v>
      </c>
      <c r="H1693" s="457"/>
      <c r="I1693" s="1643"/>
      <c r="J1693" s="1643"/>
      <c r="K1693" s="1643"/>
      <c r="L1693" s="1643"/>
      <c r="M1693" s="1620" t="s">
        <v>2435</v>
      </c>
      <c r="N1693" s="1620" t="s">
        <v>3776</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3991</v>
      </c>
      <c r="H1694" s="457"/>
      <c r="I1694" s="1643"/>
      <c r="J1694" s="1643"/>
      <c r="K1694" s="1643"/>
      <c r="L1694" s="1643"/>
      <c r="M1694" s="1578"/>
      <c r="N1694" s="1627" t="s">
        <v>3777</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3992</v>
      </c>
      <c r="H1695" s="457"/>
      <c r="I1695" s="1643"/>
      <c r="J1695" s="1643"/>
      <c r="K1695" s="1643"/>
      <c r="L1695" s="1643"/>
      <c r="M1695" s="1578"/>
      <c r="N1695" s="1620" t="s">
        <v>3778</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3993</v>
      </c>
      <c r="H1696" s="457"/>
      <c r="I1696" s="1643"/>
      <c r="J1696" s="1643"/>
      <c r="K1696" s="1643"/>
      <c r="L1696" s="1643"/>
      <c r="M1696" s="1578"/>
      <c r="N1696" s="1620" t="s">
        <v>3780</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3994</v>
      </c>
      <c r="H1697" s="457"/>
      <c r="I1697" s="1643"/>
      <c r="J1697" s="1643"/>
      <c r="K1697" s="1643"/>
      <c r="L1697" s="1643"/>
      <c r="M1697" s="1578"/>
      <c r="N1697" s="1627" t="s">
        <v>3781</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4572</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3828</v>
      </c>
      <c r="D1699" s="1051"/>
      <c r="E1699" s="457"/>
      <c r="F1699" s="457"/>
      <c r="G1699" s="1051" t="s">
        <v>4125</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91.8">
      <c r="A1700" s="1618"/>
      <c r="B1700" s="1620"/>
      <c r="C1700" s="1583" t="str">
        <f>'Part IX Scoring Criteria'!C146</f>
        <v xml:space="preserve">Healthy Eating Program </v>
      </c>
      <c r="D1700" s="1583">
        <f>'Part IX Scoring Criteria'!D146</f>
        <v>0</v>
      </c>
      <c r="E1700" s="1583">
        <f>'Part IX Scoring Criteria'!E146</f>
        <v>0</v>
      </c>
      <c r="F1700" s="1583">
        <f>'Part IX Scoring Criteria'!F146</f>
        <v>0</v>
      </c>
      <c r="G1700" s="1583" t="str">
        <f>'Part IX Scoring Criteria'!G146</f>
        <v>Food preparation and cooking demonstrations in the on-site community room and kitchen</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102">
      <c r="A1701" s="1618"/>
      <c r="B1701" s="1627"/>
      <c r="C1701" s="1583" t="str">
        <f>'Part IX Scoring Criteria'!C147</f>
        <v>Healthy Lifestyle Program</v>
      </c>
      <c r="D1701" s="1583">
        <f>'Part IX Scoring Criteria'!D147</f>
        <v>0</v>
      </c>
      <c r="E1701" s="1583">
        <f>'Part IX Scoring Criteria'!E147</f>
        <v>0</v>
      </c>
      <c r="F1701" s="1583">
        <f>'Part IX Scoring Criteria'!F147</f>
        <v>0</v>
      </c>
      <c r="G1701" s="1583" t="str">
        <f>'Part IX Scoring Criteria'!G147</f>
        <v xml:space="preserve">Healthy activity implementation encouraging residents to make use of the on-site fitness center </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4159</v>
      </c>
      <c r="B1702" s="1468"/>
      <c r="C1702" s="1583" t="str">
        <f>'Part IX Scoring Criteria'!C148</f>
        <v>Ongoing online content</v>
      </c>
      <c r="D1702" s="1583">
        <f>'Part IX Scoring Criteria'!D148</f>
        <v>0</v>
      </c>
      <c r="E1702" s="1583">
        <f>'Part IX Scoring Criteria'!E148</f>
        <v>0</v>
      </c>
      <c r="F1702" s="1583">
        <f>'Part IX Scoring Criteria'!F148</f>
        <v>0</v>
      </c>
      <c r="G1702" s="1583" t="str">
        <f>'Part IX Scoring Criteria'!G148</f>
        <v>Fairway Management presents content via the lifestyle section of its website: www.fairwaymanagement.com/lifestyle</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61.2">
      <c r="A1703" s="1468"/>
      <c r="B1703" s="1468"/>
      <c r="C1703" s="1583" t="str">
        <f>'Part IX Scoring Criteria'!C149</f>
        <v xml:space="preserve">Weight Management </v>
      </c>
      <c r="D1703" s="1583">
        <f>'Part IX Scoring Criteria'!D149</f>
        <v>0</v>
      </c>
      <c r="E1703" s="1583">
        <f>'Part IX Scoring Criteria'!E149</f>
        <v>0</v>
      </c>
      <c r="F1703" s="1583">
        <f>'Part IX Scoring Criteria'!F149</f>
        <v>0</v>
      </c>
      <c r="G1703" s="1583" t="str">
        <f>'Part IX Scoring Criteria'!G149</f>
        <v xml:space="preserve">Healthy eating encouraging use of community gardens </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3961</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3998</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4.4">
      <c r="A1710" s="1659"/>
      <c r="B1710" s="1524" t="s">
        <v>3823</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4573</v>
      </c>
      <c r="C1712" s="1583"/>
      <c r="D1712" s="1583"/>
      <c r="E1712" s="457" t="s">
        <v>3820</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3822</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2903</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3818</v>
      </c>
      <c r="I1715" s="1550" t="s">
        <v>3862</v>
      </c>
      <c r="J1715" s="1550"/>
      <c r="K1715" s="1550"/>
      <c r="L1715" s="1550"/>
      <c r="M1715" s="1389" t="s">
        <v>3817</v>
      </c>
      <c r="N1715" s="1389"/>
      <c r="O1715" s="1389" t="s">
        <v>3821</v>
      </c>
      <c r="P1715" s="1389"/>
      <c r="Q1715" s="1550"/>
      <c r="R1715" s="1659"/>
      <c r="S1715" s="1659"/>
      <c r="T1715" s="1659"/>
      <c r="U1715" s="1659"/>
      <c r="V1715" s="1659"/>
      <c r="W1715" s="1659"/>
      <c r="X1715" s="1659"/>
      <c r="Y1715" s="1659"/>
      <c r="Z1715" s="1659"/>
    </row>
    <row r="1716" spans="1:26" ht="21.6">
      <c r="A1716" s="1508"/>
      <c r="B1716" s="1735" t="s">
        <v>3815</v>
      </c>
      <c r="C1716" s="1517"/>
      <c r="D1716" s="1335" t="s">
        <v>4574</v>
      </c>
      <c r="E1716" s="1335"/>
      <c r="F1716" s="1335"/>
      <c r="G1716" s="1603" t="s">
        <v>3397</v>
      </c>
      <c r="H1716" s="1587"/>
      <c r="I1716" s="1626">
        <v>2014</v>
      </c>
      <c r="J1716" s="1626">
        <v>2015</v>
      </c>
      <c r="K1716" s="1626">
        <v>2016</v>
      </c>
      <c r="L1716" s="1626">
        <v>2017</v>
      </c>
      <c r="M1716" s="1389"/>
      <c r="N1716" s="1389"/>
      <c r="O1716" s="1389"/>
      <c r="P1716" s="1389"/>
      <c r="Q1716" s="1736" t="s">
        <v>3816</v>
      </c>
      <c r="R1716" s="1736"/>
      <c r="S1716" s="1659"/>
      <c r="T1716" s="1659"/>
      <c r="U1716" s="1659"/>
      <c r="V1716" s="1659"/>
      <c r="W1716" s="1659"/>
      <c r="X1716" s="1659"/>
      <c r="Y1716" s="1659"/>
      <c r="Z1716" s="1659"/>
    </row>
    <row r="1717" spans="1:26" ht="14.4">
      <c r="A1717" s="1620" t="s">
        <v>2435</v>
      </c>
      <c r="B1717" s="1556" t="s">
        <v>3997</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2436</v>
      </c>
      <c r="B1718" s="1556" t="s">
        <v>4160</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2437</v>
      </c>
      <c r="B1719" s="1556" t="s">
        <v>3995</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2438</v>
      </c>
      <c r="B1721" s="1738" t="s">
        <v>3997</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2439</v>
      </c>
      <c r="B1722" s="1738" t="s">
        <v>3996</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2455</v>
      </c>
      <c r="B1723" s="1738" t="s">
        <v>3995</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3999</v>
      </c>
      <c r="C1725" s="1676"/>
      <c r="D1725" s="1724"/>
      <c r="E1725" s="1724"/>
      <c r="F1725" s="1709" t="s">
        <v>3390</v>
      </c>
      <c r="G1725" s="1676"/>
      <c r="H1725" s="1524" t="s">
        <v>3863</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4162</v>
      </c>
      <c r="F1726" s="1741" t="s">
        <v>3658</v>
      </c>
      <c r="G1726" s="1491" t="s">
        <v>3398</v>
      </c>
      <c r="H1726" s="1491"/>
      <c r="I1726" s="1491"/>
      <c r="J1726" s="1491"/>
      <c r="K1726" s="1491"/>
      <c r="L1726" s="1491"/>
      <c r="M1726" s="1491"/>
      <c r="N1726" s="1491"/>
      <c r="O1726" s="1051"/>
      <c r="P1726" s="1648"/>
      <c r="Q1726" s="1051"/>
      <c r="R1726" s="1051" t="s">
        <v>2832</v>
      </c>
      <c r="S1726" s="1051"/>
      <c r="T1726" s="1638" t="str">
        <f>'Part I-Project Information'!$F$38</f>
        <v>Columbus</v>
      </c>
      <c r="U1726" s="1638"/>
      <c r="V1726" s="1638"/>
      <c r="W1726" s="1638"/>
      <c r="X1726" s="1638"/>
      <c r="Y1726" s="1051"/>
      <c r="Z1726" s="1051"/>
    </row>
    <row r="1727" spans="1:26" ht="12.75" customHeight="1">
      <c r="A1727" s="1618"/>
      <c r="B1727" s="1741" t="s">
        <v>4002</v>
      </c>
      <c r="C1727" s="1741"/>
      <c r="D1727" s="1741"/>
      <c r="E1727" s="1741"/>
      <c r="F1727" s="1741"/>
      <c r="G1727" s="1583" t="s">
        <v>4001</v>
      </c>
      <c r="H1727" s="1583"/>
      <c r="I1727" s="1583"/>
      <c r="J1727" s="1583"/>
      <c r="K1727" s="1583"/>
      <c r="L1727" s="1583"/>
      <c r="M1727" s="1583"/>
      <c r="N1727" s="1583"/>
      <c r="O1727" s="1741" t="s">
        <v>3659</v>
      </c>
      <c r="P1727" s="1741"/>
      <c r="Q1727" s="1051"/>
      <c r="R1727" s="1638" t="s">
        <v>2833</v>
      </c>
      <c r="S1727" s="1051"/>
      <c r="T1727" s="1638" t="str">
        <f>'Part I-Project Information'!$J$39</f>
        <v>Muscogee</v>
      </c>
      <c r="U1727" s="1638"/>
      <c r="V1727" s="1638"/>
      <c r="W1727" s="1638"/>
      <c r="X1727" s="1638"/>
      <c r="Y1727" s="1051"/>
      <c r="Z1727" s="1051"/>
    </row>
    <row r="1728" spans="1:26">
      <c r="A1728" s="1618"/>
      <c r="B1728" s="457" t="s">
        <v>3824</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2834</v>
      </c>
      <c r="S1728" s="1051"/>
      <c r="T1728" s="1638" t="str">
        <f>'Part I-Project Information'!$O$40</f>
        <v>Columbus</v>
      </c>
      <c r="U1728" s="1638"/>
      <c r="V1728" s="1638"/>
      <c r="W1728" s="1638"/>
      <c r="X1728" s="1638"/>
      <c r="Y1728" s="1051"/>
      <c r="Z1728" s="1051"/>
    </row>
    <row r="1729" spans="1:26" ht="12.75" customHeight="1">
      <c r="A1729" s="1618"/>
      <c r="B1729" s="1550" t="s">
        <v>4000</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3856</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3857</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3624</v>
      </c>
      <c r="S1731" s="1051"/>
      <c r="T1731" s="1638" t="str">
        <f>'Part I-Project Information'!$K$40</f>
        <v>Urban</v>
      </c>
      <c r="U1731" s="1638"/>
      <c r="V1731" s="1638"/>
      <c r="W1731" s="1638"/>
      <c r="X1731" s="1638"/>
      <c r="Y1731" s="1051"/>
      <c r="Z1731" s="1051"/>
    </row>
    <row r="1732" spans="1:26">
      <c r="A1732" s="1738"/>
      <c r="B1732" s="1647" t="s">
        <v>3623</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4161</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4003</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3878</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3750</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799999999999997">
      <c r="A1739" s="1583" t="str">
        <f>'Part IX Scoring Criteria'!A185</f>
        <v>Applicant is not claiming points in this category.</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4009</v>
      </c>
      <c r="C1743" s="1676"/>
      <c r="D1743" s="1677"/>
      <c r="E1743" s="1677"/>
      <c r="F1743" s="1676"/>
      <c r="G1743" s="1676"/>
      <c r="H1743" s="1525" t="s">
        <v>4010</v>
      </c>
      <c r="I1743" s="1749"/>
      <c r="J1743" s="1749"/>
      <c r="K1743" s="1578"/>
      <c r="L1743" s="1578"/>
      <c r="M1743" s="1496">
        <v>7</v>
      </c>
      <c r="N1743" s="1313"/>
      <c r="O1743" s="1658">
        <f>'Part IX Scoring Criteria'!O189</f>
        <v>7</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4575</v>
      </c>
      <c r="C1745" s="1503"/>
      <c r="D1745" s="1503"/>
      <c r="E1745" s="1335" t="s">
        <v>4172</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4127</v>
      </c>
      <c r="D1747" s="1583"/>
      <c r="E1747" s="1583"/>
      <c r="F1747" s="1583"/>
      <c r="G1747" s="1583"/>
      <c r="H1747" s="1583"/>
      <c r="I1747" s="1583"/>
      <c r="J1747" s="1627" t="s">
        <v>2435</v>
      </c>
      <c r="K1747" s="1621" t="str">
        <f>'Part IX Scoring Criteria'!K193</f>
        <v>Yes</v>
      </c>
      <c r="L1747" s="1621">
        <f>'Part IX Scoring Criteria'!L193</f>
        <v>0</v>
      </c>
      <c r="M1747" s="1851" t="str">
        <f>'Part IX Scoring Criteria'!M193</f>
        <v>3,4 and 13-15</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4576</v>
      </c>
      <c r="D1749" s="1583"/>
      <c r="E1749" s="1583"/>
      <c r="F1749" s="1583"/>
      <c r="G1749" s="1583"/>
      <c r="H1749" s="1659"/>
      <c r="I1749" s="1659"/>
      <c r="J1749" s="1620" t="s">
        <v>2436</v>
      </c>
      <c r="K1749" s="1621" t="str">
        <f>'Part IX Scoring Criteria'!K195</f>
        <v>Yes</v>
      </c>
      <c r="L1749" s="1621">
        <f>'Part IX Scoring Criteria'!L195</f>
        <v>0</v>
      </c>
      <c r="M1749" s="1851" t="str">
        <f>'Part IX Scoring Criteria'!M195</f>
        <v>Page 2 of the Resolution</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t="str">
        <f>'Part IX Scoring Criteria'!K196</f>
        <v>Yes</v>
      </c>
      <c r="L1750" s="1621">
        <f>'Part IX Scoring Criteria'!L196</f>
        <v>0</v>
      </c>
      <c r="M1750" s="1851" t="str">
        <f>'Part IX Scoring Criteria'!M196</f>
        <v>16-29</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4013</v>
      </c>
      <c r="D1751" s="1604"/>
      <c r="E1751" s="1604"/>
      <c r="F1751" s="1604"/>
      <c r="G1751" s="1604"/>
      <c r="H1751" s="1604"/>
      <c r="I1751" s="1596"/>
      <c r="J1751" s="1627" t="s">
        <v>2438</v>
      </c>
      <c r="K1751" s="1621" t="str">
        <f>'Part IX Scoring Criteria'!K198</f>
        <v>Yes</v>
      </c>
      <c r="L1751" s="1621">
        <f>'Part IX Scoring Criteria'!L198</f>
        <v>0</v>
      </c>
      <c r="M1751" s="1851" t="str">
        <f>'Part IX Scoring Criteria'!M198</f>
        <v>30, 45-47</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4169</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4004</v>
      </c>
      <c r="D1753" s="1604"/>
      <c r="E1753" s="1604"/>
      <c r="F1753" s="1604"/>
      <c r="G1753" s="1604"/>
      <c r="H1753" s="1604"/>
      <c r="I1753" s="1596"/>
      <c r="J1753" s="1627" t="s">
        <v>2439</v>
      </c>
      <c r="K1753" s="1621" t="str">
        <f>'Part IX Scoring Criteria'!K197</f>
        <v>Yes</v>
      </c>
      <c r="L1753" s="1621">
        <f>'Part IX Scoring Criteria'!L197</f>
        <v>0</v>
      </c>
      <c r="M1753" s="1851" t="str">
        <f>'Part IX Scoring Criteria'!M197</f>
        <v>14 and 29-30</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t="str">
        <f>'Part IX Scoring Criteria'!K199</f>
        <v>Yes</v>
      </c>
      <c r="L1754" s="1621">
        <f>'Part IX Scoring Criteria'!L199</f>
        <v>0</v>
      </c>
      <c r="M1754" s="1851" t="str">
        <f>'Part IX Scoring Criteria'!M199</f>
        <v>30, 45-47</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4005</v>
      </c>
      <c r="D1755" s="1604"/>
      <c r="E1755" s="1604"/>
      <c r="F1755" s="1604"/>
      <c r="G1755" s="1596"/>
      <c r="H1755" s="1596"/>
      <c r="I1755" s="1596"/>
      <c r="J1755" s="1627" t="s">
        <v>2456</v>
      </c>
      <c r="K1755" s="1621" t="str">
        <f>'Part IX Scoring Criteria'!K200</f>
        <v>Yes</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4006</v>
      </c>
      <c r="E1756" s="1604"/>
      <c r="F1756" s="1752" t="e">
        <f>'Part IX Scoring Criteria'!#REF!</f>
        <v>#REF!</v>
      </c>
      <c r="G1756" s="1752" t="e">
        <f>'Part IX Scoring Criteria'!#REF!</f>
        <v>#REF!</v>
      </c>
      <c r="H1756" s="1596"/>
      <c r="I1756" s="1604" t="s">
        <v>4007</v>
      </c>
      <c r="J1756" s="1596"/>
      <c r="K1756" s="1752">
        <f>'Part IX Scoring Criteria'!K201</f>
        <v>42353</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4577</v>
      </c>
      <c r="D1757" s="1604"/>
      <c r="E1757" s="1604"/>
      <c r="F1757" s="1604"/>
      <c r="G1757" s="1596"/>
      <c r="H1757" s="1596"/>
      <c r="I1757" s="1596"/>
      <c r="J1757" s="1627" t="s">
        <v>2457</v>
      </c>
      <c r="K1757" s="1621" t="str">
        <f>'Part IX Scoring Criteria'!K202</f>
        <v>Agree</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4128</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4008</v>
      </c>
      <c r="M1761" s="1313">
        <v>5</v>
      </c>
      <c r="N1761" s="1618" t="s">
        <v>1983</v>
      </c>
      <c r="O1761" s="1753">
        <f>'Part IX Scoring Criteria'!O205</f>
        <v>5</v>
      </c>
      <c r="P1761" s="1753">
        <f>'Part IX Scoring Criteria'!P205</f>
        <v>0</v>
      </c>
      <c r="Q1761" s="1372"/>
      <c r="X1761" s="1322"/>
      <c r="Y1761" s="1620"/>
    </row>
    <row r="1762" spans="1:26" ht="12.75" customHeight="1">
      <c r="A1762" s="1618"/>
      <c r="B1762" s="1733" t="s">
        <v>1986</v>
      </c>
      <c r="C1762" s="1583" t="s">
        <v>4578</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3</v>
      </c>
      <c r="P1762" s="1697">
        <f>'Part IX Scoring Criteria'!P206</f>
        <v>0</v>
      </c>
      <c r="Q1762" s="1698" t="str">
        <f>IF(OR($O1762=$M1762,$O1762=0,$O1762=""),"","*CHECK!*")</f>
        <v/>
      </c>
      <c r="R1762" s="1331" t="s">
        <v>2706</v>
      </c>
    </row>
    <row r="1763" spans="1:26" ht="12.75" customHeight="1">
      <c r="A1763" s="1618"/>
      <c r="B1763" s="1733" t="s">
        <v>1988</v>
      </c>
      <c r="C1763" s="1648" t="s">
        <v>4579</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2</v>
      </c>
      <c r="P1763" s="1697">
        <f>'Part IX Scoring Criteria'!P207</f>
        <v>0</v>
      </c>
      <c r="Q1763" s="1698" t="str">
        <f>IF(OR($O1763=$M1763,$O1763=0,$O1763=""),"","*CHECK!*")</f>
        <v/>
      </c>
      <c r="R1763" s="1331" t="s">
        <v>2706</v>
      </c>
    </row>
    <row r="1764" spans="1:26">
      <c r="A1764" s="1618"/>
      <c r="B1764" s="1647"/>
      <c r="C1764" s="1647" t="s">
        <v>3775</v>
      </c>
      <c r="E1764" s="1647" t="str">
        <f>'Part I-Project Information'!$N$39</f>
        <v>Yes</v>
      </c>
      <c r="G1764" s="1647" t="s">
        <v>3575</v>
      </c>
      <c r="I1764" s="1754" t="str">
        <f>'Part I-Project Information'!$O$38</f>
        <v>13215002902</v>
      </c>
      <c r="J1764" s="1754"/>
      <c r="K1764" s="1524" t="s">
        <v>3374</v>
      </c>
      <c r="M1764" s="1524" t="str">
        <f>'Part IV-A-Uses of Funds'!$H$152</f>
        <v>DDA/QCT</v>
      </c>
    </row>
    <row r="1765" spans="1:26">
      <c r="A1765" s="1618"/>
      <c r="B1765" s="1647"/>
      <c r="D1765" s="1626"/>
      <c r="E1765" s="1647"/>
      <c r="G1765" s="1524"/>
      <c r="K1765" s="1524"/>
      <c r="L1765" s="1524"/>
    </row>
    <row r="1766" spans="1:26" ht="13.8">
      <c r="A1766" s="1508" t="s">
        <v>1985</v>
      </c>
      <c r="B1766" s="1503" t="s">
        <v>4011</v>
      </c>
      <c r="D1766" s="1314"/>
      <c r="K1766" s="1512"/>
      <c r="L1766" s="1625" t="str">
        <f>IF(OR($O1766=$M1766,$O1766=0,$O1766=""),"","* * Check Score! * *")</f>
        <v/>
      </c>
      <c r="M1766" s="1313">
        <v>2</v>
      </c>
      <c r="N1766" s="1618" t="s">
        <v>1985</v>
      </c>
      <c r="O1766" s="1658">
        <f>'Part IX Scoring Criteria'!O210</f>
        <v>2</v>
      </c>
      <c r="P1766" s="1658">
        <f>'Part IX Scoring Criteria'!P210</f>
        <v>0</v>
      </c>
      <c r="Q1766" s="1698" t="str">
        <f>IF(OR($O1766=$M1766,$O1766=0,$O1766=""),"","*CHECK!*")</f>
        <v/>
      </c>
      <c r="R1766" s="1331" t="s">
        <v>2706</v>
      </c>
    </row>
    <row r="1767" spans="1:26" ht="17.399999999999999">
      <c r="A1767" s="1508"/>
      <c r="B1767" s="457" t="s">
        <v>2794</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20.399999999999999">
      <c r="A1768" s="1624"/>
      <c r="B1768" s="457" t="s">
        <v>3853</v>
      </c>
      <c r="C1768" s="1659"/>
      <c r="D1768" s="1659"/>
      <c r="E1768" s="1659"/>
      <c r="F1768" s="1659"/>
      <c r="G1768" s="1659"/>
      <c r="H1768" s="1659"/>
      <c r="I1768" s="1659"/>
      <c r="J1768" s="1550" t="str">
        <f>'Part IX Scoring Criteria'!J212</f>
        <v xml:space="preserve">Ft. Benning Road Roundabout </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3854</v>
      </c>
      <c r="C1769" s="1659"/>
      <c r="D1769" s="1659"/>
      <c r="E1769" s="1659"/>
      <c r="F1769" s="1659"/>
      <c r="G1769" s="1659"/>
      <c r="H1769" s="1659"/>
      <c r="I1769" s="1746" t="str">
        <f>IF($J$215="Government", "Additional documentation required - see QAP.","")</f>
        <v/>
      </c>
      <c r="J1769" s="1638" t="str">
        <f>'Part IX Scoring Criteria'!J213</f>
        <v>Other (describe in Justification Box)</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7.399999999999999">
      <c r="A1770" s="1562"/>
      <c r="B1770" s="1647" t="s">
        <v>4186</v>
      </c>
      <c r="F1770" s="1596"/>
      <c r="G1770" s="1596"/>
      <c r="H1770" s="1596"/>
      <c r="L1770" s="1612" t="str">
        <f>'Part IX Scoring Criteria'!J215</f>
        <v>Yes</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3784</v>
      </c>
      <c r="G1771" s="1604"/>
      <c r="J1771" s="1853">
        <f>'Part IX Scoring Criteria'!O215</f>
        <v>0.08</v>
      </c>
      <c r="K1771" s="1755" t="s">
        <v>3783</v>
      </c>
      <c r="L1771" s="1596"/>
      <c r="N1771" s="1320"/>
      <c r="O1771" s="1322"/>
      <c r="P1771" s="1322"/>
      <c r="V1771" s="1726"/>
      <c r="W1771" s="1726"/>
    </row>
    <row r="1772" spans="1:26" ht="18.75" customHeight="1">
      <c r="A1772" s="1756" t="s">
        <v>4166</v>
      </c>
      <c r="B1772" s="1583" t="s">
        <v>4163</v>
      </c>
      <c r="C1772" s="1583"/>
      <c r="D1772" s="1573" t="str">
        <f>'Part IX Scoring Criteria'!D218</f>
        <v xml:space="preserve">Funding for the Ft. Benning Road Roundabout is funded through a stormwater/sewer fund, bond proceeds, 2009 SPLOST Funds and 1999 SPLOST Funds.  </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4164</v>
      </c>
      <c r="C1773" s="1583"/>
      <c r="D1773" s="1573" t="str">
        <f>'Part IX Scoring Criteria'!D219</f>
        <v xml:space="preserve">The redevelopment paln outlines the desired end result of the tax allocation districts, which includes street construction, expansion, streetscape, landscaping, curb and sidewalk expansion and traffic control.  </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4165</v>
      </c>
      <c r="C1774" s="1468"/>
      <c r="D1774" s="1573" t="str">
        <f>'Part IX Scoring Criteria'!D220</f>
        <v xml:space="preserve">The investment will benefit the tenant base by providing ease of access to the site and superior connectivity to the surrounding neighborhood amenities.  </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3453</v>
      </c>
      <c r="G1775" s="457" t="s">
        <v>2629</v>
      </c>
      <c r="H1775" s="457"/>
      <c r="J1775" s="1854">
        <f>'Part IX Scoring Criteria'!J221</f>
        <v>4186038</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4580</v>
      </c>
      <c r="D1776" s="1582"/>
      <c r="E1776" s="1659"/>
      <c r="F1776" s="1659"/>
      <c r="G1776" s="1757">
        <f>'Part IV-A-Uses of Funds'!$G$132</f>
        <v>14176065</v>
      </c>
      <c r="H1776" s="1757"/>
      <c r="I1776" s="1659"/>
      <c r="J1776" s="1758">
        <f>'Part IX Scoring Criteria'!J222</f>
        <v>0.29528913700663761</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3750</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409.6">
      <c r="A1778" s="1583" t="str">
        <f>'Part IX Scoring Criteria'!A224</f>
        <v xml:space="preserve">Applicant is claiming 7 points as the property is located within target area for the Benning Technology Park/Southeast Columbus Redevelopment Area.  The plan meets the guidelines and requirements for Redevelopment Plans per the QAP.  Please find the Redevelopment Plan in Tab 32.  The site is located within a 2019 QCT, as shown on a map in Tab 32.  Finally, the development is within ½ mile of a Third Party Capital Investment for the Ft. Benning Road Roundabout Project.  The Roundabout project was budgeted to cost $4,186,038, which represents 29.5% of the TDC.  Information about the cost of the project and the timeline is included in Tab 32 for reference.   Per an email from Ryan Pruett, Project Engineer with the Columbus Consolidated Government, the Ft. Benning Project was actually expanded to include additional streetscapes and was awarded to Alexander Contracting Co in April, 2018.  The work has begun and is ongoing, but will be complete by 12/31/2020, prior to placed-in-service of the proposed development.  The investment in the road and streetscape is a significant improvement to the infrastructure in the immediate area.  The enhancements will increase walkability, connectivity, pedestrian safety and access to thoroughfares for the tenant base.  </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4012</v>
      </c>
      <c r="C1782" s="1582"/>
      <c r="D1782" s="1582"/>
      <c r="E1782" s="1582"/>
      <c r="F1782" s="1582"/>
      <c r="G1782" s="1582"/>
      <c r="H1782" s="1582"/>
      <c r="I1782" s="1582"/>
      <c r="J1782" s="1582"/>
      <c r="K1782" s="1611" t="s">
        <v>3245</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4.4">
      <c r="A1783" s="1508"/>
      <c r="B1783" s="1612" t="s">
        <v>4014</v>
      </c>
      <c r="C1783" s="1659"/>
      <c r="D1783" s="1051" t="s">
        <v>4015</v>
      </c>
      <c r="E1783" s="1659"/>
      <c r="F1783" s="1659"/>
      <c r="G1783" s="1659"/>
      <c r="H1783" s="1659"/>
      <c r="I1783" s="1659"/>
      <c r="J1783" s="1659"/>
      <c r="K1783" s="1753">
        <f>'Part IX Scoring Criteria'!K231</f>
        <v>7</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4016</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4017</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4018</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4019</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4581</v>
      </c>
      <c r="D1789" s="1314"/>
      <c r="G1789" s="1647" t="s">
        <v>3779</v>
      </c>
      <c r="Q1789" s="1372"/>
    </row>
    <row r="1790" spans="1:26">
      <c r="A1790" s="1618"/>
      <c r="B1790" s="457" t="s">
        <v>3858</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4020</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4582</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4022</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4024</v>
      </c>
      <c r="P1795" s="1468"/>
      <c r="Q1795" s="1604"/>
      <c r="S1795" s="1314"/>
      <c r="T1795" s="1314"/>
      <c r="U1795" s="1314"/>
      <c r="V1795" s="1726"/>
      <c r="W1795" s="1726"/>
      <c r="X1795" s="1314"/>
      <c r="Y1795" s="1314"/>
      <c r="Z1795" s="1314"/>
    </row>
    <row r="1796" spans="1:26" ht="17.399999999999999">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4023</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4024</v>
      </c>
      <c r="P1797" s="1468"/>
      <c r="Q1797" s="1604"/>
      <c r="S1797" s="1314"/>
      <c r="T1797" s="1314"/>
      <c r="U1797" s="1314"/>
      <c r="V1797" s="1726"/>
      <c r="W1797" s="1726"/>
      <c r="X1797" s="1314"/>
      <c r="Y1797" s="1314"/>
      <c r="Z1797" s="1314"/>
    </row>
    <row r="1798" spans="1:26" ht="17.399999999999999">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4025</v>
      </c>
      <c r="D1799" s="1604"/>
      <c r="E1799" s="1604"/>
      <c r="F1799" s="1604"/>
      <c r="G1799" s="1647" t="s">
        <v>3779</v>
      </c>
      <c r="H1799" s="1604"/>
      <c r="I1799" s="1604"/>
      <c r="J1799" s="1604"/>
      <c r="K1799" s="1604"/>
      <c r="L1799" s="1604"/>
      <c r="M1799" s="1604"/>
      <c r="N1799" s="1604"/>
      <c r="O1799" s="1578" t="s">
        <v>2510</v>
      </c>
      <c r="P1799" s="1578" t="s">
        <v>2510</v>
      </c>
      <c r="Q1799" s="1604"/>
    </row>
    <row r="1800" spans="1:26" ht="18.75" customHeight="1">
      <c r="A1800" s="1618"/>
      <c r="B1800" s="1759"/>
      <c r="C1800" s="1583" t="s">
        <v>4583</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7.399999999999999">
      <c r="A1801" s="1618"/>
      <c r="B1801" s="1620" t="s">
        <v>2435</v>
      </c>
      <c r="C1801" s="1635" t="s">
        <v>4131</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4129</v>
      </c>
      <c r="D1805" s="1582"/>
      <c r="E1805" s="1582"/>
      <c r="F1805" s="1582"/>
      <c r="G1805" s="1582"/>
      <c r="H1805" s="1582"/>
      <c r="I1805" s="1582"/>
      <c r="J1805" s="1582"/>
      <c r="K1805" s="1582"/>
      <c r="L1805" s="1583" t="s">
        <v>4133</v>
      </c>
      <c r="M1805" s="1583"/>
      <c r="N1805" s="1604" t="s">
        <v>4134</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4026</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4030</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3782</v>
      </c>
      <c r="D1811" s="1314"/>
      <c r="Q1811" s="1313"/>
    </row>
    <row r="1812" spans="1:26" ht="18.75" customHeight="1">
      <c r="A1812" s="1618"/>
      <c r="B1812" s="1760"/>
      <c r="C1812" s="1583" t="s">
        <v>4032</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4033</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4034</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4584</v>
      </c>
      <c r="D1816" s="1314"/>
      <c r="G1816" s="1647" t="s">
        <v>3779</v>
      </c>
      <c r="O1816" s="1578" t="s">
        <v>2510</v>
      </c>
      <c r="P1816" s="1578" t="s">
        <v>2510</v>
      </c>
      <c r="Q1816" s="1372"/>
    </row>
    <row r="1817" spans="1:26" ht="18.75" customHeight="1">
      <c r="A1817" s="1618"/>
      <c r="B1817" s="1733" t="s">
        <v>1986</v>
      </c>
      <c r="C1817" s="1583" t="s">
        <v>4028</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7.399999999999999">
      <c r="A1818" s="1618"/>
      <c r="B1818" s="1733" t="s">
        <v>1988</v>
      </c>
      <c r="C1818" s="1524" t="s">
        <v>4029</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3750</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30.6">
      <c r="A1820" s="1573" t="str">
        <f>'Part IX Scoring Criteria'!A273</f>
        <v>Applicant is not claiming points in this category.</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2786</v>
      </c>
      <c r="C1824" s="1676"/>
      <c r="D1824" s="1677"/>
      <c r="E1824" s="1677"/>
      <c r="F1824" s="1676"/>
      <c r="G1824" s="1676"/>
      <c r="H1824" s="1335" t="s">
        <v>4174</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3599</v>
      </c>
      <c r="B1826" s="1503" t="s">
        <v>3597</v>
      </c>
      <c r="C1826" s="1676"/>
      <c r="D1826" s="1677"/>
      <c r="E1826" s="1677"/>
      <c r="F1826" s="1676"/>
      <c r="G1826" s="1676"/>
      <c r="H1826" s="1335"/>
      <c r="I1826" s="1676"/>
      <c r="J1826" s="1676"/>
      <c r="K1826" s="1676"/>
      <c r="L1826" s="1676"/>
      <c r="M1826" s="1313">
        <v>3</v>
      </c>
      <c r="N1826" s="1721" t="s">
        <v>4037</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Flexible</v>
      </c>
      <c r="N1827" s="1721"/>
      <c r="O1827" s="1626" t="s">
        <v>2510</v>
      </c>
      <c r="P1827" s="1626" t="s">
        <v>2510</v>
      </c>
    </row>
    <row r="1828" spans="1:26" ht="12.75" customHeight="1">
      <c r="A1828" s="1764"/>
      <c r="B1828" s="1729" t="s">
        <v>1986</v>
      </c>
      <c r="C1828" s="1051" t="s">
        <v>2685</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t="str">
        <f>'Part IX Scoring Criteria'!H282</f>
        <v>&lt; Select &gt;</v>
      </c>
      <c r="I1829" s="1051" t="s">
        <v>2740</v>
      </c>
      <c r="L1829" s="457" t="s">
        <v>2738</v>
      </c>
      <c r="M1829" s="1577" t="str">
        <f>IF(O1829&gt;H1829,"CHECK ACTUAL PERCENT!!!","")</f>
        <v/>
      </c>
      <c r="N1829" s="1696" t="s">
        <v>1988</v>
      </c>
      <c r="O1829" s="1766">
        <f>'Part IX Scoring Criteria'!O282</f>
        <v>0</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&lt;Select&gt;</v>
      </c>
      <c r="P1830" s="1578" t="str">
        <f>'Part IX Scoring Criteria'!P283</f>
        <v>&lt;Select&gt;</v>
      </c>
      <c r="Q1830" s="1765"/>
      <c r="R1830" s="1765"/>
    </row>
    <row r="1831" spans="1:26" ht="12.75" customHeight="1">
      <c r="A1831" s="1596"/>
      <c r="B1831" s="1733" t="s">
        <v>1224</v>
      </c>
      <c r="C1831" s="1583" t="s">
        <v>4585</v>
      </c>
      <c r="D1831" s="1583"/>
      <c r="E1831" s="1583"/>
      <c r="F1831" s="1583"/>
      <c r="G1831" s="1583"/>
      <c r="H1831" s="1583"/>
      <c r="I1831" s="1583"/>
      <c r="J1831" s="1767" t="s">
        <v>4036</v>
      </c>
      <c r="K1831" s="1767" t="s">
        <v>4035</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4091</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0</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0</v>
      </c>
      <c r="P1835" s="1578">
        <f>'Part IX Scoring Criteria'!P289</f>
        <v>0</v>
      </c>
    </row>
    <row r="1836" spans="1:26">
      <c r="A1836" s="1531" t="s">
        <v>2115</v>
      </c>
      <c r="B1836" s="1729" t="s">
        <v>3600</v>
      </c>
      <c r="C1836" s="1051"/>
      <c r="G1836" s="1647" t="s">
        <v>3601</v>
      </c>
      <c r="H1836" s="1771">
        <f>'Part VI-Revenues &amp; Expenses'!$O$64</f>
        <v>9</v>
      </c>
      <c r="I1836" s="1626" t="s">
        <v>3603</v>
      </c>
      <c r="J1836" s="1771">
        <f>'Part VI-Revenues &amp; Expenses'!$O$67</f>
        <v>72</v>
      </c>
      <c r="K1836" s="1626" t="s">
        <v>3604</v>
      </c>
      <c r="L1836" s="1772">
        <f>IF(J1836=0,0,H1836/J1836)</f>
        <v>0.125</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4038</v>
      </c>
      <c r="C1840" s="1676"/>
      <c r="D1840" s="1677"/>
      <c r="E1840" s="1677"/>
      <c r="F1840" s="1676"/>
      <c r="G1840" s="1676"/>
      <c r="H1840" s="1335"/>
      <c r="I1840" s="1773" t="s">
        <v>3795</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3786</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3787</v>
      </c>
      <c r="D1842" s="1635"/>
      <c r="L1842" s="1635"/>
      <c r="M1842" s="1775"/>
      <c r="N1842" s="1620" t="s">
        <v>1985</v>
      </c>
      <c r="O1842" s="1621">
        <f>'Part IX Scoring Criteria'!O300</f>
        <v>0</v>
      </c>
      <c r="P1842" s="1621">
        <f>'Part IX Scoring Criteria'!P300</f>
        <v>0</v>
      </c>
      <c r="U1842" s="1626">
        <f>IF(L1842="Yes",1,0)</f>
        <v>0</v>
      </c>
    </row>
    <row r="1843" spans="1:26" ht="14.4">
      <c r="A1843" s="1314"/>
      <c r="B1843" s="1677" t="s">
        <v>3750</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40.799999999999997">
      <c r="A1844" s="1583" t="str">
        <f>'Part IX Scoring Criteria'!A302</f>
        <v>Applicant is not claiming points in this category.</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2459</v>
      </c>
      <c r="C1848" s="1659"/>
      <c r="D1848" s="1695"/>
      <c r="E1848" s="1695"/>
      <c r="F1848" s="1695"/>
      <c r="G1848" s="1659"/>
      <c r="H1848" s="1709" t="s">
        <v>3390</v>
      </c>
      <c r="I1848" s="1659"/>
      <c r="J1848" s="1577" t="s">
        <v>2794</v>
      </c>
      <c r="K1848" s="1317"/>
      <c r="L1848" s="1577" t="str">
        <f>'Part I-Project Information'!$H$105</f>
        <v>Flexible</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4586</v>
      </c>
      <c r="D1849" s="1314"/>
      <c r="E1849" s="1314"/>
      <c r="F1849" s="1314"/>
      <c r="H1849" s="1577" t="s">
        <v>3681</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4187</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4587</v>
      </c>
      <c r="R1850" s="1583"/>
      <c r="S1850" s="1583"/>
      <c r="T1850" s="1583"/>
      <c r="U1850" s="1583"/>
      <c r="V1850" s="1583"/>
      <c r="W1850" s="1583"/>
      <c r="X1850" s="1583"/>
      <c r="Y1850" s="1583"/>
      <c r="Z1850" s="1583"/>
    </row>
    <row r="1851" spans="1:26">
      <c r="A1851" s="457"/>
      <c r="B1851" s="1729"/>
      <c r="C1851" s="457" t="s">
        <v>3801</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3855</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4588</v>
      </c>
      <c r="C1856" s="1314"/>
      <c r="D1856" s="1314"/>
      <c r="E1856" s="1314"/>
      <c r="F1856" s="1314"/>
      <c r="G1856" s="1314"/>
      <c r="H1856" s="1709" t="s">
        <v>3391</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1985</v>
      </c>
      <c r="O1857" s="1658">
        <f>'Part IX Scoring Criteria'!O316</f>
        <v>3</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4589</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3</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4590</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4591</v>
      </c>
      <c r="C1860" s="1314"/>
      <c r="D1860" s="1314"/>
      <c r="E1860" s="1314"/>
      <c r="F1860" s="1314"/>
      <c r="G1860" s="1314"/>
      <c r="H1860" s="1709" t="s">
        <v>4044</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4592</v>
      </c>
      <c r="D1863" s="1314"/>
      <c r="E1863" s="1314"/>
      <c r="F1863" s="1314"/>
      <c r="G1863" s="1524"/>
      <c r="H1863" s="1525"/>
      <c r="I1863" s="1524"/>
      <c r="K1863" s="1500"/>
      <c r="L1863" s="1500"/>
      <c r="M1863" s="1320">
        <v>3</v>
      </c>
      <c r="N1863" s="1776" t="s">
        <v>1988</v>
      </c>
      <c r="O1863" s="1658">
        <f>'Part IX Scoring Criteria'!O322</f>
        <v>0</v>
      </c>
      <c r="P1863" s="1658">
        <f>'Part IX Scoring Criteria'!P322</f>
        <v>0</v>
      </c>
      <c r="Q1863" s="1698" t="str">
        <f>IF(OR($O1863=$M1863,$O1863=0,$O1863=""),"","*CHECK!*")</f>
        <v/>
      </c>
      <c r="R1863" s="1740" t="s">
        <v>2706</v>
      </c>
    </row>
    <row r="1864" spans="1:26">
      <c r="A1864" s="1621" t="s">
        <v>1353</v>
      </c>
      <c r="B1864" s="1733" t="s">
        <v>2534</v>
      </c>
      <c r="C1864" s="1633" t="s">
        <v>4593</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4.4">
      <c r="A1865" s="1314"/>
      <c r="B1865" s="1677" t="s">
        <v>3750</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73.4">
      <c r="A1866" s="1583" t="str">
        <f>'Part IX Scoring Criteria'!A325</f>
        <v>There have been no 9% credit awards within the last Six (6) DCA funding cycles that are within one mile from the proposed site. Applicant is eligible for three points in this category.</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7.399999999999999">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7.399999999999999">
      <c r="A1874" s="1508"/>
      <c r="B1874" s="1524" t="s">
        <v>4045</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2782</v>
      </c>
      <c r="B1878" s="1661" t="s">
        <v>4046</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4047</v>
      </c>
      <c r="C1879" s="1543"/>
      <c r="D1879" s="1638"/>
      <c r="E1879" s="457"/>
      <c r="F1879" s="1659"/>
      <c r="G1879" s="1532">
        <f>'Part IX Scoring Criteria'!G343</f>
        <v>0</v>
      </c>
      <c r="H1879" s="1659"/>
      <c r="I1879" s="1659"/>
      <c r="J1879" s="1524" t="s">
        <v>2686</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3459</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4064</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2534</v>
      </c>
      <c r="C1882" s="457" t="s">
        <v>4063</v>
      </c>
      <c r="D1882" s="1314"/>
      <c r="E1882" s="1676"/>
      <c r="F1882" s="1676"/>
      <c r="G1882" s="1676"/>
      <c r="H1882" s="1676"/>
      <c r="I1882" s="1676"/>
      <c r="J1882" s="1676"/>
      <c r="K1882" s="1676"/>
      <c r="L1882" s="1676"/>
      <c r="M1882" s="1676"/>
      <c r="N1882" s="1776" t="s">
        <v>2534</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4065</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4048</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3459</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4077</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2534</v>
      </c>
      <c r="C1887" s="457" t="s">
        <v>4065</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4049</v>
      </c>
      <c r="C1891" s="1719"/>
      <c r="D1891" s="1719"/>
      <c r="E1891" s="1719"/>
      <c r="F1891" s="1719"/>
      <c r="G1891" s="1719"/>
      <c r="H1891" s="457" t="s">
        <v>3576</v>
      </c>
      <c r="I1891" s="1612" t="str">
        <f>'Part I-Project Information'!$H$105</f>
        <v>Flexible</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4594</v>
      </c>
      <c r="B1892" s="1583"/>
      <c r="C1892" s="1583"/>
      <c r="D1892" s="1583"/>
      <c r="E1892" s="1583"/>
      <c r="F1892" s="1583"/>
      <c r="G1892" s="1583"/>
      <c r="H1892" s="1583"/>
      <c r="I1892" s="1604" t="s">
        <v>4138</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3750</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53">
      <c r="A1896" s="1583" t="str">
        <f>'Part IX Scoring Criteria'!A365</f>
        <v>Brennan Place is the only application the Applicant is submitting where there is direct or indirect interest. Applicant is selecting the priority point for Brennan Place.</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4095</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4.4">
      <c r="A1902" s="1659"/>
      <c r="B1902" s="1524" t="s">
        <v>4053</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4050</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4051</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4052</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2797</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Columbus</v>
      </c>
      <c r="D1910" s="1314"/>
      <c r="E1910" s="457" t="s">
        <v>3484</v>
      </c>
      <c r="F1910" s="457" t="str">
        <f>'Part I-Project Information'!$J$39</f>
        <v>Muscogee</v>
      </c>
      <c r="G1910" s="1314"/>
      <c r="H1910" s="1524" t="s">
        <v>451</v>
      </c>
      <c r="I1910" s="1524" t="str">
        <f>'Part I-Project Information'!$N$39</f>
        <v>Yes</v>
      </c>
      <c r="J1910" s="1314"/>
      <c r="K1910" s="1524" t="s">
        <v>3614</v>
      </c>
      <c r="L1910" s="1754" t="str">
        <f>'Part I-Project Information'!$O$38</f>
        <v>13215002902</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3750</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40.799999999999997">
      <c r="A1912" s="1583" t="str">
        <f>'Part IX Scoring Criteria'!A380</f>
        <v>Applicant is not claiming points in this category.</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4096</v>
      </c>
      <c r="B1916" s="1661" t="s">
        <v>4056</v>
      </c>
      <c r="C1916" s="1659"/>
      <c r="D1916" s="1543"/>
      <c r="E1916" s="1543"/>
      <c r="F1916" s="457"/>
      <c r="G1916" s="457"/>
      <c r="H1916" s="1503" t="s">
        <v>2794</v>
      </c>
      <c r="I1916" s="1659"/>
      <c r="J1916" s="1503" t="str">
        <f>'Part I-Project Information'!$H$105</f>
        <v>Flexible</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2882</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4.4">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3804</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3803</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4057</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4058</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4059</v>
      </c>
      <c r="D1924" s="1583"/>
      <c r="E1924" s="1583"/>
      <c r="F1924" s="1583"/>
      <c r="G1924" s="1583"/>
      <c r="H1924" s="1583"/>
      <c r="I1924" s="1583"/>
      <c r="J1924" s="1722" t="s">
        <v>1990</v>
      </c>
      <c r="K1924" s="1722"/>
      <c r="M1924" s="1722" t="s">
        <v>1990</v>
      </c>
      <c r="N1924" s="1722"/>
      <c r="O1924" s="1722"/>
      <c r="P1924" s="1722"/>
    </row>
    <row r="1925" spans="1:26" ht="14.4">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3619</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3460</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3617</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4595</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3618</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4132</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4596</v>
      </c>
      <c r="H1935" s="1612" t="s">
        <v>2628</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2627</v>
      </c>
      <c r="E1937" s="1524" t="s">
        <v>2629</v>
      </c>
      <c r="H1937" s="1607">
        <f>'Part IX Scoring Criteria'!I407</f>
        <v>0</v>
      </c>
      <c r="I1937" s="1316"/>
      <c r="J1937" s="1545">
        <f>'Part IV-A-Uses of Funds'!$G$132</f>
        <v>14176065</v>
      </c>
      <c r="K1937" s="1545"/>
      <c r="M1937" s="1311"/>
      <c r="N1937" s="1311"/>
      <c r="P1937" s="1311"/>
    </row>
    <row r="1938" spans="1:26" ht="12.75" customHeight="1">
      <c r="A1938" s="1570" t="s">
        <v>4597</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4237</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3621</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4060</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2436</v>
      </c>
      <c r="C1943" s="457" t="s">
        <v>3796</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4061</v>
      </c>
      <c r="N1944" s="1620" t="s">
        <v>2437</v>
      </c>
      <c r="O1944" s="1621">
        <f>'Part IX Scoring Criteria'!O414</f>
        <v>0</v>
      </c>
      <c r="P1944" s="1621">
        <f>'Part IX Scoring Criteria'!P414</f>
        <v>0</v>
      </c>
    </row>
    <row r="1945" spans="1:26">
      <c r="B1945" s="1677" t="s">
        <v>3750</v>
      </c>
      <c r="N1945" s="1320"/>
      <c r="O1945" s="1322"/>
      <c r="P1945" s="1322"/>
    </row>
    <row r="1946" spans="1:26" ht="40.799999999999997">
      <c r="A1946" s="1583" t="str">
        <f>'Part IX Scoring Criteria'!A416</f>
        <v>Applicant is not claiming points in this category.</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4094</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3647</v>
      </c>
      <c r="C1951" s="1659"/>
      <c r="D1951" s="1314"/>
      <c r="E1951" s="1314"/>
      <c r="F1951" s="1314"/>
      <c r="G1951" s="1659"/>
      <c r="H1951" s="1659"/>
      <c r="I1951" s="1659"/>
      <c r="J1951" s="1524" t="s">
        <v>3807</v>
      </c>
      <c r="K1951" s="1659"/>
      <c r="L1951" s="1557">
        <f>'Part VI-Revenues &amp; Expenses'!$O$67*0.1</f>
        <v>7.2</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3806</v>
      </c>
      <c r="D1952" s="1583"/>
      <c r="E1952" s="1583"/>
      <c r="F1952" s="1583"/>
      <c r="G1952" s="1583"/>
      <c r="H1952" s="1583"/>
      <c r="I1952" s="1583"/>
      <c r="J1952" s="1524" t="s">
        <v>3809</v>
      </c>
      <c r="K1952" s="1659"/>
      <c r="L1952" s="1557">
        <f>'Part VI-Revenues &amp; Expenses'!$O$63</f>
        <v>63</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3810</v>
      </c>
      <c r="K1953" s="1711"/>
      <c r="L1953" s="1557">
        <f>L1952*0.1</f>
        <v>6.3000000000000007</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3811</v>
      </c>
      <c r="K1954" s="1711"/>
      <c r="L1954" s="1557">
        <f>'Part VI-Revenues &amp; Expenses'!$K$63</f>
        <v>10</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3393</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3808</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3805</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3827</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3394</v>
      </c>
      <c r="D1962" s="1604"/>
      <c r="E1962" s="1604"/>
      <c r="F1962" s="1604"/>
      <c r="G1962" s="1604"/>
      <c r="H1962" s="1604"/>
      <c r="I1962" s="1604"/>
      <c r="J1962" s="1604" t="s">
        <v>3651</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3750</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4097</v>
      </c>
      <c r="B1968" s="1661" t="s">
        <v>2721</v>
      </c>
      <c r="C1968" s="1659"/>
      <c r="D1968" s="1524"/>
      <c r="E1968" s="1659"/>
      <c r="F1968" s="1659"/>
      <c r="G1968" s="1709" t="s">
        <v>3390</v>
      </c>
      <c r="H1968" s="1659"/>
      <c r="I1968" s="1659"/>
      <c r="J1968" s="457" t="s">
        <v>3396</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3461</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2831</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4598</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4189</v>
      </c>
      <c r="C1973" s="1550"/>
      <c r="D1973" s="1550"/>
      <c r="E1973" s="1550"/>
      <c r="F1973" s="1550"/>
      <c r="G1973" s="1550"/>
      <c r="H1973" s="1550"/>
      <c r="I1973" s="1550"/>
      <c r="J1973" s="1550"/>
      <c r="K1973" s="1550"/>
      <c r="L1973" s="1550"/>
      <c r="M1973" s="1583" t="s">
        <v>4599</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2829</v>
      </c>
      <c r="N1975" s="1713"/>
      <c r="O1975" s="1787">
        <f>'Part VI-Revenues &amp; Expenses'!$O$67</f>
        <v>72</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2830</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4600</v>
      </c>
      <c r="B1979" s="1576" t="s">
        <v>3356</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4190</v>
      </c>
      <c r="C1980" s="1583"/>
      <c r="D1980" s="1583"/>
      <c r="E1980" s="1583"/>
      <c r="F1980" s="1583"/>
      <c r="G1980" s="1583"/>
      <c r="H1980" s="1583"/>
      <c r="I1980" s="1583"/>
      <c r="J1980" s="1583"/>
      <c r="K1980" s="1583"/>
      <c r="L1980" s="1583"/>
      <c r="M1980" s="1635" t="s">
        <v>2829</v>
      </c>
      <c r="N1980" s="1713"/>
      <c r="O1980" s="1787">
        <f>'Part VI-Revenues &amp; Expenses'!$O$67</f>
        <v>72</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2830</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3750</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71.400000000000006">
      <c r="A1983" s="1583" t="str">
        <f>'Part IX Scoring Criteria'!A436</f>
        <v>Project is new construction only and not a historic preservation project.</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4098</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3657</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4603</v>
      </c>
      <c r="R1995" s="1658">
        <f>'Part IX Scoring Criteria'!O448</f>
        <v>56</v>
      </c>
      <c r="S1995" s="1314"/>
      <c r="T1995" s="1314"/>
      <c r="U1995" s="1314"/>
      <c r="V1995" s="1314"/>
      <c r="W1995" s="1314"/>
      <c r="X1995" s="1314"/>
      <c r="Y1995" s="1314"/>
      <c r="Z1995" s="1314"/>
    </row>
    <row r="1996" spans="1:26" ht="15.6">
      <c r="A1996" s="1659"/>
      <c r="B1996" s="1790"/>
      <c r="C1996" s="1659"/>
      <c r="F1996" s="1657"/>
      <c r="G1996" s="1657"/>
      <c r="H1996" s="1503" t="s">
        <v>4184</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4185</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4192</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6">
      <c r="A2001" s="1583" t="str">
        <f>'Part IX Scoring Criteria'!A454</f>
        <v>I. APPLICATION COMPLETENESS: The applicant believes the proposed application is complete fully and does not anticipate any deductions in this scoring category.
II. DEEPER TARGETING / RENT / INCOME RESTRICTIONS: The proposed application has an overall property area median income less than 58% and is eligible for two (2) Deeper Targeting points.
IV. COMMUNITY TRANSPORTATION OPTIONS; The proposed project is within one mile (actual distance is 0.6 miles from pedestrian site entrance) of a Transit Hub and is proposing a family tenancy. Routes 2,4 &amp; 7 of the City of Columbus METRA transit system, all stop at 1122 Fort Benning Road, Columbus, GA 31903. Applicant is elligible for five points in this section.
V. ENRICHED PROPERTY SERVICES; The Applicant has indicated it will provide Preventive Health Care Services to its residents.  The Applicant has entered into an MOU with MercyMed, a local medical clinic to perform monthly biometric screenings and health and wellness education to the residents.  The screenings will be offered at no cost to the residents.  The Preventive Health Care MOU is found in Tab 30.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Please find the Healthy Eating Program to support the points claimed by the Applicant in Tab 30.  
IX. STABLE COMMUNITIES; The Applicant is not eligible for points in this category.
XII. EXTENDED AFFORDABILITY COMMITMENT: The Owner is willing to forgo the Qualified Contract “cancellation option” after the close of the Compliance period. The Owner commits to provide a right of first of refusal to a nonprofit organization or a local housing authority in accordance with DCA requirements.
XVIII: COMPLIANCE / PERFORMANCE: The applicant has acquired exceptional compliance history and does not anticipate any deductions in this scoring category. Please see Tab 19 in this application for the Qualification Determination.</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4197</v>
      </c>
    </row>
    <row r="2010" spans="1:26" ht="13.8">
      <c r="A2010" s="1796" t="str">
        <f>'Part I-Project Information'!$F$34</f>
        <v>Brennan Place</v>
      </c>
    </row>
    <row r="2011" spans="1:26" ht="13.8">
      <c r="A2011" s="1796" t="str">
        <f>CONCATENATE('Part I-Project Information'!$F$38,", ", 'Part I-Project Information'!$J$39," County")</f>
        <v>Columbus, Muscogee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3031" t="str">
        <f>CONCATENATE("PART TWO - DEVELOPMENT TEAM INFORMATION","  -  ",'Part I-Project Information'!$O$6," ",'Part I-Project Information'!$F$34,", ",'Part I-Project Information'!F38,", ",'Part I-Project Information'!J39," County")</f>
        <v>PART TWO - DEVELOPMENT TEAM INFORMATION  -  2019-042 Brennan Place, Columbus, Muscogee County</v>
      </c>
      <c r="B1" s="3032"/>
      <c r="C1" s="3032"/>
      <c r="D1" s="3032"/>
      <c r="E1" s="3032"/>
      <c r="F1" s="3032"/>
      <c r="G1" s="3032"/>
      <c r="H1" s="3032"/>
      <c r="I1" s="3032"/>
      <c r="J1" s="3032"/>
      <c r="K1" s="3032"/>
      <c r="L1" s="3032"/>
      <c r="M1" s="3032"/>
      <c r="N1" s="3032"/>
      <c r="O1" s="3032"/>
      <c r="P1" s="3032"/>
      <c r="Q1" s="3032"/>
      <c r="R1" s="3032"/>
      <c r="S1" s="3033"/>
    </row>
    <row r="2" spans="1:27" ht="12" customHeight="1" thickBot="1">
      <c r="A2" s="954" t="s">
        <v>4453</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1858</v>
      </c>
      <c r="C3" s="299"/>
      <c r="E3" s="299"/>
      <c r="F3" s="299"/>
      <c r="G3" s="299"/>
      <c r="H3" s="1275" t="s">
        <v>4250</v>
      </c>
      <c r="O3" s="3034" t="str">
        <f>'Part I-Project Information'!$B$6</f>
        <v>April 2019 Final</v>
      </c>
      <c r="P3" s="3035"/>
      <c r="Q3" s="3035"/>
      <c r="R3" s="3035"/>
      <c r="S3" s="3036"/>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014" t="s">
        <v>5228</v>
      </c>
      <c r="I5" s="3017"/>
      <c r="J5" s="3017"/>
      <c r="K5" s="3017"/>
      <c r="L5" s="3017"/>
      <c r="M5" s="3017"/>
      <c r="N5" s="3018"/>
      <c r="O5" s="2266" t="s">
        <v>1989</v>
      </c>
      <c r="P5" s="2266"/>
      <c r="Q5" s="3014" t="s">
        <v>5188</v>
      </c>
      <c r="R5" s="3017"/>
      <c r="S5" s="3018"/>
      <c r="Y5" s="1063"/>
      <c r="Z5" s="1064"/>
      <c r="AA5" s="2271"/>
    </row>
    <row r="6" spans="1:27" s="294" customFormat="1" ht="11.25" customHeight="1">
      <c r="D6" s="333"/>
      <c r="E6" s="2263" t="s">
        <v>1021</v>
      </c>
      <c r="F6" s="306"/>
      <c r="H6" s="2854" t="s">
        <v>5189</v>
      </c>
      <c r="I6" s="3026"/>
      <c r="J6" s="3026"/>
      <c r="K6" s="3027"/>
      <c r="L6" s="3026"/>
      <c r="M6" s="3026"/>
      <c r="N6" s="3028"/>
      <c r="O6" s="2266" t="s">
        <v>1747</v>
      </c>
      <c r="Q6" s="2780" t="s">
        <v>5210</v>
      </c>
      <c r="R6" s="2840"/>
      <c r="S6" s="2841"/>
      <c r="V6" s="1063"/>
      <c r="W6" s="1063"/>
      <c r="X6" s="1063"/>
      <c r="Y6" s="1063"/>
      <c r="Z6" s="1064"/>
      <c r="AA6" s="2271"/>
    </row>
    <row r="7" spans="1:27" s="294" customFormat="1" ht="11.25" customHeight="1">
      <c r="D7" s="333"/>
      <c r="E7" s="2263" t="s">
        <v>618</v>
      </c>
      <c r="H7" s="2854" t="s">
        <v>184</v>
      </c>
      <c r="I7" s="3027"/>
      <c r="J7" s="2860"/>
      <c r="K7" s="2524" t="s">
        <v>762</v>
      </c>
      <c r="L7" s="2822"/>
      <c r="M7" s="3026"/>
      <c r="N7" s="3028"/>
      <c r="O7" s="2266" t="s">
        <v>1721</v>
      </c>
      <c r="Q7" s="2777">
        <v>3342816820</v>
      </c>
      <c r="R7" s="2778"/>
      <c r="S7" s="2779"/>
    </row>
    <row r="8" spans="1:27" s="294" customFormat="1" ht="11.25" customHeight="1">
      <c r="D8" s="333"/>
      <c r="E8" s="2263" t="s">
        <v>1799</v>
      </c>
      <c r="H8" s="2499" t="s">
        <v>838</v>
      </c>
      <c r="I8" s="1054" t="s">
        <v>2229</v>
      </c>
      <c r="J8" s="3037">
        <v>361176972</v>
      </c>
      <c r="K8" s="3038"/>
      <c r="L8" s="294" t="s">
        <v>3685</v>
      </c>
      <c r="M8" s="3039" t="s">
        <v>5158</v>
      </c>
      <c r="N8" s="3040"/>
      <c r="O8" s="2266" t="s">
        <v>1979</v>
      </c>
      <c r="Q8" s="2777"/>
      <c r="R8" s="2778"/>
      <c r="S8" s="2779"/>
    </row>
    <row r="9" spans="1:27" s="294" customFormat="1" ht="11.25" customHeight="1">
      <c r="D9" s="333"/>
      <c r="E9" s="2263" t="s">
        <v>4251</v>
      </c>
      <c r="H9" s="3012">
        <v>3342816820</v>
      </c>
      <c r="I9" s="3041"/>
      <c r="J9" s="2525"/>
      <c r="K9" s="2274" t="s">
        <v>1984</v>
      </c>
      <c r="L9" s="2852" t="s">
        <v>5197</v>
      </c>
      <c r="M9" s="2775"/>
      <c r="N9" s="2775"/>
      <c r="O9" s="2869"/>
      <c r="P9" s="2869"/>
      <c r="Q9" s="2775"/>
      <c r="R9" s="2775"/>
      <c r="S9" s="2776"/>
    </row>
    <row r="10" spans="1:27" s="294" customFormat="1" ht="11.25" customHeight="1">
      <c r="D10" s="333"/>
      <c r="E10" s="1275" t="s">
        <v>4250</v>
      </c>
      <c r="H10" s="328"/>
      <c r="K10" s="269"/>
      <c r="N10" s="365" t="s">
        <v>3565</v>
      </c>
      <c r="Q10" s="2274"/>
    </row>
    <row r="11" spans="1:27" s="294" customFormat="1" ht="4.2" customHeight="1">
      <c r="D11" s="334"/>
      <c r="E11" s="2263"/>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1"/>
      <c r="I13" s="2271"/>
      <c r="J13" s="2271"/>
      <c r="N13" s="1067"/>
      <c r="W13" s="2527"/>
      <c r="X13" s="2527"/>
      <c r="Y13" s="2527"/>
      <c r="Z13" s="2527"/>
    </row>
    <row r="14" spans="1:27" s="294" customFormat="1" ht="11.25" customHeight="1">
      <c r="D14" s="296" t="s">
        <v>2116</v>
      </c>
      <c r="E14" s="294" t="s">
        <v>1856</v>
      </c>
      <c r="H14" s="3014" t="s">
        <v>5187</v>
      </c>
      <c r="I14" s="3017"/>
      <c r="J14" s="3017"/>
      <c r="K14" s="3017"/>
      <c r="L14" s="3017"/>
      <c r="M14" s="3017"/>
      <c r="N14" s="3018"/>
      <c r="O14" s="2266" t="s">
        <v>1989</v>
      </c>
      <c r="P14" s="2266"/>
      <c r="Q14" s="3014" t="s">
        <v>5188</v>
      </c>
      <c r="R14" s="3017"/>
      <c r="S14" s="3018"/>
    </row>
    <row r="15" spans="1:27" s="294" customFormat="1" ht="11.25" customHeight="1">
      <c r="D15" s="333"/>
      <c r="E15" s="2263" t="s">
        <v>1021</v>
      </c>
      <c r="F15" s="306"/>
      <c r="H15" s="2854" t="s">
        <v>5189</v>
      </c>
      <c r="I15" s="3026"/>
      <c r="J15" s="3026"/>
      <c r="K15" s="3027"/>
      <c r="L15" s="3026"/>
      <c r="M15" s="3026"/>
      <c r="N15" s="3028"/>
      <c r="O15" s="2266" t="s">
        <v>1747</v>
      </c>
      <c r="Q15" s="2780" t="s">
        <v>5210</v>
      </c>
      <c r="R15" s="2840"/>
      <c r="S15" s="2841"/>
    </row>
    <row r="16" spans="1:27" s="294" customFormat="1" ht="11.25" customHeight="1">
      <c r="D16" s="333"/>
      <c r="E16" s="2263" t="s">
        <v>618</v>
      </c>
      <c r="H16" s="2854" t="s">
        <v>184</v>
      </c>
      <c r="I16" s="3027"/>
      <c r="J16" s="2860"/>
      <c r="K16" s="2278" t="s">
        <v>2704</v>
      </c>
      <c r="L16" s="2854"/>
      <c r="M16" s="3026"/>
      <c r="N16" s="2860"/>
      <c r="O16" s="2266" t="s">
        <v>1721</v>
      </c>
      <c r="Q16" s="2777">
        <v>3342816820</v>
      </c>
      <c r="R16" s="2778"/>
      <c r="S16" s="2779"/>
    </row>
    <row r="17" spans="3:19" s="294" customFormat="1" ht="11.25" customHeight="1">
      <c r="D17" s="296"/>
      <c r="E17" s="2263" t="s">
        <v>1799</v>
      </c>
      <c r="H17" s="2499" t="s">
        <v>838</v>
      </c>
      <c r="K17" s="1054" t="s">
        <v>2229</v>
      </c>
      <c r="L17" s="2904">
        <v>361176972</v>
      </c>
      <c r="M17" s="3029"/>
      <c r="O17" s="2266" t="s">
        <v>1979</v>
      </c>
      <c r="Q17" s="2777"/>
      <c r="R17" s="2778"/>
      <c r="S17" s="2779"/>
    </row>
    <row r="18" spans="3:19" s="294" customFormat="1" ht="11.25" customHeight="1">
      <c r="D18" s="333"/>
      <c r="E18" s="2263" t="s">
        <v>4251</v>
      </c>
      <c r="H18" s="3012">
        <v>3342816820</v>
      </c>
      <c r="I18" s="3013"/>
      <c r="J18" s="2528"/>
      <c r="K18" s="2274" t="s">
        <v>1984</v>
      </c>
      <c r="L18" s="2774" t="s">
        <v>5197</v>
      </c>
      <c r="M18" s="2775"/>
      <c r="N18" s="2869"/>
      <c r="O18" s="2869"/>
      <c r="P18" s="2869"/>
      <c r="Q18" s="2775"/>
      <c r="R18" s="2775"/>
      <c r="S18" s="2776"/>
    </row>
    <row r="19" spans="3:19" ht="4.2" customHeight="1">
      <c r="D19" s="321"/>
      <c r="H19" s="2529"/>
      <c r="I19" s="2529"/>
      <c r="J19" s="2529"/>
      <c r="K19" s="2274"/>
      <c r="L19" s="2529"/>
      <c r="M19" s="2529"/>
      <c r="N19" s="2268"/>
      <c r="O19" s="2256"/>
      <c r="P19" s="2256"/>
      <c r="Q19" s="2274"/>
      <c r="R19" s="2256"/>
      <c r="S19" s="2256"/>
    </row>
    <row r="20" spans="3:19" s="294" customFormat="1" ht="11.25" customHeight="1">
      <c r="D20" s="296" t="s">
        <v>2117</v>
      </c>
      <c r="E20" s="294" t="s">
        <v>1857</v>
      </c>
      <c r="F20" s="2271"/>
      <c r="H20" s="3014"/>
      <c r="I20" s="3017"/>
      <c r="J20" s="3017"/>
      <c r="K20" s="3017"/>
      <c r="L20" s="3017"/>
      <c r="M20" s="3017"/>
      <c r="N20" s="3018"/>
      <c r="O20" s="2266" t="s">
        <v>1989</v>
      </c>
      <c r="P20" s="2266"/>
      <c r="Q20" s="3014"/>
      <c r="R20" s="3017"/>
      <c r="S20" s="3018"/>
    </row>
    <row r="21" spans="3:19" s="294" customFormat="1" ht="11.25" customHeight="1">
      <c r="D21" s="333"/>
      <c r="E21" s="2263" t="s">
        <v>1021</v>
      </c>
      <c r="F21" s="306"/>
      <c r="H21" s="2854"/>
      <c r="I21" s="3026"/>
      <c r="J21" s="3026"/>
      <c r="K21" s="3027"/>
      <c r="L21" s="3026"/>
      <c r="M21" s="3026"/>
      <c r="N21" s="3028"/>
      <c r="O21" s="2266" t="s">
        <v>1747</v>
      </c>
      <c r="Q21" s="2780"/>
      <c r="R21" s="2840"/>
      <c r="S21" s="2841"/>
    </row>
    <row r="22" spans="3:19" s="294" customFormat="1" ht="11.25" customHeight="1">
      <c r="D22" s="333"/>
      <c r="E22" s="2263" t="s">
        <v>618</v>
      </c>
      <c r="H22" s="2854"/>
      <c r="I22" s="3027"/>
      <c r="J22" s="2860"/>
      <c r="K22" s="2278" t="s">
        <v>2704</v>
      </c>
      <c r="L22" s="2854"/>
      <c r="M22" s="3026"/>
      <c r="N22" s="2860"/>
      <c r="O22" s="2266" t="s">
        <v>1721</v>
      </c>
      <c r="Q22" s="2777"/>
      <c r="R22" s="2778"/>
      <c r="S22" s="2779"/>
    </row>
    <row r="23" spans="3:19" s="294" customFormat="1" ht="11.25" customHeight="1">
      <c r="E23" s="2263" t="s">
        <v>1799</v>
      </c>
      <c r="H23" s="2499"/>
      <c r="K23" s="1054" t="s">
        <v>2229</v>
      </c>
      <c r="L23" s="2904"/>
      <c r="M23" s="3029"/>
      <c r="O23" s="2266" t="s">
        <v>1979</v>
      </c>
      <c r="Q23" s="2777"/>
      <c r="R23" s="2778"/>
      <c r="S23" s="2779"/>
    </row>
    <row r="24" spans="3:19" s="294" customFormat="1" ht="11.25" customHeight="1">
      <c r="D24" s="333"/>
      <c r="E24" s="2263" t="s">
        <v>4251</v>
      </c>
      <c r="H24" s="3012"/>
      <c r="I24" s="3013"/>
      <c r="J24" s="2528"/>
      <c r="K24" s="2274" t="s">
        <v>1984</v>
      </c>
      <c r="L24" s="2774"/>
      <c r="M24" s="2775"/>
      <c r="N24" s="2869"/>
      <c r="O24" s="2869"/>
      <c r="P24" s="2869"/>
      <c r="Q24" s="2775"/>
      <c r="R24" s="2775"/>
      <c r="S24" s="2776"/>
    </row>
    <row r="25" spans="3:19" s="294" customFormat="1" ht="4.2" customHeight="1">
      <c r="D25" s="333"/>
      <c r="E25" s="2271"/>
      <c r="F25" s="2271"/>
      <c r="G25" s="2266"/>
      <c r="H25" s="2529"/>
      <c r="I25" s="2529"/>
      <c r="J25" s="2529"/>
      <c r="K25" s="2274"/>
      <c r="L25" s="2529"/>
      <c r="M25" s="2529"/>
      <c r="N25" s="2268"/>
      <c r="O25" s="2256"/>
      <c r="P25" s="2256"/>
      <c r="Q25" s="2274"/>
      <c r="R25" s="2256"/>
      <c r="S25" s="2256"/>
    </row>
    <row r="26" spans="3:19" s="294" customFormat="1" ht="11.25" customHeight="1">
      <c r="D26" s="296" t="s">
        <v>1734</v>
      </c>
      <c r="E26" s="294" t="s">
        <v>1857</v>
      </c>
      <c r="F26" s="2271"/>
      <c r="H26" s="3014"/>
      <c r="I26" s="3017"/>
      <c r="J26" s="3017"/>
      <c r="K26" s="3017"/>
      <c r="L26" s="3017"/>
      <c r="M26" s="3017"/>
      <c r="N26" s="3018"/>
      <c r="O26" s="2266" t="s">
        <v>1989</v>
      </c>
      <c r="P26" s="2266"/>
      <c r="Q26" s="3014"/>
      <c r="R26" s="3017"/>
      <c r="S26" s="3018"/>
    </row>
    <row r="27" spans="3:19" s="294" customFormat="1" ht="11.25" customHeight="1">
      <c r="D27" s="333"/>
      <c r="E27" s="2263" t="s">
        <v>1021</v>
      </c>
      <c r="F27" s="306"/>
      <c r="H27" s="2854"/>
      <c r="I27" s="3026"/>
      <c r="J27" s="3026"/>
      <c r="K27" s="3027"/>
      <c r="L27" s="3026"/>
      <c r="M27" s="3026"/>
      <c r="N27" s="3028"/>
      <c r="O27" s="2266" t="s">
        <v>1747</v>
      </c>
      <c r="Q27" s="2780"/>
      <c r="R27" s="2840"/>
      <c r="S27" s="2841"/>
    </row>
    <row r="28" spans="3:19" s="294" customFormat="1" ht="11.25" customHeight="1">
      <c r="D28" s="333"/>
      <c r="E28" s="2263" t="s">
        <v>618</v>
      </c>
      <c r="H28" s="2854"/>
      <c r="I28" s="3027"/>
      <c r="J28" s="2860"/>
      <c r="K28" s="2278" t="s">
        <v>2704</v>
      </c>
      <c r="L28" s="2854"/>
      <c r="M28" s="3026"/>
      <c r="N28" s="2860"/>
      <c r="O28" s="2266" t="s">
        <v>1721</v>
      </c>
      <c r="Q28" s="2777"/>
      <c r="R28" s="2778"/>
      <c r="S28" s="2779"/>
    </row>
    <row r="29" spans="3:19" s="294" customFormat="1" ht="11.25" customHeight="1">
      <c r="E29" s="2263" t="s">
        <v>1799</v>
      </c>
      <c r="H29" s="2499"/>
      <c r="K29" s="1054" t="s">
        <v>2229</v>
      </c>
      <c r="L29" s="2904"/>
      <c r="M29" s="3029"/>
      <c r="O29" s="2266" t="s">
        <v>1979</v>
      </c>
      <c r="Q29" s="2777"/>
      <c r="R29" s="2778"/>
      <c r="S29" s="2779"/>
    </row>
    <row r="30" spans="3:19" s="294" customFormat="1" ht="11.25" customHeight="1">
      <c r="D30" s="333"/>
      <c r="E30" s="2263" t="s">
        <v>4251</v>
      </c>
      <c r="H30" s="3012"/>
      <c r="I30" s="3013"/>
      <c r="J30" s="2528"/>
      <c r="K30" s="2274" t="s">
        <v>1984</v>
      </c>
      <c r="L30" s="2774"/>
      <c r="M30" s="2775"/>
      <c r="N30" s="2869"/>
      <c r="O30" s="2869"/>
      <c r="P30" s="2869"/>
      <c r="Q30" s="2775"/>
      <c r="R30" s="2775"/>
      <c r="S30" s="2776"/>
    </row>
    <row r="31" spans="3:19" ht="4.2" customHeight="1"/>
    <row r="32" spans="3:19" s="294" customFormat="1" ht="11.25" customHeight="1">
      <c r="C32" s="335" t="s">
        <v>1988</v>
      </c>
      <c r="D32" s="332" t="s">
        <v>1859</v>
      </c>
      <c r="H32" s="2271"/>
      <c r="I32" s="2271"/>
      <c r="J32" s="2271"/>
      <c r="K32" s="1275" t="s">
        <v>4250</v>
      </c>
      <c r="L32" s="2271"/>
      <c r="M32" s="2271"/>
    </row>
    <row r="33" spans="3:19" s="294" customFormat="1" ht="11.25" customHeight="1">
      <c r="D33" s="296" t="s">
        <v>2116</v>
      </c>
      <c r="E33" s="294" t="s">
        <v>750</v>
      </c>
      <c r="H33" s="3014" t="s">
        <v>5130</v>
      </c>
      <c r="I33" s="3017"/>
      <c r="J33" s="3017"/>
      <c r="K33" s="3017"/>
      <c r="L33" s="3017"/>
      <c r="M33" s="3017"/>
      <c r="N33" s="3018"/>
      <c r="O33" s="2266" t="s">
        <v>1989</v>
      </c>
      <c r="P33" s="2266"/>
      <c r="Q33" s="3014" t="s">
        <v>5133</v>
      </c>
      <c r="R33" s="3017"/>
      <c r="S33" s="3018"/>
    </row>
    <row r="34" spans="3:19" s="294" customFormat="1" ht="11.25" customHeight="1">
      <c r="D34" s="333"/>
      <c r="E34" s="2263" t="s">
        <v>1021</v>
      </c>
      <c r="F34" s="306"/>
      <c r="H34" s="2854" t="s">
        <v>5131</v>
      </c>
      <c r="I34" s="3026"/>
      <c r="J34" s="3026"/>
      <c r="K34" s="3027"/>
      <c r="L34" s="3026"/>
      <c r="M34" s="3026"/>
      <c r="N34" s="3028"/>
      <c r="O34" s="2266" t="s">
        <v>1747</v>
      </c>
      <c r="Q34" s="2780" t="s">
        <v>5134</v>
      </c>
      <c r="R34" s="2840"/>
      <c r="S34" s="2841"/>
    </row>
    <row r="35" spans="3:19" s="294" customFormat="1" ht="11.25" customHeight="1">
      <c r="D35" s="333"/>
      <c r="E35" s="2263" t="s">
        <v>618</v>
      </c>
      <c r="H35" s="2854" t="s">
        <v>2528</v>
      </c>
      <c r="I35" s="3027"/>
      <c r="J35" s="2860"/>
      <c r="K35" s="2278" t="s">
        <v>2704</v>
      </c>
      <c r="L35" s="2854" t="s">
        <v>5135</v>
      </c>
      <c r="M35" s="3026"/>
      <c r="N35" s="2860"/>
      <c r="O35" s="2266" t="s">
        <v>1721</v>
      </c>
      <c r="Q35" s="2777">
        <v>5734432021</v>
      </c>
      <c r="R35" s="2778"/>
      <c r="S35" s="2779"/>
    </row>
    <row r="36" spans="3:19" s="294" customFormat="1" ht="11.25" customHeight="1">
      <c r="E36" s="2263" t="s">
        <v>1799</v>
      </c>
      <c r="H36" s="2499" t="s">
        <v>1341</v>
      </c>
      <c r="K36" s="1054" t="s">
        <v>2229</v>
      </c>
      <c r="L36" s="2904">
        <v>652034905</v>
      </c>
      <c r="M36" s="3029"/>
      <c r="O36" s="2266" t="s">
        <v>1979</v>
      </c>
      <c r="Q36" s="2777">
        <v>5734248811</v>
      </c>
      <c r="R36" s="2778"/>
      <c r="S36" s="2779"/>
    </row>
    <row r="37" spans="3:19" s="294" customFormat="1" ht="11.25" customHeight="1">
      <c r="D37" s="333"/>
      <c r="E37" s="2263" t="s">
        <v>4251</v>
      </c>
      <c r="H37" s="3012">
        <v>5734432021</v>
      </c>
      <c r="I37" s="3013"/>
      <c r="J37" s="2528"/>
      <c r="K37" s="2274" t="s">
        <v>1984</v>
      </c>
      <c r="L37" s="2774" t="s">
        <v>5132</v>
      </c>
      <c r="M37" s="2775"/>
      <c r="N37" s="2869"/>
      <c r="O37" s="2869"/>
      <c r="P37" s="2869"/>
      <c r="Q37" s="2775"/>
      <c r="R37" s="2775"/>
      <c r="S37" s="2776"/>
    </row>
    <row r="38" spans="3:19" ht="4.2" customHeight="1">
      <c r="H38" s="2529"/>
      <c r="I38" s="2529"/>
      <c r="J38" s="2529"/>
      <c r="K38" s="2274"/>
      <c r="L38" s="2529"/>
      <c r="M38" s="2529"/>
      <c r="N38" s="2268"/>
      <c r="O38" s="2256"/>
      <c r="P38" s="2256"/>
      <c r="Q38" s="2274"/>
      <c r="R38" s="2256"/>
      <c r="S38" s="2256"/>
    </row>
    <row r="39" spans="3:19" s="294" customFormat="1" ht="11.25" customHeight="1">
      <c r="D39" s="296" t="s">
        <v>2117</v>
      </c>
      <c r="E39" s="294" t="s">
        <v>751</v>
      </c>
      <c r="F39" s="296"/>
      <c r="H39" s="3014" t="s">
        <v>5130</v>
      </c>
      <c r="I39" s="3017"/>
      <c r="J39" s="3017"/>
      <c r="K39" s="3017"/>
      <c r="L39" s="3017"/>
      <c r="M39" s="3017"/>
      <c r="N39" s="3018"/>
      <c r="O39" s="2266" t="s">
        <v>1989</v>
      </c>
      <c r="P39" s="2266"/>
      <c r="Q39" s="3014" t="s">
        <v>5133</v>
      </c>
      <c r="R39" s="3017"/>
      <c r="S39" s="3018"/>
    </row>
    <row r="40" spans="3:19" s="294" customFormat="1" ht="11.25" customHeight="1">
      <c r="D40" s="333"/>
      <c r="E40" s="2263" t="s">
        <v>1021</v>
      </c>
      <c r="F40" s="306"/>
      <c r="H40" s="2854" t="s">
        <v>5131</v>
      </c>
      <c r="I40" s="3026"/>
      <c r="J40" s="3026"/>
      <c r="K40" s="3027"/>
      <c r="L40" s="3026"/>
      <c r="M40" s="3026"/>
      <c r="N40" s="3028"/>
      <c r="O40" s="2266" t="s">
        <v>1747</v>
      </c>
      <c r="Q40" s="2780" t="s">
        <v>5134</v>
      </c>
      <c r="R40" s="2840"/>
      <c r="S40" s="2841"/>
    </row>
    <row r="41" spans="3:19" s="294" customFormat="1" ht="11.25" customHeight="1">
      <c r="D41" s="333"/>
      <c r="E41" s="2263" t="s">
        <v>618</v>
      </c>
      <c r="H41" s="2854" t="s">
        <v>2528</v>
      </c>
      <c r="I41" s="3027"/>
      <c r="J41" s="2860"/>
      <c r="K41" s="2278" t="s">
        <v>2704</v>
      </c>
      <c r="L41" s="2854" t="s">
        <v>5135</v>
      </c>
      <c r="M41" s="3026"/>
      <c r="N41" s="2860"/>
      <c r="O41" s="2266" t="s">
        <v>1721</v>
      </c>
      <c r="Q41" s="2777">
        <v>5734432021</v>
      </c>
      <c r="R41" s="2778"/>
      <c r="S41" s="2779"/>
    </row>
    <row r="42" spans="3:19" s="294" customFormat="1" ht="11.25" customHeight="1">
      <c r="D42" s="296"/>
      <c r="E42" s="2263" t="s">
        <v>1799</v>
      </c>
      <c r="H42" s="2499" t="s">
        <v>1341</v>
      </c>
      <c r="K42" s="1054" t="s">
        <v>2229</v>
      </c>
      <c r="L42" s="2904">
        <v>652034905</v>
      </c>
      <c r="M42" s="3029"/>
      <c r="O42" s="2266" t="s">
        <v>1979</v>
      </c>
      <c r="Q42" s="2777">
        <v>5734248811</v>
      </c>
      <c r="R42" s="2778"/>
      <c r="S42" s="2779"/>
    </row>
    <row r="43" spans="3:19" s="294" customFormat="1" ht="11.25" customHeight="1">
      <c r="D43" s="333"/>
      <c r="E43" s="2263" t="s">
        <v>4251</v>
      </c>
      <c r="H43" s="3012">
        <v>5734432021</v>
      </c>
      <c r="I43" s="3013"/>
      <c r="J43" s="2528"/>
      <c r="K43" s="2274" t="s">
        <v>1984</v>
      </c>
      <c r="L43" s="2774" t="s">
        <v>5132</v>
      </c>
      <c r="M43" s="2775"/>
      <c r="N43" s="2869"/>
      <c r="O43" s="2869"/>
      <c r="P43" s="2869"/>
      <c r="Q43" s="2775"/>
      <c r="R43" s="2775"/>
      <c r="S43" s="2776"/>
    </row>
    <row r="44" spans="3:19" s="294" customFormat="1" ht="4.2" customHeight="1">
      <c r="D44" s="333"/>
      <c r="E44" s="2263"/>
      <c r="F44" s="296"/>
      <c r="H44" s="328"/>
      <c r="I44" s="328"/>
      <c r="J44" s="2258"/>
      <c r="K44" s="2274"/>
      <c r="L44" s="328"/>
      <c r="M44" s="328"/>
      <c r="N44" s="2274"/>
      <c r="O44" s="328"/>
      <c r="P44" s="328"/>
      <c r="Q44" s="2274"/>
      <c r="R44" s="328"/>
      <c r="S44" s="328"/>
    </row>
    <row r="45" spans="3:19" s="294" customFormat="1" ht="11.25" customHeight="1">
      <c r="C45" s="336" t="s">
        <v>2534</v>
      </c>
      <c r="D45" s="332" t="s">
        <v>651</v>
      </c>
      <c r="H45" s="2271"/>
      <c r="I45" s="2271"/>
      <c r="J45" s="2271"/>
      <c r="K45" s="1275" t="s">
        <v>4250</v>
      </c>
      <c r="L45" s="2271"/>
      <c r="M45" s="2271"/>
    </row>
    <row r="46" spans="3:19" s="294" customFormat="1" ht="11.25" customHeight="1">
      <c r="E46" s="294" t="s">
        <v>92</v>
      </c>
      <c r="H46" s="3014"/>
      <c r="I46" s="3017"/>
      <c r="J46" s="3017"/>
      <c r="K46" s="3017"/>
      <c r="L46" s="3017"/>
      <c r="M46" s="3017"/>
      <c r="N46" s="3018"/>
      <c r="O46" s="2266" t="s">
        <v>1989</v>
      </c>
      <c r="P46" s="2266"/>
      <c r="Q46" s="3014"/>
      <c r="R46" s="3017"/>
      <c r="S46" s="3018"/>
    </row>
    <row r="47" spans="3:19" s="294" customFormat="1" ht="11.25" customHeight="1">
      <c r="D47" s="333"/>
      <c r="E47" s="2263" t="s">
        <v>1021</v>
      </c>
      <c r="F47" s="306"/>
      <c r="H47" s="2854"/>
      <c r="I47" s="3026"/>
      <c r="J47" s="3026"/>
      <c r="K47" s="3027"/>
      <c r="L47" s="3026"/>
      <c r="M47" s="3026"/>
      <c r="N47" s="3028"/>
      <c r="O47" s="2266" t="s">
        <v>1747</v>
      </c>
      <c r="Q47" s="2780"/>
      <c r="R47" s="2840"/>
      <c r="S47" s="2841"/>
    </row>
    <row r="48" spans="3:19" s="294" customFormat="1" ht="11.25" customHeight="1">
      <c r="D48" s="333"/>
      <c r="E48" s="2263" t="s">
        <v>618</v>
      </c>
      <c r="H48" s="2854"/>
      <c r="I48" s="3027"/>
      <c r="J48" s="2860"/>
      <c r="K48" s="2278" t="s">
        <v>2704</v>
      </c>
      <c r="L48" s="2854"/>
      <c r="M48" s="3026"/>
      <c r="N48" s="2860"/>
      <c r="O48" s="2266" t="s">
        <v>1721</v>
      </c>
      <c r="Q48" s="2777"/>
      <c r="R48" s="2778"/>
      <c r="S48" s="2779"/>
    </row>
    <row r="49" spans="1:19" s="294" customFormat="1" ht="11.25" customHeight="1">
      <c r="E49" s="2263" t="s">
        <v>1799</v>
      </c>
      <c r="H49" s="2499"/>
      <c r="K49" s="1054" t="s">
        <v>2229</v>
      </c>
      <c r="L49" s="2904"/>
      <c r="M49" s="3029"/>
      <c r="O49" s="2266" t="s">
        <v>1979</v>
      </c>
      <c r="Q49" s="2777"/>
      <c r="R49" s="2778"/>
      <c r="S49" s="2779"/>
    </row>
    <row r="50" spans="1:19" s="294" customFormat="1" ht="11.25" customHeight="1">
      <c r="D50" s="333"/>
      <c r="E50" s="2263" t="s">
        <v>4251</v>
      </c>
      <c r="H50" s="3012"/>
      <c r="I50" s="3013"/>
      <c r="J50" s="2528"/>
      <c r="K50" s="2274" t="s">
        <v>1984</v>
      </c>
      <c r="L50" s="2774"/>
      <c r="M50" s="2775"/>
      <c r="N50" s="2869"/>
      <c r="O50" s="2869"/>
      <c r="P50" s="2869"/>
      <c r="Q50" s="2775"/>
      <c r="R50" s="2775"/>
      <c r="S50" s="2776"/>
    </row>
    <row r="51" spans="1:19" ht="6.75" customHeight="1"/>
    <row r="52" spans="1:19" s="294" customFormat="1" ht="13.2" customHeight="1">
      <c r="A52" s="296" t="s">
        <v>740</v>
      </c>
      <c r="B52" s="296" t="s">
        <v>652</v>
      </c>
      <c r="F52" s="296"/>
      <c r="G52" s="2274"/>
      <c r="H52" s="2274"/>
      <c r="I52" s="2274"/>
      <c r="J52" s="2271"/>
      <c r="K52" s="1275" t="s">
        <v>4250</v>
      </c>
      <c r="L52" s="2271"/>
      <c r="M52" s="2271"/>
      <c r="N52" s="2271"/>
      <c r="O52" s="2271"/>
      <c r="P52" s="2271"/>
      <c r="Q52" s="2271"/>
      <c r="R52" s="2271"/>
      <c r="S52" s="2271"/>
    </row>
    <row r="53" spans="1:19" s="294" customFormat="1" ht="3" customHeight="1">
      <c r="A53" s="296"/>
      <c r="B53" s="296"/>
      <c r="F53" s="296"/>
      <c r="G53" s="2274"/>
      <c r="H53" s="2530"/>
      <c r="I53" s="2530"/>
      <c r="J53" s="2530"/>
      <c r="K53" s="2268"/>
      <c r="L53" s="2530"/>
      <c r="M53" s="2530"/>
      <c r="N53" s="2268"/>
      <c r="O53" s="2256"/>
      <c r="P53" s="2256"/>
      <c r="Q53" s="2274"/>
      <c r="R53" s="2256"/>
      <c r="S53" s="2256"/>
    </row>
    <row r="54" spans="1:19" s="294" customFormat="1" ht="11.25" customHeight="1">
      <c r="B54" s="296" t="s">
        <v>1983</v>
      </c>
      <c r="C54" s="296" t="s">
        <v>282</v>
      </c>
      <c r="H54" s="3014" t="s">
        <v>5235</v>
      </c>
      <c r="I54" s="3017"/>
      <c r="J54" s="3017"/>
      <c r="K54" s="3017"/>
      <c r="L54" s="3017"/>
      <c r="M54" s="3017"/>
      <c r="N54" s="3018"/>
      <c r="O54" s="2266" t="s">
        <v>1989</v>
      </c>
      <c r="P54" s="2266"/>
      <c r="Q54" s="3014" t="s">
        <v>5188</v>
      </c>
      <c r="R54" s="3017"/>
      <c r="S54" s="3018"/>
    </row>
    <row r="55" spans="1:19" s="294" customFormat="1" ht="11.25" customHeight="1">
      <c r="D55" s="333"/>
      <c r="E55" s="2263" t="s">
        <v>1021</v>
      </c>
      <c r="F55" s="306"/>
      <c r="H55" s="2854" t="s">
        <v>5189</v>
      </c>
      <c r="I55" s="3026"/>
      <c r="J55" s="3026"/>
      <c r="K55" s="3027"/>
      <c r="L55" s="3026"/>
      <c r="M55" s="3026"/>
      <c r="N55" s="3028"/>
      <c r="O55" s="2266" t="s">
        <v>1747</v>
      </c>
      <c r="Q55" s="2780" t="s">
        <v>2474</v>
      </c>
      <c r="R55" s="2840"/>
      <c r="S55" s="2841"/>
    </row>
    <row r="56" spans="1:19" s="294" customFormat="1" ht="11.25" customHeight="1">
      <c r="D56" s="333"/>
      <c r="E56" s="2263" t="s">
        <v>618</v>
      </c>
      <c r="H56" s="2854" t="s">
        <v>184</v>
      </c>
      <c r="I56" s="3027"/>
      <c r="J56" s="2860"/>
      <c r="K56" s="2278" t="s">
        <v>2704</v>
      </c>
      <c r="L56" s="2854"/>
      <c r="M56" s="3026"/>
      <c r="N56" s="2860"/>
      <c r="O56" s="2266" t="s">
        <v>1721</v>
      </c>
      <c r="Q56" s="2777">
        <v>3342816820</v>
      </c>
      <c r="R56" s="2778"/>
      <c r="S56" s="2779"/>
    </row>
    <row r="57" spans="1:19" s="294" customFormat="1" ht="11.25" customHeight="1">
      <c r="E57" s="2263" t="s">
        <v>1799</v>
      </c>
      <c r="H57" s="2499" t="s">
        <v>838</v>
      </c>
      <c r="K57" s="1054" t="s">
        <v>2229</v>
      </c>
      <c r="L57" s="2904">
        <v>361176972</v>
      </c>
      <c r="M57" s="3029"/>
      <c r="O57" s="2266" t="s">
        <v>1979</v>
      </c>
      <c r="Q57" s="2777"/>
      <c r="R57" s="2778"/>
      <c r="S57" s="2779"/>
    </row>
    <row r="58" spans="1:19" s="294" customFormat="1" ht="11.25" customHeight="1">
      <c r="D58" s="333"/>
      <c r="E58" s="2263" t="s">
        <v>4251</v>
      </c>
      <c r="H58" s="3012">
        <v>3342816820</v>
      </c>
      <c r="I58" s="3013"/>
      <c r="J58" s="2528"/>
      <c r="K58" s="2274" t="s">
        <v>1984</v>
      </c>
      <c r="L58" s="2774" t="s">
        <v>5197</v>
      </c>
      <c r="M58" s="2775"/>
      <c r="N58" s="2869"/>
      <c r="O58" s="2869"/>
      <c r="P58" s="2869"/>
      <c r="Q58" s="2775"/>
      <c r="R58" s="2775"/>
      <c r="S58" s="2776"/>
    </row>
    <row r="59" spans="1:19" s="294" customFormat="1" ht="6.6" customHeight="1">
      <c r="D59" s="333"/>
      <c r="E59" s="2271"/>
      <c r="F59" s="2271"/>
      <c r="G59" s="2266"/>
      <c r="H59" s="2529"/>
      <c r="I59" s="2529"/>
      <c r="J59" s="2529"/>
      <c r="K59" s="2274"/>
      <c r="L59" s="2529"/>
      <c r="M59" s="2529"/>
      <c r="N59" s="2268"/>
      <c r="O59" s="2256"/>
      <c r="P59" s="2256"/>
      <c r="Q59" s="2274"/>
      <c r="R59" s="2256"/>
      <c r="S59" s="2256"/>
    </row>
    <row r="60" spans="1:19" s="294" customFormat="1" ht="11.25" customHeight="1">
      <c r="B60" s="296" t="s">
        <v>1985</v>
      </c>
      <c r="C60" s="296" t="s">
        <v>283</v>
      </c>
      <c r="H60" s="3014"/>
      <c r="I60" s="3017"/>
      <c r="J60" s="3017"/>
      <c r="K60" s="3017"/>
      <c r="L60" s="3017"/>
      <c r="M60" s="3017"/>
      <c r="N60" s="3018"/>
      <c r="O60" s="2266" t="s">
        <v>1989</v>
      </c>
      <c r="P60" s="2266"/>
      <c r="Q60" s="3014"/>
      <c r="R60" s="3017"/>
      <c r="S60" s="3018"/>
    </row>
    <row r="61" spans="1:19" s="294" customFormat="1" ht="11.25" customHeight="1">
      <c r="D61" s="333"/>
      <c r="E61" s="2263" t="s">
        <v>1021</v>
      </c>
      <c r="F61" s="306"/>
      <c r="H61" s="2854"/>
      <c r="I61" s="3026"/>
      <c r="J61" s="3026"/>
      <c r="K61" s="3027"/>
      <c r="L61" s="3026"/>
      <c r="M61" s="3026"/>
      <c r="N61" s="3028"/>
      <c r="O61" s="2266" t="s">
        <v>1747</v>
      </c>
      <c r="Q61" s="2780"/>
      <c r="R61" s="2840"/>
      <c r="S61" s="2841"/>
    </row>
    <row r="62" spans="1:19" s="294" customFormat="1" ht="11.25" customHeight="1">
      <c r="D62" s="333"/>
      <c r="E62" s="2263" t="s">
        <v>618</v>
      </c>
      <c r="H62" s="2854"/>
      <c r="I62" s="3027"/>
      <c r="J62" s="2860"/>
      <c r="K62" s="2278" t="s">
        <v>2704</v>
      </c>
      <c r="L62" s="2854"/>
      <c r="M62" s="3026"/>
      <c r="N62" s="2860"/>
      <c r="O62" s="2266" t="s">
        <v>1721</v>
      </c>
      <c r="Q62" s="2777"/>
      <c r="R62" s="2778"/>
      <c r="S62" s="2779"/>
    </row>
    <row r="63" spans="1:19" s="294" customFormat="1" ht="11.25" customHeight="1">
      <c r="E63" s="2263" t="s">
        <v>1799</v>
      </c>
      <c r="H63" s="2499"/>
      <c r="K63" s="1054" t="s">
        <v>2229</v>
      </c>
      <c r="L63" s="2904"/>
      <c r="M63" s="3029"/>
      <c r="O63" s="2266" t="s">
        <v>1979</v>
      </c>
      <c r="Q63" s="2777"/>
      <c r="R63" s="2778"/>
      <c r="S63" s="2779"/>
    </row>
    <row r="64" spans="1:19" s="294" customFormat="1" ht="11.25" customHeight="1">
      <c r="D64" s="333"/>
      <c r="E64" s="2263" t="s">
        <v>4251</v>
      </c>
      <c r="H64" s="3012"/>
      <c r="I64" s="3013"/>
      <c r="J64" s="2528"/>
      <c r="K64" s="2274" t="s">
        <v>1984</v>
      </c>
      <c r="L64" s="2774"/>
      <c r="M64" s="2775"/>
      <c r="N64" s="2869"/>
      <c r="O64" s="2869"/>
      <c r="P64" s="2869"/>
      <c r="Q64" s="2775"/>
      <c r="R64" s="2775"/>
      <c r="S64" s="2776"/>
    </row>
    <row r="65" spans="1:19" s="294" customFormat="1" ht="6.6" customHeight="1">
      <c r="D65" s="333"/>
      <c r="E65" s="2271"/>
      <c r="F65" s="2271"/>
      <c r="G65" s="2266"/>
      <c r="H65" s="2529"/>
      <c r="I65" s="2529"/>
      <c r="J65" s="2529"/>
      <c r="K65" s="2274"/>
      <c r="L65" s="2529"/>
      <c r="M65" s="2529"/>
      <c r="N65" s="2268"/>
      <c r="O65" s="2256"/>
      <c r="P65" s="2256"/>
      <c r="Q65" s="2274"/>
      <c r="R65" s="2256"/>
      <c r="S65" s="2256"/>
    </row>
    <row r="66" spans="1:19" s="294" customFormat="1" ht="11.25" customHeight="1">
      <c r="B66" s="296" t="s">
        <v>749</v>
      </c>
      <c r="C66" s="296" t="s">
        <v>1528</v>
      </c>
      <c r="H66" s="3014"/>
      <c r="I66" s="3017"/>
      <c r="J66" s="3017"/>
      <c r="K66" s="3017"/>
      <c r="L66" s="3017"/>
      <c r="M66" s="3017"/>
      <c r="N66" s="3018"/>
      <c r="O66" s="2266" t="s">
        <v>1989</v>
      </c>
      <c r="P66" s="2266"/>
      <c r="Q66" s="3014"/>
      <c r="R66" s="3017"/>
      <c r="S66" s="3018"/>
    </row>
    <row r="67" spans="1:19" s="294" customFormat="1" ht="11.25" customHeight="1">
      <c r="D67" s="333"/>
      <c r="E67" s="2263" t="s">
        <v>1021</v>
      </c>
      <c r="F67" s="306"/>
      <c r="H67" s="2854"/>
      <c r="I67" s="3026"/>
      <c r="J67" s="3026"/>
      <c r="K67" s="3027"/>
      <c r="L67" s="3026"/>
      <c r="M67" s="3026"/>
      <c r="N67" s="3028"/>
      <c r="O67" s="2266" t="s">
        <v>1747</v>
      </c>
      <c r="Q67" s="2780"/>
      <c r="R67" s="2840"/>
      <c r="S67" s="2841"/>
    </row>
    <row r="68" spans="1:19" s="294" customFormat="1" ht="11.25" customHeight="1">
      <c r="D68" s="333"/>
      <c r="E68" s="2263" t="s">
        <v>618</v>
      </c>
      <c r="H68" s="2854"/>
      <c r="I68" s="3027"/>
      <c r="J68" s="2860"/>
      <c r="K68" s="2278" t="s">
        <v>2704</v>
      </c>
      <c r="L68" s="2854"/>
      <c r="M68" s="3026"/>
      <c r="N68" s="2860"/>
      <c r="O68" s="2266" t="s">
        <v>1721</v>
      </c>
      <c r="Q68" s="2777"/>
      <c r="R68" s="2778"/>
      <c r="S68" s="2779"/>
    </row>
    <row r="69" spans="1:19" s="294" customFormat="1" ht="11.25" customHeight="1">
      <c r="E69" s="2263" t="s">
        <v>1799</v>
      </c>
      <c r="H69" s="2499"/>
      <c r="K69" s="1054" t="s">
        <v>2229</v>
      </c>
      <c r="L69" s="2904"/>
      <c r="M69" s="3029"/>
      <c r="O69" s="2266" t="s">
        <v>1979</v>
      </c>
      <c r="Q69" s="2777"/>
      <c r="R69" s="2778"/>
      <c r="S69" s="2779"/>
    </row>
    <row r="70" spans="1:19" s="294" customFormat="1" ht="11.25" customHeight="1">
      <c r="D70" s="333"/>
      <c r="E70" s="2263" t="s">
        <v>4251</v>
      </c>
      <c r="H70" s="3012"/>
      <c r="I70" s="3013"/>
      <c r="J70" s="2528"/>
      <c r="K70" s="2274" t="s">
        <v>1984</v>
      </c>
      <c r="L70" s="2774"/>
      <c r="M70" s="2775"/>
      <c r="N70" s="2869"/>
      <c r="O70" s="2869"/>
      <c r="P70" s="2869"/>
      <c r="Q70" s="2775"/>
      <c r="R70" s="2775"/>
      <c r="S70" s="2776"/>
    </row>
    <row r="71" spans="1:19" ht="6.6" customHeight="1">
      <c r="H71" s="2529"/>
      <c r="I71" s="2529"/>
      <c r="J71" s="2529"/>
      <c r="K71" s="2274"/>
      <c r="L71" s="2529"/>
      <c r="M71" s="2529"/>
      <c r="N71" s="2268"/>
      <c r="O71" s="2256"/>
      <c r="P71" s="2256"/>
      <c r="Q71" s="2274"/>
      <c r="R71" s="2256"/>
      <c r="S71" s="2256"/>
    </row>
    <row r="72" spans="1:19" s="294" customFormat="1" ht="11.25" customHeight="1">
      <c r="B72" s="296" t="s">
        <v>2115</v>
      </c>
      <c r="C72" s="296" t="s">
        <v>284</v>
      </c>
      <c r="H72" s="3014"/>
      <c r="I72" s="3017"/>
      <c r="J72" s="3017"/>
      <c r="K72" s="3017"/>
      <c r="L72" s="3017"/>
      <c r="M72" s="3017"/>
      <c r="N72" s="3018"/>
      <c r="O72" s="2266" t="s">
        <v>1989</v>
      </c>
      <c r="P72" s="2266"/>
      <c r="Q72" s="3014"/>
      <c r="R72" s="3017"/>
      <c r="S72" s="3018"/>
    </row>
    <row r="73" spans="1:19" s="294" customFormat="1" ht="11.25" customHeight="1">
      <c r="D73" s="333"/>
      <c r="E73" s="2263" t="s">
        <v>1021</v>
      </c>
      <c r="F73" s="306"/>
      <c r="H73" s="2854"/>
      <c r="I73" s="3026"/>
      <c r="J73" s="3026"/>
      <c r="K73" s="3027"/>
      <c r="L73" s="3026"/>
      <c r="M73" s="3026"/>
      <c r="N73" s="3028"/>
      <c r="O73" s="2266" t="s">
        <v>1747</v>
      </c>
      <c r="Q73" s="2780"/>
      <c r="R73" s="2840"/>
      <c r="S73" s="2841"/>
    </row>
    <row r="74" spans="1:19" s="294" customFormat="1" ht="11.25" customHeight="1">
      <c r="D74" s="333"/>
      <c r="E74" s="2263" t="s">
        <v>618</v>
      </c>
      <c r="H74" s="2854"/>
      <c r="I74" s="3027"/>
      <c r="J74" s="2860"/>
      <c r="K74" s="2278" t="s">
        <v>2704</v>
      </c>
      <c r="L74" s="2854"/>
      <c r="M74" s="3026"/>
      <c r="N74" s="2860"/>
      <c r="O74" s="2266" t="s">
        <v>1721</v>
      </c>
      <c r="Q74" s="2777"/>
      <c r="R74" s="2778"/>
      <c r="S74" s="2779"/>
    </row>
    <row r="75" spans="1:19" s="294" customFormat="1" ht="11.25" customHeight="1">
      <c r="E75" s="2263" t="s">
        <v>1799</v>
      </c>
      <c r="H75" s="2499"/>
      <c r="K75" s="1054" t="s">
        <v>2229</v>
      </c>
      <c r="L75" s="2904"/>
      <c r="M75" s="3029"/>
      <c r="O75" s="2266" t="s">
        <v>1979</v>
      </c>
      <c r="Q75" s="2777"/>
      <c r="R75" s="2778"/>
      <c r="S75" s="2779"/>
    </row>
    <row r="76" spans="1:19" s="294" customFormat="1" ht="11.25" customHeight="1">
      <c r="D76" s="333"/>
      <c r="E76" s="2263" t="s">
        <v>4251</v>
      </c>
      <c r="H76" s="3012"/>
      <c r="I76" s="3013"/>
      <c r="J76" s="2528"/>
      <c r="K76" s="2274" t="s">
        <v>1984</v>
      </c>
      <c r="L76" s="2774"/>
      <c r="M76" s="2775"/>
      <c r="N76" s="2869"/>
      <c r="O76" s="2869"/>
      <c r="P76" s="2869"/>
      <c r="Q76" s="2775"/>
      <c r="R76" s="2775"/>
      <c r="S76" s="2776"/>
    </row>
    <row r="77" spans="1:19" ht="6.75" customHeight="1"/>
    <row r="78" spans="1:19" s="2263" customFormat="1" ht="13.2" customHeight="1">
      <c r="A78" s="299" t="s">
        <v>742</v>
      </c>
      <c r="B78" s="299" t="s">
        <v>285</v>
      </c>
      <c r="D78" s="299"/>
      <c r="E78" s="2266"/>
      <c r="F78" s="2265"/>
      <c r="G78" s="2265"/>
      <c r="H78" s="2265"/>
      <c r="I78" s="2265"/>
      <c r="J78" s="2265"/>
      <c r="K78" s="1275" t="s">
        <v>4250</v>
      </c>
      <c r="L78" s="2265"/>
      <c r="M78" s="2265"/>
    </row>
    <row r="79" spans="1:19" s="2263" customFormat="1" ht="3" customHeight="1">
      <c r="A79" s="299"/>
      <c r="B79" s="299"/>
      <c r="D79" s="299"/>
      <c r="E79" s="2266"/>
      <c r="F79" s="2265"/>
      <c r="G79" s="2265"/>
      <c r="H79" s="2530"/>
      <c r="I79" s="2530"/>
      <c r="J79" s="2530"/>
      <c r="K79" s="2268"/>
      <c r="L79" s="2530"/>
      <c r="M79" s="2530"/>
      <c r="N79" s="2268"/>
      <c r="O79" s="2256"/>
      <c r="P79" s="2256"/>
      <c r="Q79" s="2274"/>
      <c r="R79" s="2256"/>
      <c r="S79" s="2256"/>
    </row>
    <row r="80" spans="1:19" s="294" customFormat="1" ht="11.25" customHeight="1">
      <c r="B80" s="296" t="s">
        <v>1983</v>
      </c>
      <c r="C80" s="296" t="s">
        <v>286</v>
      </c>
      <c r="H80" s="3014"/>
      <c r="I80" s="3017"/>
      <c r="J80" s="3017"/>
      <c r="K80" s="3017"/>
      <c r="L80" s="3017"/>
      <c r="M80" s="3017"/>
      <c r="N80" s="3018"/>
      <c r="O80" s="2266" t="s">
        <v>1989</v>
      </c>
      <c r="P80" s="2266"/>
      <c r="Q80" s="3014"/>
      <c r="R80" s="3017"/>
      <c r="S80" s="3018"/>
    </row>
    <row r="81" spans="2:19" s="294" customFormat="1" ht="11.25" customHeight="1">
      <c r="D81" s="333"/>
      <c r="E81" s="2263" t="s">
        <v>1021</v>
      </c>
      <c r="F81" s="306"/>
      <c r="H81" s="2854"/>
      <c r="I81" s="3026"/>
      <c r="J81" s="3026"/>
      <c r="K81" s="3027"/>
      <c r="L81" s="3026"/>
      <c r="M81" s="3026"/>
      <c r="N81" s="3028"/>
      <c r="O81" s="2266" t="s">
        <v>1747</v>
      </c>
      <c r="Q81" s="2780"/>
      <c r="R81" s="2840"/>
      <c r="S81" s="2841"/>
    </row>
    <row r="82" spans="2:19" s="294" customFormat="1" ht="11.25" customHeight="1">
      <c r="D82" s="333"/>
      <c r="E82" s="2263" t="s">
        <v>618</v>
      </c>
      <c r="H82" s="2854"/>
      <c r="I82" s="3027"/>
      <c r="J82" s="2860"/>
      <c r="K82" s="2278" t="s">
        <v>2704</v>
      </c>
      <c r="L82" s="2854"/>
      <c r="M82" s="3026"/>
      <c r="N82" s="2860"/>
      <c r="O82" s="2266" t="s">
        <v>1721</v>
      </c>
      <c r="Q82" s="2777"/>
      <c r="R82" s="2778"/>
      <c r="S82" s="2779"/>
    </row>
    <row r="83" spans="2:19" s="294" customFormat="1" ht="11.25" customHeight="1">
      <c r="E83" s="2263" t="s">
        <v>1799</v>
      </c>
      <c r="H83" s="2499"/>
      <c r="K83" s="1054" t="s">
        <v>2229</v>
      </c>
      <c r="L83" s="2904"/>
      <c r="M83" s="3029"/>
      <c r="O83" s="2266" t="s">
        <v>1979</v>
      </c>
      <c r="Q83" s="2777"/>
      <c r="R83" s="2778"/>
      <c r="S83" s="2779"/>
    </row>
    <row r="84" spans="2:19" s="294" customFormat="1" ht="11.25" customHeight="1">
      <c r="D84" s="333"/>
      <c r="E84" s="2263" t="s">
        <v>4251</v>
      </c>
      <c r="H84" s="3012"/>
      <c r="I84" s="3013"/>
      <c r="J84" s="2528"/>
      <c r="K84" s="2274" t="s">
        <v>1984</v>
      </c>
      <c r="L84" s="2774"/>
      <c r="M84" s="2775"/>
      <c r="N84" s="2869"/>
      <c r="O84" s="2869"/>
      <c r="P84" s="2869"/>
      <c r="Q84" s="2775"/>
      <c r="R84" s="2775"/>
      <c r="S84" s="2776"/>
    </row>
    <row r="85" spans="2:19" ht="6.6" customHeight="1">
      <c r="H85" s="2529"/>
      <c r="I85" s="2529"/>
      <c r="J85" s="2529"/>
      <c r="K85" s="2274"/>
      <c r="L85" s="2529"/>
      <c r="M85" s="2529"/>
      <c r="N85" s="2268"/>
      <c r="O85" s="2256"/>
      <c r="P85" s="2256"/>
      <c r="Q85" s="2274"/>
      <c r="R85" s="2256"/>
      <c r="S85" s="2256"/>
    </row>
    <row r="86" spans="2:19" s="294" customFormat="1" ht="11.25" customHeight="1">
      <c r="B86" s="296" t="s">
        <v>1985</v>
      </c>
      <c r="C86" s="296" t="s">
        <v>287</v>
      </c>
      <c r="H86" s="3014" t="s">
        <v>5150</v>
      </c>
      <c r="I86" s="3017"/>
      <c r="J86" s="3017"/>
      <c r="K86" s="3017"/>
      <c r="L86" s="3017"/>
      <c r="M86" s="3017"/>
      <c r="N86" s="3018"/>
      <c r="O86" s="2266" t="s">
        <v>1989</v>
      </c>
      <c r="P86" s="2266"/>
      <c r="Q86" s="3014" t="s">
        <v>5147</v>
      </c>
      <c r="R86" s="3017"/>
      <c r="S86" s="3018"/>
    </row>
    <row r="87" spans="2:19" s="294" customFormat="1" ht="11.25" customHeight="1">
      <c r="D87" s="333"/>
      <c r="E87" s="2263" t="s">
        <v>1021</v>
      </c>
      <c r="F87" s="306"/>
      <c r="H87" s="2854" t="s">
        <v>5131</v>
      </c>
      <c r="I87" s="3026"/>
      <c r="J87" s="3026"/>
      <c r="K87" s="3027"/>
      <c r="L87" s="3026"/>
      <c r="M87" s="3026"/>
      <c r="N87" s="3028"/>
      <c r="O87" s="2266" t="s">
        <v>1747</v>
      </c>
      <c r="Q87" s="2780" t="s">
        <v>5148</v>
      </c>
      <c r="R87" s="2840"/>
      <c r="S87" s="2841"/>
    </row>
    <row r="88" spans="2:19" s="294" customFormat="1" ht="11.25" customHeight="1">
      <c r="D88" s="333"/>
      <c r="E88" s="2263" t="s">
        <v>618</v>
      </c>
      <c r="H88" s="2854" t="s">
        <v>2528</v>
      </c>
      <c r="I88" s="3027"/>
      <c r="J88" s="2860"/>
      <c r="K88" s="2278" t="s">
        <v>2704</v>
      </c>
      <c r="L88" s="2854" t="s">
        <v>5151</v>
      </c>
      <c r="M88" s="3026"/>
      <c r="N88" s="2860"/>
      <c r="O88" s="2266" t="s">
        <v>1721</v>
      </c>
      <c r="Q88" s="2777">
        <v>5734432021</v>
      </c>
      <c r="R88" s="2778"/>
      <c r="S88" s="2779"/>
    </row>
    <row r="89" spans="2:19" s="294" customFormat="1" ht="11.25" customHeight="1">
      <c r="E89" s="2263" t="s">
        <v>1799</v>
      </c>
      <c r="H89" s="2499" t="s">
        <v>1341</v>
      </c>
      <c r="K89" s="1054" t="s">
        <v>2229</v>
      </c>
      <c r="L89" s="2904">
        <v>652034905</v>
      </c>
      <c r="M89" s="3029"/>
      <c r="O89" s="2266" t="s">
        <v>1979</v>
      </c>
      <c r="Q89" s="2777"/>
      <c r="R89" s="2778"/>
      <c r="S89" s="2779"/>
    </row>
    <row r="90" spans="2:19" s="294" customFormat="1" ht="11.25" customHeight="1">
      <c r="D90" s="333"/>
      <c r="E90" s="2263" t="s">
        <v>4251</v>
      </c>
      <c r="H90" s="3012">
        <v>5734432021</v>
      </c>
      <c r="I90" s="3013"/>
      <c r="J90" s="2528"/>
      <c r="K90" s="2274" t="s">
        <v>1984</v>
      </c>
      <c r="L90" s="2774" t="s">
        <v>5149</v>
      </c>
      <c r="M90" s="2775"/>
      <c r="N90" s="2869"/>
      <c r="O90" s="2869"/>
      <c r="P90" s="2869"/>
      <c r="Q90" s="2775"/>
      <c r="R90" s="2775"/>
      <c r="S90" s="2776"/>
    </row>
    <row r="91" spans="2:19" ht="6.6" customHeight="1">
      <c r="H91" s="2529"/>
      <c r="I91" s="2529"/>
      <c r="J91" s="2529"/>
      <c r="K91" s="2274"/>
      <c r="L91" s="2529"/>
      <c r="M91" s="2529"/>
      <c r="N91" s="2268"/>
      <c r="O91" s="2256"/>
      <c r="P91" s="2256"/>
      <c r="Q91" s="2274"/>
      <c r="R91" s="2256"/>
      <c r="S91" s="2256"/>
    </row>
    <row r="92" spans="2:19" s="294" customFormat="1" ht="11.25" customHeight="1">
      <c r="B92" s="296" t="s">
        <v>749</v>
      </c>
      <c r="C92" s="296" t="s">
        <v>288</v>
      </c>
      <c r="F92" s="312"/>
      <c r="H92" s="3014" t="s">
        <v>5136</v>
      </c>
      <c r="I92" s="3017"/>
      <c r="J92" s="3017"/>
      <c r="K92" s="3017"/>
      <c r="L92" s="3017"/>
      <c r="M92" s="3017"/>
      <c r="N92" s="3018"/>
      <c r="O92" s="2266" t="s">
        <v>1989</v>
      </c>
      <c r="P92" s="2266"/>
      <c r="Q92" s="3014" t="s">
        <v>5137</v>
      </c>
      <c r="R92" s="3017"/>
      <c r="S92" s="3018"/>
    </row>
    <row r="93" spans="2:19" s="294" customFormat="1" ht="11.25" customHeight="1">
      <c r="D93" s="333"/>
      <c r="E93" s="2263" t="s">
        <v>1021</v>
      </c>
      <c r="F93" s="306"/>
      <c r="H93" s="2854" t="s">
        <v>5152</v>
      </c>
      <c r="I93" s="3026"/>
      <c r="J93" s="3026"/>
      <c r="K93" s="3027"/>
      <c r="L93" s="3026"/>
      <c r="M93" s="3026"/>
      <c r="N93" s="3028"/>
      <c r="O93" s="2266" t="s">
        <v>1747</v>
      </c>
      <c r="Q93" s="2780" t="s">
        <v>5138</v>
      </c>
      <c r="R93" s="2840"/>
      <c r="S93" s="2841"/>
    </row>
    <row r="94" spans="2:19" s="294" customFormat="1" ht="11.25" customHeight="1">
      <c r="D94" s="333"/>
      <c r="E94" s="2263" t="s">
        <v>618</v>
      </c>
      <c r="H94" s="2854" t="s">
        <v>1205</v>
      </c>
      <c r="I94" s="3027"/>
      <c r="J94" s="2860"/>
      <c r="K94" s="2278" t="s">
        <v>2704</v>
      </c>
      <c r="L94" s="2854" t="s">
        <v>5153</v>
      </c>
      <c r="M94" s="3026"/>
      <c r="N94" s="2860"/>
      <c r="O94" s="2266" t="s">
        <v>1721</v>
      </c>
      <c r="Q94" s="2777">
        <v>5734432021</v>
      </c>
      <c r="R94" s="2778"/>
      <c r="S94" s="2779"/>
    </row>
    <row r="95" spans="2:19" s="294" customFormat="1" ht="11.25" customHeight="1">
      <c r="D95" s="333"/>
      <c r="E95" s="2263" t="s">
        <v>1799</v>
      </c>
      <c r="H95" s="2499" t="s">
        <v>848</v>
      </c>
      <c r="K95" s="1054" t="s">
        <v>2229</v>
      </c>
      <c r="L95" s="2904">
        <v>303272212</v>
      </c>
      <c r="M95" s="3029"/>
      <c r="O95" s="2266" t="s">
        <v>1979</v>
      </c>
      <c r="Q95" s="2777"/>
      <c r="R95" s="2778"/>
      <c r="S95" s="2779"/>
    </row>
    <row r="96" spans="2:19" s="294" customFormat="1" ht="11.25" customHeight="1">
      <c r="D96" s="333"/>
      <c r="E96" s="2263" t="s">
        <v>4251</v>
      </c>
      <c r="H96" s="3012">
        <v>5734432021</v>
      </c>
      <c r="I96" s="3013"/>
      <c r="J96" s="2528"/>
      <c r="K96" s="2274" t="s">
        <v>1984</v>
      </c>
      <c r="L96" s="2774" t="s">
        <v>5139</v>
      </c>
      <c r="M96" s="2775"/>
      <c r="N96" s="2869"/>
      <c r="O96" s="2869"/>
      <c r="P96" s="2869"/>
      <c r="Q96" s="2775"/>
      <c r="R96" s="2775"/>
      <c r="S96" s="2776"/>
    </row>
    <row r="97" spans="2:19" ht="6.6" customHeight="1">
      <c r="H97" s="2529"/>
      <c r="I97" s="2529"/>
      <c r="J97" s="2529"/>
      <c r="K97" s="2274"/>
      <c r="L97" s="2529"/>
      <c r="M97" s="2529"/>
      <c r="N97" s="2268"/>
      <c r="O97" s="2256"/>
      <c r="P97" s="2256"/>
      <c r="Q97" s="2274"/>
      <c r="R97" s="2256"/>
      <c r="S97" s="2256"/>
    </row>
    <row r="98" spans="2:19" s="294" customFormat="1" ht="11.25" customHeight="1">
      <c r="B98" s="296" t="s">
        <v>2115</v>
      </c>
      <c r="C98" s="296" t="s">
        <v>289</v>
      </c>
      <c r="H98" s="3014" t="s">
        <v>5211</v>
      </c>
      <c r="I98" s="3017"/>
      <c r="J98" s="3017"/>
      <c r="K98" s="3017"/>
      <c r="L98" s="3017"/>
      <c r="M98" s="3017"/>
      <c r="N98" s="3018"/>
      <c r="O98" s="2266" t="s">
        <v>1989</v>
      </c>
      <c r="P98" s="2266"/>
      <c r="Q98" s="3014" t="s">
        <v>5215</v>
      </c>
      <c r="R98" s="3017"/>
      <c r="S98" s="3018"/>
    </row>
    <row r="99" spans="2:19" s="294" customFormat="1" ht="11.25" customHeight="1">
      <c r="D99" s="333"/>
      <c r="E99" s="2263" t="s">
        <v>1021</v>
      </c>
      <c r="F99" s="306"/>
      <c r="H99" s="2854" t="s">
        <v>5212</v>
      </c>
      <c r="I99" s="3026"/>
      <c r="J99" s="3026"/>
      <c r="K99" s="3027"/>
      <c r="L99" s="3026"/>
      <c r="M99" s="3026"/>
      <c r="N99" s="3028"/>
      <c r="O99" s="2266" t="s">
        <v>1747</v>
      </c>
      <c r="Q99" s="2780" t="s">
        <v>5154</v>
      </c>
      <c r="R99" s="2840"/>
      <c r="S99" s="2841"/>
    </row>
    <row r="100" spans="2:19" s="294" customFormat="1" ht="11.25" customHeight="1">
      <c r="D100" s="333"/>
      <c r="E100" s="2263" t="s">
        <v>618</v>
      </c>
      <c r="H100" s="2854" t="s">
        <v>1696</v>
      </c>
      <c r="I100" s="3027"/>
      <c r="J100" s="2860"/>
      <c r="K100" s="2278" t="s">
        <v>2704</v>
      </c>
      <c r="L100" s="2854" t="s">
        <v>5213</v>
      </c>
      <c r="M100" s="3026"/>
      <c r="N100" s="2860"/>
      <c r="O100" s="2266" t="s">
        <v>1721</v>
      </c>
      <c r="Q100" s="2777">
        <v>2296718260</v>
      </c>
      <c r="R100" s="2778"/>
      <c r="S100" s="2779"/>
    </row>
    <row r="101" spans="2:19" s="294" customFormat="1" ht="11.25" customHeight="1">
      <c r="D101" s="333"/>
      <c r="E101" s="2263" t="s">
        <v>1799</v>
      </c>
      <c r="H101" s="2499" t="s">
        <v>848</v>
      </c>
      <c r="K101" s="1054" t="s">
        <v>2229</v>
      </c>
      <c r="L101" s="2904">
        <v>316015601</v>
      </c>
      <c r="M101" s="3029"/>
      <c r="O101" s="2266" t="s">
        <v>1979</v>
      </c>
      <c r="Q101" s="2777">
        <v>2298349704</v>
      </c>
      <c r="R101" s="2778"/>
      <c r="S101" s="2779"/>
    </row>
    <row r="102" spans="2:19" ht="11.25" customHeight="1">
      <c r="E102" s="2263" t="s">
        <v>4251</v>
      </c>
      <c r="F102" s="294"/>
      <c r="G102" s="294"/>
      <c r="H102" s="3012">
        <v>2292427562</v>
      </c>
      <c r="I102" s="3013"/>
      <c r="J102" s="2528"/>
      <c r="K102" s="2274" t="s">
        <v>1984</v>
      </c>
      <c r="L102" s="2774" t="s">
        <v>5214</v>
      </c>
      <c r="M102" s="2775"/>
      <c r="N102" s="2869"/>
      <c r="O102" s="2869"/>
      <c r="P102" s="2869"/>
      <c r="Q102" s="2775"/>
      <c r="R102" s="2775"/>
      <c r="S102" s="2776"/>
    </row>
    <row r="103" spans="2:19" ht="6" customHeight="1">
      <c r="E103" s="2263"/>
      <c r="F103" s="294"/>
      <c r="G103" s="2271"/>
      <c r="H103" s="2529"/>
      <c r="I103" s="2529"/>
      <c r="J103" s="2529"/>
      <c r="K103" s="2274"/>
      <c r="L103" s="2529"/>
      <c r="M103" s="2529"/>
      <c r="N103" s="2268"/>
      <c r="O103" s="2256"/>
      <c r="P103" s="2256"/>
      <c r="Q103" s="2274"/>
      <c r="R103" s="2256"/>
      <c r="S103" s="2256"/>
    </row>
    <row r="104" spans="2:19" s="294" customFormat="1" ht="11.25" customHeight="1">
      <c r="B104" s="296" t="s">
        <v>1735</v>
      </c>
      <c r="C104" s="296" t="s">
        <v>290</v>
      </c>
      <c r="H104" s="3014" t="s">
        <v>5155</v>
      </c>
      <c r="I104" s="3017"/>
      <c r="J104" s="3017"/>
      <c r="K104" s="3017"/>
      <c r="L104" s="3017"/>
      <c r="M104" s="3017"/>
      <c r="N104" s="3018"/>
      <c r="O104" s="2266" t="s">
        <v>1989</v>
      </c>
      <c r="P104" s="2266"/>
      <c r="Q104" s="3014" t="s">
        <v>5157</v>
      </c>
      <c r="R104" s="3017"/>
      <c r="S104" s="3018"/>
    </row>
    <row r="105" spans="2:19" s="294" customFormat="1" ht="11.25" customHeight="1">
      <c r="D105" s="333"/>
      <c r="E105" s="2263" t="s">
        <v>1021</v>
      </c>
      <c r="F105" s="306"/>
      <c r="H105" s="2854" t="s">
        <v>5156</v>
      </c>
      <c r="I105" s="3026"/>
      <c r="J105" s="3026"/>
      <c r="K105" s="3027"/>
      <c r="L105" s="3026"/>
      <c r="M105" s="3026"/>
      <c r="N105" s="3028"/>
      <c r="O105" s="2266" t="s">
        <v>1747</v>
      </c>
      <c r="Q105" s="2780" t="s">
        <v>1850</v>
      </c>
      <c r="R105" s="2840"/>
      <c r="S105" s="2841"/>
    </row>
    <row r="106" spans="2:19" s="294" customFormat="1" ht="11.25" customHeight="1">
      <c r="D106" s="333"/>
      <c r="E106" s="2263" t="s">
        <v>618</v>
      </c>
      <c r="H106" s="2854" t="s">
        <v>2528</v>
      </c>
      <c r="I106" s="3027"/>
      <c r="J106" s="2860"/>
      <c r="K106" s="2278" t="s">
        <v>2704</v>
      </c>
      <c r="L106" s="2854"/>
      <c r="M106" s="3026"/>
      <c r="N106" s="2860"/>
      <c r="O106" s="2266" t="s">
        <v>1721</v>
      </c>
      <c r="Q106" s="2777">
        <v>5738741040</v>
      </c>
      <c r="R106" s="2778"/>
      <c r="S106" s="2779"/>
    </row>
    <row r="107" spans="2:19" s="294" customFormat="1" ht="11.25" customHeight="1">
      <c r="D107" s="333"/>
      <c r="E107" s="2263" t="s">
        <v>1799</v>
      </c>
      <c r="H107" s="2499" t="s">
        <v>1341</v>
      </c>
      <c r="K107" s="1054" t="s">
        <v>2229</v>
      </c>
      <c r="L107" s="2904">
        <v>652034256</v>
      </c>
      <c r="M107" s="3029"/>
      <c r="O107" s="2266" t="s">
        <v>1979</v>
      </c>
      <c r="Q107" s="2777"/>
      <c r="R107" s="2778"/>
      <c r="S107" s="2779"/>
    </row>
    <row r="108" spans="2:19" ht="11.25" customHeight="1">
      <c r="E108" s="2263" t="s">
        <v>4251</v>
      </c>
      <c r="F108" s="294"/>
      <c r="G108" s="294"/>
      <c r="H108" s="3012">
        <v>5738741040</v>
      </c>
      <c r="I108" s="3013"/>
      <c r="J108" s="2528"/>
      <c r="K108" s="2274" t="s">
        <v>1984</v>
      </c>
      <c r="L108" s="2774"/>
      <c r="M108" s="2775"/>
      <c r="N108" s="2869"/>
      <c r="O108" s="2869"/>
      <c r="P108" s="2869"/>
      <c r="Q108" s="2775"/>
      <c r="R108" s="2775"/>
      <c r="S108" s="2776"/>
    </row>
    <row r="109" spans="2:19" ht="6.6" customHeight="1">
      <c r="E109" s="2263"/>
      <c r="F109" s="294"/>
      <c r="G109" s="2271"/>
      <c r="H109" s="2529"/>
      <c r="I109" s="2529"/>
      <c r="J109" s="2529"/>
      <c r="K109" s="2274"/>
      <c r="L109" s="2529"/>
      <c r="M109" s="2529"/>
      <c r="N109" s="2268"/>
      <c r="O109" s="2256"/>
      <c r="P109" s="2256"/>
      <c r="Q109" s="2274"/>
      <c r="R109" s="2256"/>
      <c r="S109" s="2256"/>
    </row>
    <row r="110" spans="2:19" s="294" customFormat="1" ht="11.25" customHeight="1">
      <c r="B110" s="296" t="s">
        <v>1736</v>
      </c>
      <c r="C110" s="296" t="s">
        <v>291</v>
      </c>
      <c r="H110" s="3014" t="s">
        <v>5141</v>
      </c>
      <c r="I110" s="3017"/>
      <c r="J110" s="3017"/>
      <c r="K110" s="3017"/>
      <c r="L110" s="3017"/>
      <c r="M110" s="3017"/>
      <c r="N110" s="3018"/>
      <c r="O110" s="2266" t="s">
        <v>1989</v>
      </c>
      <c r="P110" s="2266"/>
      <c r="Q110" s="3014" t="s">
        <v>5144</v>
      </c>
      <c r="R110" s="3017"/>
      <c r="S110" s="3018"/>
    </row>
    <row r="111" spans="2:19" s="294" customFormat="1" ht="11.25" customHeight="1">
      <c r="D111" s="333"/>
      <c r="E111" s="2263" t="s">
        <v>1021</v>
      </c>
      <c r="F111" s="306"/>
      <c r="H111" s="2854" t="s">
        <v>5142</v>
      </c>
      <c r="I111" s="3026"/>
      <c r="J111" s="3026"/>
      <c r="K111" s="3027"/>
      <c r="L111" s="3026"/>
      <c r="M111" s="3026"/>
      <c r="N111" s="3028"/>
      <c r="O111" s="2266" t="s">
        <v>1747</v>
      </c>
      <c r="Q111" s="2780" t="s">
        <v>5145</v>
      </c>
      <c r="R111" s="2840"/>
      <c r="S111" s="2841"/>
    </row>
    <row r="112" spans="2:19" s="294" customFormat="1" ht="11.25" customHeight="1">
      <c r="D112" s="333"/>
      <c r="E112" s="2263" t="s">
        <v>618</v>
      </c>
      <c r="H112" s="2854" t="s">
        <v>196</v>
      </c>
      <c r="I112" s="3027"/>
      <c r="J112" s="2860"/>
      <c r="K112" s="2278" t="s">
        <v>2704</v>
      </c>
      <c r="L112" s="2854" t="s">
        <v>5143</v>
      </c>
      <c r="M112" s="3026"/>
      <c r="N112" s="2860"/>
      <c r="O112" s="2266" t="s">
        <v>1721</v>
      </c>
      <c r="Q112" s="2777">
        <v>4043732800</v>
      </c>
      <c r="R112" s="2778"/>
      <c r="S112" s="2779"/>
    </row>
    <row r="113" spans="1:22" s="294" customFormat="1" ht="11.25" customHeight="1">
      <c r="D113" s="337"/>
      <c r="E113" s="2263" t="s">
        <v>1799</v>
      </c>
      <c r="H113" s="2499" t="s">
        <v>848</v>
      </c>
      <c r="K113" s="1054" t="s">
        <v>2229</v>
      </c>
      <c r="L113" s="2904">
        <v>300303330</v>
      </c>
      <c r="M113" s="3029"/>
      <c r="O113" s="2266" t="s">
        <v>1979</v>
      </c>
      <c r="Q113" s="2777"/>
      <c r="R113" s="2778"/>
      <c r="S113" s="2779"/>
    </row>
    <row r="114" spans="1:22" s="294" customFormat="1" ht="11.25" customHeight="1">
      <c r="D114" s="337"/>
      <c r="E114" s="2263" t="s">
        <v>4251</v>
      </c>
      <c r="H114" s="3012">
        <v>4043732800</v>
      </c>
      <c r="I114" s="3013"/>
      <c r="J114" s="2528"/>
      <c r="K114" s="2274" t="s">
        <v>1984</v>
      </c>
      <c r="L114" s="2774" t="s">
        <v>5146</v>
      </c>
      <c r="M114" s="2775"/>
      <c r="N114" s="2869"/>
      <c r="O114" s="2869"/>
      <c r="P114" s="2869"/>
      <c r="Q114" s="2775"/>
      <c r="R114" s="2775"/>
      <c r="S114" s="2776"/>
    </row>
    <row r="115" spans="1:22" ht="3" customHeight="1"/>
    <row r="116" spans="1:22" s="294" customFormat="1" ht="12" customHeight="1">
      <c r="A116" s="296" t="s">
        <v>1792</v>
      </c>
      <c r="B116" s="296" t="s">
        <v>2603</v>
      </c>
      <c r="F116" s="296"/>
      <c r="G116" s="2274"/>
      <c r="H116" s="2274"/>
      <c r="I116" s="2274"/>
      <c r="J116" s="2274"/>
      <c r="K116" s="2274"/>
      <c r="L116" s="2274"/>
      <c r="M116" s="2274"/>
      <c r="N116" s="2274"/>
      <c r="O116" s="2274"/>
      <c r="P116" s="2274"/>
      <c r="Q116" s="2278"/>
    </row>
    <row r="117" spans="1:22" s="294" customFormat="1" ht="11.25" customHeight="1">
      <c r="B117" s="296" t="s">
        <v>1983</v>
      </c>
      <c r="C117" s="296" t="s">
        <v>3577</v>
      </c>
      <c r="H117" s="3014" t="s">
        <v>5216</v>
      </c>
      <c r="I117" s="3015"/>
      <c r="J117" s="3016"/>
      <c r="K117" s="2274" t="s">
        <v>2474</v>
      </c>
      <c r="L117" s="3014" t="s">
        <v>5219</v>
      </c>
      <c r="M117" s="3017"/>
      <c r="N117" s="3018"/>
      <c r="O117" s="2263" t="s">
        <v>3578</v>
      </c>
      <c r="Q117" s="3019"/>
      <c r="R117" s="3020"/>
      <c r="S117" s="3021"/>
    </row>
    <row r="118" spans="1:22" s="294" customFormat="1" ht="11.25" customHeight="1">
      <c r="D118" s="333"/>
      <c r="E118" s="2263" t="s">
        <v>1021</v>
      </c>
      <c r="F118" s="306"/>
      <c r="H118" s="2842" t="s">
        <v>5217</v>
      </c>
      <c r="I118" s="3022"/>
      <c r="J118" s="3023"/>
      <c r="K118" s="2843"/>
      <c r="L118" s="3022"/>
      <c r="M118" s="3022"/>
      <c r="N118" s="3024"/>
      <c r="O118" s="2263" t="s">
        <v>618</v>
      </c>
      <c r="Q118" s="3025" t="s">
        <v>161</v>
      </c>
      <c r="R118" s="2846"/>
      <c r="S118" s="2847"/>
    </row>
    <row r="119" spans="1:22" s="294" customFormat="1" ht="11.25" customHeight="1">
      <c r="D119" s="333"/>
      <c r="E119" s="2263" t="s">
        <v>1799</v>
      </c>
      <c r="H119" s="2531" t="s">
        <v>848</v>
      </c>
      <c r="I119" s="1054" t="s">
        <v>2229</v>
      </c>
      <c r="J119" s="2859">
        <v>319060000</v>
      </c>
      <c r="K119" s="2860"/>
      <c r="L119" s="2274" t="s">
        <v>1984</v>
      </c>
      <c r="M119" s="2852" t="s">
        <v>5218</v>
      </c>
      <c r="N119" s="2869"/>
      <c r="O119" s="2869"/>
      <c r="P119" s="2869"/>
      <c r="Q119" s="2775"/>
      <c r="R119" s="2775"/>
      <c r="S119" s="2776"/>
    </row>
    <row r="120" spans="1:22" ht="12" customHeight="1">
      <c r="B120" s="296" t="s">
        <v>1985</v>
      </c>
      <c r="C120" s="296" t="s">
        <v>5006</v>
      </c>
      <c r="H120" s="2153"/>
      <c r="I120" s="2153"/>
      <c r="J120" s="2153"/>
      <c r="K120" s="2153"/>
      <c r="L120" s="2153"/>
      <c r="M120" s="2153"/>
      <c r="N120" s="2153"/>
      <c r="O120" s="2153"/>
      <c r="P120" s="2153"/>
      <c r="Q120" s="2153"/>
      <c r="R120" s="2153"/>
      <c r="S120" s="2153"/>
    </row>
    <row r="121" spans="1:22" ht="11.25" customHeight="1" thickBot="1">
      <c r="A121" s="3006" t="s">
        <v>3875</v>
      </c>
      <c r="B121" s="3006"/>
      <c r="C121" s="3006"/>
      <c r="D121" s="3006"/>
      <c r="E121" s="3007"/>
      <c r="F121" s="2532" t="s">
        <v>2510</v>
      </c>
      <c r="G121" s="3008" t="s">
        <v>3477</v>
      </c>
      <c r="H121" s="3009"/>
      <c r="I121" s="3009"/>
      <c r="J121" s="3009"/>
      <c r="K121" s="3009"/>
      <c r="L121" s="3009"/>
      <c r="M121" s="3009"/>
      <c r="N121" s="3009"/>
      <c r="O121" s="3009"/>
      <c r="P121" s="3009"/>
      <c r="Q121" s="3009"/>
      <c r="R121" s="3009"/>
      <c r="S121" s="3010"/>
    </row>
    <row r="122" spans="1:22" s="294" customFormat="1" ht="25.5" customHeight="1" thickBot="1">
      <c r="B122" s="497"/>
      <c r="C122" s="1091" t="s">
        <v>1986</v>
      </c>
      <c r="D122" s="2977" t="s">
        <v>2836</v>
      </c>
      <c r="E122" s="2977"/>
      <c r="F122" s="2533" t="s">
        <v>2992</v>
      </c>
      <c r="G122" s="3011"/>
      <c r="H122" s="2971"/>
      <c r="I122" s="2971"/>
      <c r="J122" s="2971"/>
      <c r="K122" s="2971"/>
      <c r="L122" s="2971"/>
      <c r="M122" s="2971"/>
      <c r="N122" s="2971"/>
      <c r="O122" s="2971"/>
      <c r="P122" s="2971"/>
      <c r="Q122" s="2971"/>
      <c r="R122" s="2971"/>
      <c r="S122" s="2973"/>
      <c r="U122" s="3030" t="s">
        <v>2031</v>
      </c>
      <c r="V122" s="3030"/>
    </row>
    <row r="123" spans="1:22" s="294" customFormat="1" ht="25.5" customHeight="1" thickBot="1">
      <c r="B123" s="497"/>
      <c r="C123" s="606" t="s">
        <v>1988</v>
      </c>
      <c r="D123" s="2795" t="s">
        <v>2901</v>
      </c>
      <c r="E123" s="2766"/>
      <c r="F123" s="2533" t="s">
        <v>2992</v>
      </c>
      <c r="G123" s="2951"/>
      <c r="H123" s="2951"/>
      <c r="I123" s="2951"/>
      <c r="J123" s="2951"/>
      <c r="K123" s="2951"/>
      <c r="L123" s="2951"/>
      <c r="M123" s="2951"/>
      <c r="N123" s="2951"/>
      <c r="O123" s="2951"/>
      <c r="P123" s="2951"/>
      <c r="Q123" s="2951"/>
      <c r="R123" s="2951"/>
      <c r="S123" s="2953"/>
      <c r="U123" s="3030"/>
      <c r="V123" s="3030"/>
    </row>
    <row r="124" spans="1:22" s="294" customFormat="1" ht="25.5" customHeight="1" thickBot="1">
      <c r="B124" s="497"/>
      <c r="C124" s="606" t="s">
        <v>2534</v>
      </c>
      <c r="D124" s="2795" t="s">
        <v>2877</v>
      </c>
      <c r="E124" s="2766"/>
      <c r="F124" s="2533" t="s">
        <v>2992</v>
      </c>
      <c r="G124" s="2951"/>
      <c r="H124" s="2951"/>
      <c r="I124" s="2951"/>
      <c r="J124" s="2951"/>
      <c r="K124" s="2951"/>
      <c r="L124" s="2951"/>
      <c r="M124" s="2951"/>
      <c r="N124" s="2951"/>
      <c r="O124" s="2951"/>
      <c r="P124" s="2951"/>
      <c r="Q124" s="2951"/>
      <c r="R124" s="2951"/>
      <c r="S124" s="2953"/>
      <c r="U124" s="3030"/>
      <c r="V124" s="3030"/>
    </row>
    <row r="125" spans="1:22" s="294" customFormat="1" ht="25.5" customHeight="1" thickBot="1">
      <c r="B125" s="497"/>
      <c r="C125" s="606" t="s">
        <v>1224</v>
      </c>
      <c r="D125" s="2795" t="s">
        <v>2837</v>
      </c>
      <c r="E125" s="2766"/>
      <c r="F125" s="2533" t="s">
        <v>2992</v>
      </c>
      <c r="G125" s="2951"/>
      <c r="H125" s="2951"/>
      <c r="I125" s="2951"/>
      <c r="J125" s="2951"/>
      <c r="K125" s="2951"/>
      <c r="L125" s="2951"/>
      <c r="M125" s="2951"/>
      <c r="N125" s="2951"/>
      <c r="O125" s="2951"/>
      <c r="P125" s="2951"/>
      <c r="Q125" s="2951"/>
      <c r="R125" s="2951"/>
      <c r="S125" s="2953"/>
      <c r="U125" s="3030"/>
      <c r="V125" s="3030"/>
    </row>
    <row r="126" spans="1:22" s="294" customFormat="1" ht="25.5" customHeight="1" thickBot="1">
      <c r="B126" s="497"/>
      <c r="C126" s="606" t="s">
        <v>1225</v>
      </c>
      <c r="D126" s="2795" t="s">
        <v>3465</v>
      </c>
      <c r="E126" s="2766"/>
      <c r="F126" s="2533" t="s">
        <v>2992</v>
      </c>
      <c r="G126" s="2951"/>
      <c r="H126" s="2951"/>
      <c r="I126" s="2951"/>
      <c r="J126" s="2951"/>
      <c r="K126" s="2951"/>
      <c r="L126" s="2951"/>
      <c r="M126" s="2951"/>
      <c r="N126" s="2951"/>
      <c r="O126" s="2951"/>
      <c r="P126" s="2951"/>
      <c r="Q126" s="2951"/>
      <c r="R126" s="2951"/>
      <c r="S126" s="2953"/>
      <c r="U126" s="3030"/>
      <c r="V126" s="3030"/>
    </row>
    <row r="127" spans="1:22" s="294" customFormat="1" ht="25.5" customHeight="1" thickBot="1">
      <c r="B127" s="497"/>
      <c r="C127" s="606" t="s">
        <v>1881</v>
      </c>
      <c r="D127" s="2795" t="s">
        <v>3466</v>
      </c>
      <c r="E127" s="2766"/>
      <c r="F127" s="2533" t="s">
        <v>2989</v>
      </c>
      <c r="G127" s="2951" t="s">
        <v>5169</v>
      </c>
      <c r="H127" s="2951"/>
      <c r="I127" s="2951"/>
      <c r="J127" s="2951"/>
      <c r="K127" s="2951"/>
      <c r="L127" s="2951"/>
      <c r="M127" s="2951"/>
      <c r="N127" s="2951"/>
      <c r="O127" s="2951"/>
      <c r="P127" s="2951"/>
      <c r="Q127" s="2951"/>
      <c r="R127" s="2951"/>
      <c r="S127" s="2953"/>
      <c r="U127" s="3030"/>
      <c r="V127" s="3030"/>
    </row>
    <row r="128" spans="1:22" s="294" customFormat="1" ht="25.5" customHeight="1" thickBot="1">
      <c r="B128" s="497"/>
      <c r="C128" s="606" t="s">
        <v>503</v>
      </c>
      <c r="D128" s="2795" t="s">
        <v>2838</v>
      </c>
      <c r="E128" s="2766"/>
      <c r="F128" s="2533" t="s">
        <v>2992</v>
      </c>
      <c r="G128" s="2951"/>
      <c r="H128" s="2951"/>
      <c r="I128" s="2951"/>
      <c r="J128" s="2951"/>
      <c r="K128" s="2951"/>
      <c r="L128" s="2951"/>
      <c r="M128" s="2951"/>
      <c r="N128" s="2951"/>
      <c r="O128" s="2951"/>
      <c r="P128" s="2951"/>
      <c r="Q128" s="2951"/>
      <c r="R128" s="2951"/>
      <c r="S128" s="2953"/>
    </row>
    <row r="129" spans="1:22" s="294" customFormat="1" ht="25.5" customHeight="1" thickBot="1">
      <c r="B129" s="497"/>
      <c r="C129" s="606" t="s">
        <v>504</v>
      </c>
      <c r="D129" s="2795" t="s">
        <v>5027</v>
      </c>
      <c r="E129" s="2766"/>
      <c r="F129" s="2533" t="s">
        <v>2992</v>
      </c>
      <c r="G129" s="2951"/>
      <c r="H129" s="2951"/>
      <c r="I129" s="2951"/>
      <c r="J129" s="2951"/>
      <c r="K129" s="2951"/>
      <c r="L129" s="2951"/>
      <c r="M129" s="2951"/>
      <c r="N129" s="2951"/>
      <c r="O129" s="2951"/>
      <c r="P129" s="2951"/>
      <c r="Q129" s="2951"/>
      <c r="R129" s="2951"/>
      <c r="S129" s="2953"/>
    </row>
    <row r="130" spans="1:22" s="294" customFormat="1" ht="25.5" customHeight="1" thickBot="1">
      <c r="B130" s="497"/>
      <c r="C130" s="606" t="s">
        <v>5026</v>
      </c>
      <c r="D130" s="2974" t="s">
        <v>5140</v>
      </c>
      <c r="E130" s="2975"/>
      <c r="F130" s="2533" t="s">
        <v>2989</v>
      </c>
      <c r="G130" s="2958" t="s">
        <v>5170</v>
      </c>
      <c r="H130" s="2958"/>
      <c r="I130" s="2958"/>
      <c r="J130" s="2958"/>
      <c r="K130" s="2958"/>
      <c r="L130" s="2958"/>
      <c r="M130" s="2958"/>
      <c r="N130" s="2958"/>
      <c r="O130" s="2958"/>
      <c r="P130" s="2958"/>
      <c r="Q130" s="2958"/>
      <c r="R130" s="2958"/>
      <c r="S130" s="2960"/>
    </row>
    <row r="131" spans="1:22" s="294" customFormat="1" ht="13.2" customHeight="1">
      <c r="A131" s="296" t="s">
        <v>1794</v>
      </c>
      <c r="B131" s="296" t="s">
        <v>2846</v>
      </c>
      <c r="F131" s="296"/>
      <c r="G131" s="2274"/>
      <c r="H131" s="2274"/>
      <c r="I131" s="2274"/>
      <c r="J131" s="2274"/>
      <c r="K131" s="2274"/>
      <c r="L131" s="2274"/>
      <c r="M131" s="2274"/>
      <c r="N131" s="2274"/>
      <c r="O131" s="2274"/>
      <c r="P131" s="2274"/>
      <c r="Q131" s="2278"/>
    </row>
    <row r="132" spans="1:22" s="294" customFormat="1" ht="2.25" customHeight="1">
      <c r="A132" s="296"/>
      <c r="B132" s="296"/>
      <c r="F132" s="296"/>
      <c r="G132" s="2274"/>
      <c r="H132" s="2274"/>
      <c r="I132" s="2274"/>
      <c r="J132" s="2274"/>
      <c r="K132" s="2274"/>
      <c r="L132" s="2274"/>
      <c r="M132" s="2274"/>
      <c r="N132" s="2274"/>
      <c r="O132" s="2274"/>
      <c r="P132" s="2274"/>
      <c r="Q132" s="2278"/>
    </row>
    <row r="133" spans="1:22" ht="13.2" customHeight="1">
      <c r="B133" s="296" t="s">
        <v>749</v>
      </c>
      <c r="C133" s="296" t="s">
        <v>5007</v>
      </c>
    </row>
    <row r="134" spans="1:22" s="294" customFormat="1" ht="13.5" customHeight="1">
      <c r="A134" s="2976" t="s">
        <v>640</v>
      </c>
      <c r="B134" s="2977"/>
      <c r="C134" s="2977"/>
      <c r="D134" s="2977"/>
      <c r="E134" s="2981" t="s">
        <v>3447</v>
      </c>
      <c r="F134" s="2982"/>
      <c r="G134" s="2982"/>
      <c r="H134" s="2982"/>
      <c r="I134" s="2983"/>
      <c r="J134" s="2987" t="s">
        <v>3448</v>
      </c>
      <c r="K134" s="2990" t="s">
        <v>2907</v>
      </c>
      <c r="L134" s="2990" t="s">
        <v>2908</v>
      </c>
      <c r="M134" s="2993" t="s">
        <v>3457</v>
      </c>
      <c r="N134" s="2994"/>
      <c r="O134" s="2994"/>
      <c r="P134" s="2994"/>
      <c r="Q134" s="2994"/>
      <c r="R134" s="2994"/>
      <c r="S134" s="2995"/>
    </row>
    <row r="135" spans="1:22" s="294" customFormat="1" ht="13.5" customHeight="1">
      <c r="A135" s="2978"/>
      <c r="B135" s="2766"/>
      <c r="C135" s="2766"/>
      <c r="D135" s="2766"/>
      <c r="E135" s="2984"/>
      <c r="F135" s="2985"/>
      <c r="G135" s="2985"/>
      <c r="H135" s="2985"/>
      <c r="I135" s="2986"/>
      <c r="J135" s="2988"/>
      <c r="K135" s="2991"/>
      <c r="L135" s="2991"/>
      <c r="M135" s="2996"/>
      <c r="N135" s="2997"/>
      <c r="O135" s="2997"/>
      <c r="P135" s="2997"/>
      <c r="Q135" s="2997"/>
      <c r="R135" s="2997"/>
      <c r="S135" s="2998"/>
    </row>
    <row r="136" spans="1:22" s="294" customFormat="1" ht="13.5" customHeight="1">
      <c r="A136" s="2978"/>
      <c r="B136" s="2766"/>
      <c r="C136" s="2766"/>
      <c r="D136" s="2766"/>
      <c r="E136" s="2984"/>
      <c r="F136" s="2985"/>
      <c r="G136" s="2985"/>
      <c r="H136" s="2985"/>
      <c r="I136" s="2986"/>
      <c r="J136" s="2988"/>
      <c r="K136" s="2991"/>
      <c r="L136" s="2991"/>
      <c r="M136" s="2996"/>
      <c r="N136" s="2997"/>
      <c r="O136" s="2997"/>
      <c r="P136" s="2997"/>
      <c r="Q136" s="2997"/>
      <c r="R136" s="2997"/>
      <c r="S136" s="2998"/>
    </row>
    <row r="137" spans="1:22" s="294" customFormat="1" ht="23.25" customHeight="1">
      <c r="A137" s="2978"/>
      <c r="B137" s="2766"/>
      <c r="C137" s="2766"/>
      <c r="D137" s="2766"/>
      <c r="E137" s="2999" t="s">
        <v>3716</v>
      </c>
      <c r="F137" s="3000"/>
      <c r="G137" s="3000"/>
      <c r="H137" s="3001"/>
      <c r="I137" s="607"/>
      <c r="J137" s="2988"/>
      <c r="K137" s="2991"/>
      <c r="L137" s="2991"/>
      <c r="M137" s="2996"/>
      <c r="N137" s="2997"/>
      <c r="O137" s="2997"/>
      <c r="P137" s="2997"/>
      <c r="Q137" s="2997"/>
      <c r="R137" s="2997"/>
      <c r="S137" s="2998"/>
    </row>
    <row r="138" spans="1:22" s="294" customFormat="1" ht="13.5" customHeight="1">
      <c r="A138" s="2979"/>
      <c r="B138" s="2980"/>
      <c r="C138" s="2980"/>
      <c r="D138" s="2980"/>
      <c r="E138" s="3002"/>
      <c r="F138" s="3003"/>
      <c r="G138" s="3003"/>
      <c r="H138" s="3004"/>
      <c r="I138" s="2157" t="s">
        <v>2510</v>
      </c>
      <c r="J138" s="2989"/>
      <c r="K138" s="2992"/>
      <c r="L138" s="2991"/>
      <c r="M138" s="2158" t="s">
        <v>2510</v>
      </c>
      <c r="N138" s="2945" t="s">
        <v>2906</v>
      </c>
      <c r="O138" s="2945"/>
      <c r="P138" s="2945"/>
      <c r="Q138" s="2945"/>
      <c r="R138" s="2945"/>
      <c r="S138" s="3005"/>
    </row>
    <row r="139" spans="1:22" s="294" customFormat="1" ht="24" customHeight="1">
      <c r="A139" s="2967" t="s">
        <v>3442</v>
      </c>
      <c r="B139" s="2968"/>
      <c r="C139" s="2968"/>
      <c r="D139" s="2969"/>
      <c r="E139" s="2970"/>
      <c r="F139" s="2971"/>
      <c r="G139" s="2971"/>
      <c r="H139" s="2971"/>
      <c r="I139" s="2534" t="s">
        <v>2992</v>
      </c>
      <c r="J139" s="2535" t="s">
        <v>2992</v>
      </c>
      <c r="K139" s="2536" t="s">
        <v>5158</v>
      </c>
      <c r="L139" s="2537">
        <v>1E-4</v>
      </c>
      <c r="M139" s="2538" t="s">
        <v>2992</v>
      </c>
      <c r="N139" s="2972"/>
      <c r="O139" s="2971"/>
      <c r="P139" s="2971"/>
      <c r="Q139" s="2971"/>
      <c r="R139" s="2971"/>
      <c r="S139" s="2973"/>
    </row>
    <row r="140" spans="1:22" s="294" customFormat="1" ht="24" customHeight="1">
      <c r="A140" s="2947" t="s">
        <v>3443</v>
      </c>
      <c r="B140" s="2948"/>
      <c r="C140" s="2948"/>
      <c r="D140" s="2949"/>
      <c r="E140" s="2950"/>
      <c r="F140" s="2951"/>
      <c r="G140" s="2951"/>
      <c r="H140" s="2951"/>
      <c r="I140" s="2539" t="s">
        <v>4936</v>
      </c>
      <c r="J140" s="2540" t="s">
        <v>4936</v>
      </c>
      <c r="K140" s="2541"/>
      <c r="L140" s="2542"/>
      <c r="M140" s="2543" t="s">
        <v>4936</v>
      </c>
      <c r="N140" s="2952"/>
      <c r="O140" s="2951"/>
      <c r="P140" s="2951"/>
      <c r="Q140" s="2951"/>
      <c r="R140" s="2951"/>
      <c r="S140" s="2953"/>
      <c r="U140" s="3030" t="s">
        <v>2031</v>
      </c>
      <c r="V140" s="3030"/>
    </row>
    <row r="141" spans="1:22" s="294" customFormat="1" ht="24" customHeight="1">
      <c r="A141" s="2947" t="s">
        <v>3444</v>
      </c>
      <c r="B141" s="2948"/>
      <c r="C141" s="2948"/>
      <c r="D141" s="2949"/>
      <c r="E141" s="2950"/>
      <c r="F141" s="2951"/>
      <c r="G141" s="2951"/>
      <c r="H141" s="2951"/>
      <c r="I141" s="2539" t="s">
        <v>4936</v>
      </c>
      <c r="J141" s="2540" t="s">
        <v>4936</v>
      </c>
      <c r="K141" s="2541"/>
      <c r="L141" s="2542"/>
      <c r="M141" s="2543" t="s">
        <v>4936</v>
      </c>
      <c r="N141" s="2952"/>
      <c r="O141" s="2951"/>
      <c r="P141" s="2951"/>
      <c r="Q141" s="2951"/>
      <c r="R141" s="2951"/>
      <c r="S141" s="2953"/>
      <c r="U141" s="3030"/>
      <c r="V141" s="3030"/>
    </row>
    <row r="142" spans="1:22" s="294" customFormat="1" ht="24" customHeight="1">
      <c r="A142" s="2947" t="s">
        <v>3445</v>
      </c>
      <c r="B142" s="2948"/>
      <c r="C142" s="2948"/>
      <c r="D142" s="2949"/>
      <c r="E142" s="2950"/>
      <c r="F142" s="2951"/>
      <c r="G142" s="2951"/>
      <c r="H142" s="2951"/>
      <c r="I142" s="2539" t="s">
        <v>2992</v>
      </c>
      <c r="J142" s="2540" t="s">
        <v>2992</v>
      </c>
      <c r="K142" s="2541" t="s">
        <v>5158</v>
      </c>
      <c r="L142" s="2542">
        <v>0.9899</v>
      </c>
      <c r="M142" s="2543" t="s">
        <v>2992</v>
      </c>
      <c r="N142" s="2952"/>
      <c r="O142" s="2951"/>
      <c r="P142" s="2951"/>
      <c r="Q142" s="2951"/>
      <c r="R142" s="2951"/>
      <c r="S142" s="2953"/>
      <c r="U142" s="3030"/>
      <c r="V142" s="3030"/>
    </row>
    <row r="143" spans="1:22" s="294" customFormat="1" ht="24" customHeight="1">
      <c r="A143" s="2947" t="s">
        <v>3446</v>
      </c>
      <c r="B143" s="2948"/>
      <c r="C143" s="2948"/>
      <c r="D143" s="2949"/>
      <c r="E143" s="2950"/>
      <c r="F143" s="2951"/>
      <c r="G143" s="2951"/>
      <c r="H143" s="2951"/>
      <c r="I143" s="2539" t="s">
        <v>2992</v>
      </c>
      <c r="J143" s="2540" t="s">
        <v>2992</v>
      </c>
      <c r="K143" s="2541" t="s">
        <v>5158</v>
      </c>
      <c r="L143" s="2542">
        <v>0.01</v>
      </c>
      <c r="M143" s="2543" t="s">
        <v>2992</v>
      </c>
      <c r="N143" s="2952"/>
      <c r="O143" s="2951"/>
      <c r="P143" s="2951"/>
      <c r="Q143" s="2951"/>
      <c r="R143" s="2951"/>
      <c r="S143" s="2953"/>
      <c r="U143" s="3030"/>
      <c r="V143" s="3030"/>
    </row>
    <row r="144" spans="1:22" s="294" customFormat="1" ht="24" customHeight="1">
      <c r="A144" s="2947" t="s">
        <v>2894</v>
      </c>
      <c r="B144" s="2948"/>
      <c r="C144" s="2948"/>
      <c r="D144" s="2949"/>
      <c r="E144" s="2950"/>
      <c r="F144" s="2951"/>
      <c r="G144" s="2951"/>
      <c r="H144" s="2951"/>
      <c r="I144" s="2539" t="s">
        <v>4936</v>
      </c>
      <c r="J144" s="2540" t="s">
        <v>4936</v>
      </c>
      <c r="K144" s="2541"/>
      <c r="L144" s="2542"/>
      <c r="M144" s="2543" t="s">
        <v>4936</v>
      </c>
      <c r="N144" s="2952"/>
      <c r="O144" s="2951"/>
      <c r="P144" s="2951"/>
      <c r="Q144" s="2951"/>
      <c r="R144" s="2951"/>
      <c r="S144" s="2953"/>
      <c r="U144" s="3030"/>
      <c r="V144" s="3030"/>
    </row>
    <row r="145" spans="1:24" s="294" customFormat="1" ht="24" customHeight="1">
      <c r="A145" s="2947" t="s">
        <v>653</v>
      </c>
      <c r="B145" s="2948"/>
      <c r="C145" s="2948"/>
      <c r="D145" s="2949"/>
      <c r="E145" s="2950"/>
      <c r="F145" s="2951"/>
      <c r="G145" s="2951"/>
      <c r="H145" s="2951"/>
      <c r="I145" s="2539" t="s">
        <v>2992</v>
      </c>
      <c r="J145" s="2540" t="s">
        <v>2992</v>
      </c>
      <c r="K145" s="2541" t="s">
        <v>5158</v>
      </c>
      <c r="L145" s="2542"/>
      <c r="M145" s="2543" t="s">
        <v>2992</v>
      </c>
      <c r="N145" s="2952"/>
      <c r="O145" s="2951"/>
      <c r="P145" s="2951"/>
      <c r="Q145" s="2951"/>
      <c r="R145" s="2951"/>
      <c r="S145" s="2953"/>
      <c r="U145" s="3030"/>
      <c r="V145" s="3030"/>
    </row>
    <row r="146" spans="1:24" s="294" customFormat="1" ht="24" customHeight="1">
      <c r="A146" s="2947" t="s">
        <v>2895</v>
      </c>
      <c r="B146" s="2948"/>
      <c r="C146" s="2948"/>
      <c r="D146" s="2949"/>
      <c r="E146" s="2950"/>
      <c r="F146" s="2951"/>
      <c r="G146" s="2951"/>
      <c r="H146" s="2951"/>
      <c r="I146" s="2539" t="s">
        <v>4936</v>
      </c>
      <c r="J146" s="2540" t="s">
        <v>4936</v>
      </c>
      <c r="K146" s="2541"/>
      <c r="L146" s="2542"/>
      <c r="M146" s="2543" t="s">
        <v>4936</v>
      </c>
      <c r="N146" s="2952"/>
      <c r="O146" s="2951"/>
      <c r="P146" s="2951"/>
      <c r="Q146" s="2951"/>
      <c r="R146" s="2951"/>
      <c r="S146" s="2953"/>
    </row>
    <row r="147" spans="1:24" s="294" customFormat="1" ht="24" customHeight="1">
      <c r="A147" s="2947" t="s">
        <v>2896</v>
      </c>
      <c r="B147" s="2948"/>
      <c r="C147" s="2948"/>
      <c r="D147" s="2949"/>
      <c r="E147" s="2950"/>
      <c r="F147" s="2951"/>
      <c r="G147" s="2951"/>
      <c r="H147" s="2951"/>
      <c r="I147" s="2539" t="s">
        <v>4936</v>
      </c>
      <c r="J147" s="2540" t="s">
        <v>4936</v>
      </c>
      <c r="K147" s="2541"/>
      <c r="L147" s="2542"/>
      <c r="M147" s="2543" t="s">
        <v>4936</v>
      </c>
      <c r="N147" s="2952"/>
      <c r="O147" s="2951"/>
      <c r="P147" s="2951"/>
      <c r="Q147" s="2951"/>
      <c r="R147" s="2951"/>
      <c r="S147" s="2953"/>
    </row>
    <row r="148" spans="1:24" s="294" customFormat="1" ht="24" customHeight="1">
      <c r="A148" s="2947" t="s">
        <v>2898</v>
      </c>
      <c r="B148" s="2948"/>
      <c r="C148" s="2948"/>
      <c r="D148" s="2949"/>
      <c r="E148" s="2950"/>
      <c r="F148" s="2951"/>
      <c r="G148" s="2951"/>
      <c r="H148" s="2951"/>
      <c r="I148" s="2539" t="s">
        <v>4936</v>
      </c>
      <c r="J148" s="2540" t="s">
        <v>4936</v>
      </c>
      <c r="K148" s="2541"/>
      <c r="L148" s="2542"/>
      <c r="M148" s="2543" t="s">
        <v>4936</v>
      </c>
      <c r="N148" s="2952"/>
      <c r="O148" s="2951"/>
      <c r="P148" s="2951"/>
      <c r="Q148" s="2951"/>
      <c r="R148" s="2951"/>
      <c r="S148" s="2953"/>
    </row>
    <row r="149" spans="1:24" s="294" customFormat="1" ht="24" customHeight="1">
      <c r="A149" s="2947" t="s">
        <v>2897</v>
      </c>
      <c r="B149" s="2948"/>
      <c r="C149" s="2948"/>
      <c r="D149" s="2949"/>
      <c r="E149" s="2950"/>
      <c r="F149" s="2951"/>
      <c r="G149" s="2951"/>
      <c r="H149" s="2951"/>
      <c r="I149" s="2539" t="s">
        <v>4936</v>
      </c>
      <c r="J149" s="2540" t="s">
        <v>4936</v>
      </c>
      <c r="K149" s="2541"/>
      <c r="L149" s="2542"/>
      <c r="M149" s="2543" t="s">
        <v>4936</v>
      </c>
      <c r="N149" s="2952"/>
      <c r="O149" s="2951"/>
      <c r="P149" s="2951"/>
      <c r="Q149" s="2951"/>
      <c r="R149" s="2951"/>
      <c r="S149" s="2953"/>
    </row>
    <row r="150" spans="1:24" s="294" customFormat="1" ht="24" customHeight="1">
      <c r="A150" s="2947" t="s">
        <v>1529</v>
      </c>
      <c r="B150" s="2948"/>
      <c r="C150" s="2948"/>
      <c r="D150" s="2949"/>
      <c r="E150" s="2950"/>
      <c r="F150" s="2951"/>
      <c r="G150" s="2951"/>
      <c r="H150" s="2951"/>
      <c r="I150" s="2539" t="s">
        <v>2992</v>
      </c>
      <c r="J150" s="2540" t="s">
        <v>2992</v>
      </c>
      <c r="K150" s="2541" t="s">
        <v>5158</v>
      </c>
      <c r="L150" s="2542"/>
      <c r="M150" s="2543" t="s">
        <v>2992</v>
      </c>
      <c r="N150" s="2952"/>
      <c r="O150" s="2951"/>
      <c r="P150" s="2951"/>
      <c r="Q150" s="2951"/>
      <c r="R150" s="2951"/>
      <c r="S150" s="2953"/>
    </row>
    <row r="151" spans="1:24" s="294" customFormat="1" ht="24" customHeight="1">
      <c r="A151" s="2954" t="s">
        <v>2899</v>
      </c>
      <c r="B151" s="2955"/>
      <c r="C151" s="2955"/>
      <c r="D151" s="2956"/>
      <c r="E151" s="2957"/>
      <c r="F151" s="2958"/>
      <c r="G151" s="2958"/>
      <c r="H151" s="2958"/>
      <c r="I151" s="2544" t="s">
        <v>2992</v>
      </c>
      <c r="J151" s="2545" t="s">
        <v>2992</v>
      </c>
      <c r="K151" s="2546" t="s">
        <v>5158</v>
      </c>
      <c r="L151" s="2547"/>
      <c r="M151" s="2548" t="s">
        <v>2992</v>
      </c>
      <c r="N151" s="2959"/>
      <c r="O151" s="2958"/>
      <c r="P151" s="2958"/>
      <c r="Q151" s="2958"/>
      <c r="R151" s="2958"/>
      <c r="S151" s="2960"/>
    </row>
    <row r="152" spans="1:24" s="2271" customFormat="1" ht="12" customHeight="1">
      <c r="G152" s="304"/>
      <c r="H152" s="304"/>
      <c r="I152" s="304"/>
      <c r="J152" s="2274"/>
      <c r="K152" s="319" t="s">
        <v>539</v>
      </c>
      <c r="L152" s="545">
        <f>SUM(L139:S151)</f>
        <v>1</v>
      </c>
      <c r="M152" s="2274"/>
      <c r="P152" s="302"/>
    </row>
    <row r="153" spans="1:24" ht="11.25" customHeight="1">
      <c r="A153" s="321" t="s">
        <v>530</v>
      </c>
      <c r="B153" s="332"/>
      <c r="C153" s="321" t="s">
        <v>572</v>
      </c>
      <c r="N153" s="321" t="s">
        <v>530</v>
      </c>
      <c r="O153" s="321" t="s">
        <v>79</v>
      </c>
    </row>
    <row r="154" spans="1:24" ht="60" customHeight="1">
      <c r="A154" s="2961"/>
      <c r="B154" s="2962"/>
      <c r="C154" s="2962"/>
      <c r="D154" s="2962"/>
      <c r="E154" s="2962"/>
      <c r="F154" s="2962"/>
      <c r="G154" s="2962"/>
      <c r="H154" s="2962"/>
      <c r="I154" s="2962"/>
      <c r="J154" s="2962"/>
      <c r="K154" s="2962"/>
      <c r="L154" s="2962"/>
      <c r="M154" s="2963"/>
      <c r="N154" s="2964"/>
      <c r="O154" s="2965"/>
      <c r="P154" s="2965"/>
      <c r="Q154" s="2965"/>
      <c r="R154" s="2965"/>
      <c r="S154" s="2966"/>
      <c r="T154" s="2765" t="s">
        <v>2693</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9"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0" t="s">
        <v>838</v>
      </c>
    </row>
    <row r="161" spans="1:16" s="294" customFormat="1" ht="12" customHeight="1">
      <c r="A161" s="333"/>
      <c r="B161" s="312"/>
      <c r="C161" s="312"/>
      <c r="D161" s="312"/>
      <c r="E161" s="312"/>
      <c r="F161" s="312"/>
      <c r="G161" s="312"/>
      <c r="H161" s="312"/>
      <c r="I161" s="312"/>
      <c r="J161" s="312"/>
      <c r="K161" s="312"/>
      <c r="L161" s="312"/>
      <c r="M161" s="312"/>
      <c r="N161" s="312"/>
      <c r="O161" s="312"/>
      <c r="P161" s="2550" t="s">
        <v>839</v>
      </c>
    </row>
    <row r="162" spans="1:16" s="294" customFormat="1" ht="12" customHeight="1">
      <c r="A162" s="333"/>
      <c r="B162" s="312"/>
      <c r="C162" s="312"/>
      <c r="D162" s="312"/>
      <c r="E162" s="312"/>
      <c r="F162" s="312"/>
      <c r="G162" s="312"/>
      <c r="H162" s="312"/>
      <c r="I162" s="312"/>
      <c r="J162" s="312"/>
      <c r="K162" s="312"/>
      <c r="L162" s="312"/>
      <c r="M162" s="312"/>
      <c r="N162" s="312"/>
      <c r="O162" s="312"/>
      <c r="P162" s="2550" t="s">
        <v>840</v>
      </c>
    </row>
    <row r="163" spans="1:16" s="294" customFormat="1" ht="12" customHeight="1">
      <c r="A163" s="480"/>
      <c r="B163" s="312"/>
      <c r="C163" s="312"/>
      <c r="D163" s="312"/>
      <c r="E163" s="312"/>
      <c r="F163" s="312"/>
      <c r="G163" s="312"/>
      <c r="H163" s="312"/>
      <c r="I163" s="312"/>
      <c r="J163" s="312"/>
      <c r="K163" s="312"/>
      <c r="L163" s="312"/>
      <c r="M163" s="312"/>
      <c r="N163" s="312"/>
      <c r="O163" s="312"/>
      <c r="P163" s="2550" t="s">
        <v>841</v>
      </c>
    </row>
    <row r="164" spans="1:16" s="294" customFormat="1" ht="12" customHeight="1">
      <c r="B164" s="312"/>
      <c r="C164" s="312"/>
      <c r="D164" s="312"/>
      <c r="E164" s="312"/>
      <c r="F164" s="312"/>
      <c r="G164" s="312"/>
      <c r="H164" s="312"/>
      <c r="I164" s="312"/>
      <c r="J164" s="312"/>
      <c r="K164" s="312"/>
      <c r="L164" s="312"/>
      <c r="M164" s="312"/>
      <c r="N164" s="312"/>
      <c r="O164" s="312"/>
      <c r="P164" s="2550" t="s">
        <v>842</v>
      </c>
    </row>
    <row r="165" spans="1:16" s="294" customFormat="1" ht="12" customHeight="1">
      <c r="B165" s="312"/>
      <c r="C165" s="312"/>
      <c r="D165" s="312"/>
      <c r="E165" s="312"/>
      <c r="F165" s="312"/>
      <c r="G165" s="312"/>
      <c r="H165" s="312"/>
      <c r="I165" s="312"/>
      <c r="J165" s="312"/>
      <c r="K165" s="312"/>
      <c r="L165" s="312"/>
      <c r="M165" s="312"/>
      <c r="N165" s="312"/>
      <c r="O165" s="312"/>
      <c r="P165" s="2550" t="s">
        <v>843</v>
      </c>
    </row>
    <row r="166" spans="1:16" s="294" customFormat="1" ht="12" customHeight="1">
      <c r="B166" s="312"/>
      <c r="C166" s="312"/>
      <c r="D166" s="312"/>
      <c r="E166" s="312"/>
      <c r="F166" s="312"/>
      <c r="G166" s="312"/>
      <c r="H166" s="312"/>
      <c r="I166" s="312"/>
      <c r="J166" s="312"/>
      <c r="K166" s="312"/>
      <c r="L166" s="312"/>
      <c r="M166" s="312"/>
      <c r="N166" s="312"/>
      <c r="O166" s="312"/>
      <c r="P166" s="2550" t="s">
        <v>844</v>
      </c>
    </row>
    <row r="167" spans="1:16" s="294" customFormat="1" ht="12" customHeight="1">
      <c r="B167" s="312"/>
      <c r="C167" s="312"/>
      <c r="D167" s="312"/>
      <c r="E167" s="312"/>
      <c r="F167" s="312"/>
      <c r="G167" s="312"/>
      <c r="H167" s="312"/>
      <c r="I167" s="312"/>
      <c r="J167" s="312"/>
      <c r="K167" s="312"/>
      <c r="L167" s="312"/>
      <c r="M167" s="312"/>
      <c r="N167" s="312"/>
      <c r="O167" s="312"/>
      <c r="P167" s="2550" t="s">
        <v>845</v>
      </c>
    </row>
    <row r="168" spans="1:16" ht="12" customHeight="1">
      <c r="P168" s="2550" t="s">
        <v>846</v>
      </c>
    </row>
    <row r="169" spans="1:16" ht="12" customHeight="1">
      <c r="A169" s="321"/>
      <c r="P169" s="2550" t="s">
        <v>847</v>
      </c>
    </row>
    <row r="170" spans="1:16" ht="12" customHeight="1">
      <c r="P170" s="2550" t="s">
        <v>848</v>
      </c>
    </row>
    <row r="171" spans="1:16" ht="12" customHeight="1">
      <c r="P171" s="2550" t="s">
        <v>849</v>
      </c>
    </row>
    <row r="172" spans="1:16" ht="12" customHeight="1">
      <c r="P172" s="2550" t="s">
        <v>850</v>
      </c>
    </row>
    <row r="173" spans="1:16" ht="12" customHeight="1">
      <c r="P173" s="2550" t="s">
        <v>851</v>
      </c>
    </row>
    <row r="174" spans="1:16" ht="12" customHeight="1">
      <c r="P174" s="2550" t="s">
        <v>852</v>
      </c>
    </row>
    <row r="175" spans="1:16" ht="12" customHeight="1">
      <c r="P175" s="2550" t="s">
        <v>853</v>
      </c>
    </row>
    <row r="176" spans="1:16" ht="12" customHeight="1">
      <c r="P176" s="2550" t="s">
        <v>854</v>
      </c>
    </row>
    <row r="177" spans="16:16" ht="12" customHeight="1">
      <c r="P177" s="2550" t="s">
        <v>855</v>
      </c>
    </row>
    <row r="178" spans="16:16" ht="12" customHeight="1">
      <c r="P178" s="2550" t="s">
        <v>856</v>
      </c>
    </row>
    <row r="179" spans="16:16" ht="12" customHeight="1">
      <c r="P179" s="2550" t="s">
        <v>857</v>
      </c>
    </row>
    <row r="180" spans="16:16" ht="12" customHeight="1">
      <c r="P180" s="2550" t="s">
        <v>858</v>
      </c>
    </row>
    <row r="181" spans="16:16" ht="12" customHeight="1">
      <c r="P181" s="2550" t="s">
        <v>859</v>
      </c>
    </row>
    <row r="182" spans="16:16" ht="12" customHeight="1">
      <c r="P182" s="2550" t="s">
        <v>860</v>
      </c>
    </row>
    <row r="183" spans="16:16" ht="12" customHeight="1">
      <c r="P183" s="2550" t="s">
        <v>861</v>
      </c>
    </row>
    <row r="184" spans="16:16" ht="12" customHeight="1">
      <c r="P184" s="2550" t="s">
        <v>862</v>
      </c>
    </row>
    <row r="185" spans="16:16" ht="12" customHeight="1">
      <c r="P185" s="2550" t="s">
        <v>1341</v>
      </c>
    </row>
    <row r="186" spans="16:16" ht="12" customHeight="1">
      <c r="P186" s="2550" t="s">
        <v>1342</v>
      </c>
    </row>
    <row r="187" spans="16:16" ht="12" customHeight="1">
      <c r="P187" s="2550" t="s">
        <v>1343</v>
      </c>
    </row>
    <row r="188" spans="16:16" ht="12" customHeight="1">
      <c r="P188" s="2550" t="s">
        <v>1344</v>
      </c>
    </row>
    <row r="189" spans="16:16" ht="12" customHeight="1">
      <c r="P189" s="2550" t="s">
        <v>1345</v>
      </c>
    </row>
    <row r="190" spans="16:16">
      <c r="P190" s="2550" t="s">
        <v>1346</v>
      </c>
    </row>
    <row r="191" spans="16:16" ht="12" customHeight="1">
      <c r="P191" s="2550" t="s">
        <v>1347</v>
      </c>
    </row>
    <row r="192" spans="16:16" ht="12" customHeight="1">
      <c r="P192" s="2550" t="s">
        <v>1348</v>
      </c>
    </row>
    <row r="193" spans="16:16" ht="12" customHeight="1">
      <c r="P193" s="2550" t="s">
        <v>1349</v>
      </c>
    </row>
    <row r="194" spans="16:16" ht="12" customHeight="1">
      <c r="P194" s="2550" t="s">
        <v>1350</v>
      </c>
    </row>
    <row r="195" spans="16:16" ht="12" customHeight="1">
      <c r="P195" s="2550" t="s">
        <v>1351</v>
      </c>
    </row>
    <row r="196" spans="16:16" ht="12" customHeight="1">
      <c r="P196" s="2550" t="s">
        <v>1352</v>
      </c>
    </row>
    <row r="197" spans="16:16" ht="12" customHeight="1">
      <c r="P197" s="2550" t="s">
        <v>1353</v>
      </c>
    </row>
    <row r="198" spans="16:16" ht="12" customHeight="1">
      <c r="P198" s="2550" t="s">
        <v>1354</v>
      </c>
    </row>
    <row r="199" spans="16:16" ht="12" customHeight="1">
      <c r="P199" s="2550" t="s">
        <v>1355</v>
      </c>
    </row>
    <row r="200" spans="16:16" ht="12" customHeight="1">
      <c r="P200" s="2550" t="s">
        <v>1356</v>
      </c>
    </row>
    <row r="201" spans="16:16" ht="12" customHeight="1">
      <c r="P201" s="2550" t="s">
        <v>1357</v>
      </c>
    </row>
    <row r="202" spans="16:16" ht="12" customHeight="1">
      <c r="P202" s="2550" t="s">
        <v>1358</v>
      </c>
    </row>
    <row r="203" spans="16:16" ht="12" customHeight="1">
      <c r="P203" s="2550" t="s">
        <v>1359</v>
      </c>
    </row>
    <row r="204" spans="16:16" ht="12" customHeight="1">
      <c r="P204" s="2550" t="s">
        <v>1360</v>
      </c>
    </row>
    <row r="205" spans="16:16" ht="12" customHeight="1">
      <c r="P205" s="2550" t="s">
        <v>1361</v>
      </c>
    </row>
    <row r="206" spans="16:16" ht="12" customHeight="1">
      <c r="P206" s="2550" t="s">
        <v>1362</v>
      </c>
    </row>
    <row r="207" spans="16:16" ht="12" customHeight="1">
      <c r="P207" s="2550" t="s">
        <v>1363</v>
      </c>
    </row>
    <row r="208" spans="16:16" ht="12" customHeight="1">
      <c r="P208" s="2550" t="s">
        <v>1364</v>
      </c>
    </row>
    <row r="209" spans="16:16" ht="12" customHeight="1">
      <c r="P209" s="2550" t="s">
        <v>1365</v>
      </c>
    </row>
    <row r="210" spans="16:16" ht="12" customHeight="1">
      <c r="P210" s="2550" t="s">
        <v>1366</v>
      </c>
    </row>
  </sheetData>
  <sheetProtection algorithmName="SHA-512" hashValue="MxmP0hqeuok2x5wjm+FIVY1lf6XgfAfgx8ijpprMptqRgv0SDpzedwGCfcXH4gZLguLvguSg68nbEdDiCvDkuA==" saltValue="nEDWrZzC/FQrfrDrV6xrJ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A34"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3031" t="str">
        <f>CONCATENATE("PART THREE - SOURCES OF FUNDS","  -  ",'Part I-Project Information'!$O$6," ",'Part I-Project Information'!$F$34,", ",'Part I-Project Information'!$F$38,", ",'Part I-Project Information'!$J$39," County")</f>
        <v>PART THREE - SOURCES OF FUNDS  -  2019-042 Brennan Place, Columbus, Muscogee County</v>
      </c>
      <c r="B1" s="3032"/>
      <c r="C1" s="3032"/>
      <c r="D1" s="3032"/>
      <c r="E1" s="3032"/>
      <c r="F1" s="3032"/>
      <c r="G1" s="3032"/>
      <c r="H1" s="3032"/>
      <c r="I1" s="3032"/>
      <c r="J1" s="3032"/>
      <c r="K1" s="3032"/>
      <c r="L1" s="3032"/>
      <c r="M1" s="3032"/>
      <c r="N1" s="3032"/>
      <c r="O1" s="3032"/>
      <c r="P1" s="3032"/>
      <c r="Q1" s="3033"/>
      <c r="S1" s="3150" t="str">
        <f>$A$1</f>
        <v>PART THREE - SOURCES OF FUNDS  -  2019-042 Brennan Place, Columbus, Muscogee County</v>
      </c>
      <c r="T1" s="3150"/>
    </row>
    <row r="2" spans="1:20" ht="17.7" customHeight="1">
      <c r="A2" s="312"/>
      <c r="B2" s="312"/>
      <c r="C2" s="312"/>
      <c r="D2" s="312"/>
      <c r="E2" s="312"/>
      <c r="F2" s="312"/>
      <c r="G2" s="1290"/>
      <c r="H2" s="1290"/>
      <c r="I2" s="1290"/>
      <c r="J2" s="1290"/>
      <c r="K2" s="1290"/>
      <c r="L2" s="1290"/>
    </row>
    <row r="3" spans="1:20" s="269" customFormat="1" ht="13.2" customHeight="1">
      <c r="A3" s="296" t="s">
        <v>616</v>
      </c>
      <c r="B3" s="304" t="s">
        <v>2491</v>
      </c>
      <c r="C3" s="294"/>
      <c r="D3" s="2271"/>
      <c r="E3" s="2271"/>
      <c r="F3" s="2271"/>
      <c r="G3" s="2271"/>
      <c r="L3" s="3161" t="str">
        <f>'Part I-Project Information'!$B$6</f>
        <v>April 2019 Final</v>
      </c>
      <c r="M3" s="3162"/>
      <c r="N3" s="3162"/>
      <c r="O3" s="3162"/>
      <c r="P3" s="3163"/>
      <c r="S3" s="340" t="str">
        <f>B3</f>
        <v>GOVERNMENT FUNDING SOURCES  (check all that apply)</v>
      </c>
    </row>
    <row r="4" spans="1:20" s="269" customFormat="1" ht="15.75" customHeight="1">
      <c r="A4" s="321"/>
      <c r="B4" s="480"/>
      <c r="C4" s="315"/>
      <c r="D4" s="2271"/>
      <c r="E4" s="2271"/>
      <c r="F4" s="2271"/>
      <c r="G4" s="2271"/>
      <c r="S4" s="3107" t="s">
        <v>2683</v>
      </c>
      <c r="T4" s="3107"/>
    </row>
    <row r="5" spans="1:20" s="269" customFormat="1" ht="16.5" customHeight="1">
      <c r="A5" s="480"/>
      <c r="B5" s="2513" t="s">
        <v>2989</v>
      </c>
      <c r="C5" s="2266" t="s">
        <v>2410</v>
      </c>
      <c r="D5" s="294"/>
      <c r="E5" s="2513"/>
      <c r="F5" s="2266" t="s">
        <v>3720</v>
      </c>
      <c r="G5" s="294"/>
      <c r="H5" s="3156"/>
      <c r="I5" s="3157"/>
      <c r="L5" s="2513"/>
      <c r="M5" s="2266" t="s">
        <v>1537</v>
      </c>
      <c r="S5" s="3077"/>
      <c r="T5" s="3078"/>
    </row>
    <row r="6" spans="1:20" s="269" customFormat="1" ht="16.5" customHeight="1">
      <c r="A6" s="480"/>
      <c r="B6" s="2486"/>
      <c r="C6" s="2266" t="s">
        <v>5001</v>
      </c>
      <c r="D6" s="294"/>
      <c r="E6" s="2498"/>
      <c r="F6" s="2266" t="s">
        <v>3721</v>
      </c>
      <c r="H6" s="3158"/>
      <c r="I6" s="3159"/>
      <c r="L6" s="2486"/>
      <c r="M6" s="2266" t="s">
        <v>549</v>
      </c>
      <c r="S6" s="3058"/>
      <c r="T6" s="3059"/>
    </row>
    <row r="7" spans="1:20" s="269" customFormat="1" ht="16.5" customHeight="1">
      <c r="A7" s="294"/>
      <c r="B7" s="2486"/>
      <c r="C7" s="2266" t="s">
        <v>551</v>
      </c>
      <c r="F7" s="294" t="s">
        <v>5000</v>
      </c>
      <c r="H7" s="3164" t="s">
        <v>3449</v>
      </c>
      <c r="I7" s="3165"/>
      <c r="J7" s="3155"/>
      <c r="L7" s="2486"/>
      <c r="M7" s="2263" t="s">
        <v>3617</v>
      </c>
      <c r="S7" s="3058"/>
      <c r="T7" s="3059"/>
    </row>
    <row r="8" spans="1:20" s="269" customFormat="1" ht="16.5" customHeight="1">
      <c r="A8" s="480"/>
      <c r="B8" s="2486"/>
      <c r="C8" s="2266" t="s">
        <v>2601</v>
      </c>
      <c r="E8" s="2513"/>
      <c r="F8" s="2263" t="s">
        <v>2609</v>
      </c>
      <c r="L8" s="2486"/>
      <c r="M8" s="2263" t="s">
        <v>5002</v>
      </c>
      <c r="S8" s="3060"/>
      <c r="T8" s="3061"/>
    </row>
    <row r="9" spans="1:20" s="269" customFormat="1" ht="16.5" customHeight="1">
      <c r="A9" s="480"/>
      <c r="B9" s="2486"/>
      <c r="C9" s="2266" t="s">
        <v>2602</v>
      </c>
      <c r="E9" s="2486"/>
      <c r="F9" s="2263" t="s">
        <v>3719</v>
      </c>
      <c r="H9" s="3153" t="s">
        <v>3867</v>
      </c>
      <c r="I9" s="3154"/>
      <c r="J9" s="3155"/>
      <c r="L9" s="2486"/>
      <c r="M9" s="2266" t="s">
        <v>3678</v>
      </c>
      <c r="S9" s="3077"/>
      <c r="T9" s="3078"/>
    </row>
    <row r="10" spans="1:20" s="269" customFormat="1" ht="16.5" customHeight="1">
      <c r="A10" s="480"/>
      <c r="B10" s="2486"/>
      <c r="C10" s="2263" t="s">
        <v>3683</v>
      </c>
      <c r="E10" s="2551"/>
      <c r="F10" s="3160" t="s">
        <v>4714</v>
      </c>
      <c r="G10" s="2835"/>
      <c r="H10" s="2835"/>
      <c r="I10" s="2835"/>
      <c r="J10" s="2836"/>
      <c r="L10" s="2486"/>
      <c r="M10" s="294" t="s">
        <v>2610</v>
      </c>
      <c r="S10" s="3058"/>
      <c r="T10" s="3059"/>
    </row>
    <row r="11" spans="1:20" s="269" customFormat="1" ht="16.5" customHeight="1">
      <c r="A11" s="480"/>
      <c r="B11" s="2486"/>
      <c r="C11" s="294" t="s">
        <v>3882</v>
      </c>
      <c r="F11" s="3145" t="s">
        <v>4716</v>
      </c>
      <c r="G11" s="3146"/>
      <c r="H11" s="3146"/>
      <c r="I11" s="3146"/>
      <c r="J11" s="3147"/>
      <c r="L11" s="2486"/>
      <c r="M11" s="294" t="s">
        <v>3722</v>
      </c>
      <c r="S11" s="3058"/>
      <c r="T11" s="3059"/>
    </row>
    <row r="12" spans="1:20" s="269" customFormat="1" ht="16.5" customHeight="1">
      <c r="A12" s="480"/>
      <c r="B12" s="2486"/>
      <c r="C12" s="294" t="s">
        <v>2608</v>
      </c>
      <c r="E12" s="2552"/>
      <c r="F12" s="3160" t="s">
        <v>4715</v>
      </c>
      <c r="G12" s="2835"/>
      <c r="H12" s="2835"/>
      <c r="I12" s="2835"/>
      <c r="J12" s="2836"/>
      <c r="L12" s="2486"/>
      <c r="M12" s="294" t="s">
        <v>2796</v>
      </c>
      <c r="S12" s="3058"/>
      <c r="T12" s="3059"/>
    </row>
    <row r="13" spans="1:20" s="269" customFormat="1" ht="16.5" customHeight="1">
      <c r="A13" s="480"/>
      <c r="B13" s="2486"/>
      <c r="C13" s="294" t="s">
        <v>3717</v>
      </c>
      <c r="F13" s="3145" t="s">
        <v>4717</v>
      </c>
      <c r="G13" s="3146"/>
      <c r="H13" s="3146"/>
      <c r="I13" s="3146"/>
      <c r="J13" s="3147"/>
      <c r="L13" s="2486"/>
      <c r="M13" s="2263" t="s">
        <v>3881</v>
      </c>
      <c r="S13" s="3060"/>
      <c r="T13" s="3061"/>
    </row>
    <row r="14" spans="1:20" s="269" customFormat="1" ht="16.5" customHeight="1">
      <c r="A14" s="480"/>
      <c r="B14" s="2498"/>
      <c r="C14" s="2266" t="s">
        <v>1803</v>
      </c>
      <c r="E14" s="2485"/>
      <c r="F14" s="2266" t="s">
        <v>4999</v>
      </c>
      <c r="I14" s="3151"/>
      <c r="J14" s="3152"/>
      <c r="L14" s="2498"/>
      <c r="M14" s="289" t="s">
        <v>5004</v>
      </c>
    </row>
    <row r="15" spans="1:20" s="269" customFormat="1" ht="16.95"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5" t="s">
        <v>2345</v>
      </c>
      <c r="C17" s="294"/>
      <c r="D17" s="2271"/>
      <c r="E17" s="294"/>
      <c r="F17" s="294"/>
      <c r="G17" s="294"/>
      <c r="H17" s="269"/>
      <c r="L17" s="294"/>
      <c r="M17" s="2271"/>
      <c r="N17" s="3148"/>
      <c r="O17" s="3148"/>
      <c r="P17" s="294"/>
      <c r="Q17" s="294"/>
      <c r="S17" s="340" t="str">
        <f>B17</f>
        <v>CONSTRUCTION FINANCING</v>
      </c>
    </row>
    <row r="18" spans="1:20" s="340" customFormat="1" ht="5.25" customHeight="1">
      <c r="A18" s="296"/>
      <c r="B18" s="2265"/>
      <c r="C18" s="294"/>
      <c r="K18" s="294"/>
      <c r="L18" s="294"/>
      <c r="M18" s="2271"/>
      <c r="N18" s="2278"/>
      <c r="O18" s="2278"/>
      <c r="P18" s="294"/>
      <c r="Q18" s="294"/>
    </row>
    <row r="19" spans="1:20" s="269" customFormat="1" ht="16.95" customHeight="1">
      <c r="A19" s="294"/>
      <c r="B19" s="2266" t="s">
        <v>1871</v>
      </c>
      <c r="C19" s="294"/>
      <c r="D19" s="294"/>
      <c r="E19" s="294"/>
      <c r="F19" s="294"/>
      <c r="G19" s="294"/>
      <c r="H19" s="3149" t="s">
        <v>1297</v>
      </c>
      <c r="I19" s="3149"/>
      <c r="J19" s="3149"/>
      <c r="K19" s="3149"/>
      <c r="L19" s="2946" t="s">
        <v>4955</v>
      </c>
      <c r="M19" s="2946"/>
      <c r="N19" s="2946" t="s">
        <v>1507</v>
      </c>
      <c r="O19" s="2946"/>
      <c r="P19" s="2946" t="s">
        <v>1630</v>
      </c>
      <c r="Q19" s="2946"/>
      <c r="S19" s="3107" t="s">
        <v>2683</v>
      </c>
      <c r="T19" s="3107"/>
    </row>
    <row r="20" spans="1:20" s="269" customFormat="1" ht="15.75" customHeight="1">
      <c r="A20" s="294"/>
      <c r="B20" s="3109" t="s">
        <v>1591</v>
      </c>
      <c r="C20" s="3110"/>
      <c r="D20" s="3110"/>
      <c r="E20" s="2277"/>
      <c r="F20" s="2277"/>
      <c r="G20" s="2277"/>
      <c r="H20" s="3072" t="s">
        <v>5161</v>
      </c>
      <c r="I20" s="3073"/>
      <c r="J20" s="3073"/>
      <c r="K20" s="3074"/>
      <c r="L20" s="3134">
        <v>9895671</v>
      </c>
      <c r="M20" s="3135"/>
      <c r="N20" s="3136">
        <v>0.06</v>
      </c>
      <c r="O20" s="3137"/>
      <c r="P20" s="3138">
        <v>18</v>
      </c>
      <c r="Q20" s="3139"/>
      <c r="S20" s="3077"/>
      <c r="T20" s="3078"/>
    </row>
    <row r="21" spans="1:20" s="269" customFormat="1" ht="15.75" customHeight="1">
      <c r="A21" s="294"/>
      <c r="B21" s="3079" t="s">
        <v>1592</v>
      </c>
      <c r="C21" s="3080"/>
      <c r="D21" s="3080"/>
      <c r="E21" s="2271"/>
      <c r="F21" s="2271"/>
      <c r="G21" s="2271"/>
      <c r="H21" s="3042"/>
      <c r="I21" s="3043"/>
      <c r="J21" s="3043"/>
      <c r="K21" s="3044"/>
      <c r="L21" s="3118"/>
      <c r="M21" s="3119"/>
      <c r="N21" s="3166"/>
      <c r="O21" s="3167"/>
      <c r="P21" s="3168"/>
      <c r="Q21" s="3169"/>
      <c r="S21" s="3058"/>
      <c r="T21" s="3059"/>
    </row>
    <row r="22" spans="1:20" s="269" customFormat="1" ht="15.75" customHeight="1">
      <c r="A22" s="294"/>
      <c r="B22" s="3170" t="s">
        <v>1593</v>
      </c>
      <c r="C22" s="3171"/>
      <c r="D22" s="3171"/>
      <c r="E22" s="2281"/>
      <c r="F22" s="2281"/>
      <c r="G22" s="2281"/>
      <c r="H22" s="3048"/>
      <c r="I22" s="3049"/>
      <c r="J22" s="3049"/>
      <c r="K22" s="3050"/>
      <c r="L22" s="3122"/>
      <c r="M22" s="3123"/>
      <c r="N22" s="3130"/>
      <c r="O22" s="3131"/>
      <c r="P22" s="3132"/>
      <c r="Q22" s="3133"/>
      <c r="S22" s="3058"/>
      <c r="T22" s="3059"/>
    </row>
    <row r="23" spans="1:20" s="269" customFormat="1" ht="15.75" customHeight="1">
      <c r="A23" s="294"/>
      <c r="B23" s="3109" t="s">
        <v>2215</v>
      </c>
      <c r="C23" s="3110"/>
      <c r="D23" s="3110"/>
      <c r="E23" s="2271"/>
      <c r="F23" s="2271"/>
      <c r="G23" s="2271"/>
      <c r="H23" s="3140"/>
      <c r="I23" s="3141"/>
      <c r="J23" s="3141"/>
      <c r="K23" s="3142"/>
      <c r="L23" s="3143"/>
      <c r="M23" s="3144"/>
      <c r="N23" s="3120"/>
      <c r="O23" s="3121"/>
      <c r="P23" s="3104"/>
      <c r="Q23" s="3104"/>
      <c r="S23" s="3058"/>
      <c r="T23" s="3059"/>
    </row>
    <row r="24" spans="1:20" s="269" customFormat="1" ht="15.75" customHeight="1">
      <c r="A24" s="294"/>
      <c r="B24" s="3079" t="s">
        <v>801</v>
      </c>
      <c r="C24" s="3080"/>
      <c r="D24" s="3080"/>
      <c r="E24" s="2271"/>
      <c r="H24" s="3042"/>
      <c r="I24" s="3043"/>
      <c r="J24" s="3043"/>
      <c r="K24" s="3044"/>
      <c r="L24" s="3118"/>
      <c r="M24" s="3119"/>
      <c r="N24" s="3120"/>
      <c r="O24" s="3121"/>
      <c r="P24" s="3104"/>
      <c r="Q24" s="3104"/>
      <c r="S24" s="3058"/>
      <c r="T24" s="3059"/>
    </row>
    <row r="25" spans="1:20" s="269" customFormat="1" ht="15.75" customHeight="1">
      <c r="A25" s="294"/>
      <c r="B25" s="3079" t="s">
        <v>641</v>
      </c>
      <c r="C25" s="3080"/>
      <c r="D25" s="3080"/>
      <c r="E25" s="2271"/>
      <c r="H25" s="3042"/>
      <c r="I25" s="3043"/>
      <c r="J25" s="3043"/>
      <c r="K25" s="3044"/>
      <c r="L25" s="3118"/>
      <c r="M25" s="3119"/>
      <c r="N25" s="3120"/>
      <c r="O25" s="3121"/>
      <c r="P25" s="3104"/>
      <c r="Q25" s="3104"/>
      <c r="S25" s="3058"/>
      <c r="T25" s="3059"/>
    </row>
    <row r="26" spans="1:20" s="269" customFormat="1" ht="15.75" customHeight="1">
      <c r="A26" s="294"/>
      <c r="B26" s="3079" t="s">
        <v>802</v>
      </c>
      <c r="C26" s="3080"/>
      <c r="D26" s="3080"/>
      <c r="E26" s="2271"/>
      <c r="H26" s="3042" t="s">
        <v>5130</v>
      </c>
      <c r="I26" s="3043"/>
      <c r="J26" s="3043"/>
      <c r="K26" s="3044"/>
      <c r="L26" s="3118">
        <v>1682660</v>
      </c>
      <c r="M26" s="3119"/>
      <c r="N26" s="294"/>
      <c r="Q26" s="294"/>
      <c r="S26" s="3060"/>
      <c r="T26" s="3061"/>
    </row>
    <row r="27" spans="1:20" s="269" customFormat="1" ht="15.75" customHeight="1">
      <c r="A27" s="294"/>
      <c r="B27" s="3079" t="s">
        <v>803</v>
      </c>
      <c r="C27" s="3080"/>
      <c r="D27" s="3080"/>
      <c r="E27" s="2271"/>
      <c r="H27" s="3042" t="s">
        <v>5130</v>
      </c>
      <c r="I27" s="3043"/>
      <c r="J27" s="3043"/>
      <c r="K27" s="3044"/>
      <c r="L27" s="3118">
        <v>797000</v>
      </c>
      <c r="M27" s="3119"/>
      <c r="N27" s="294"/>
      <c r="Q27" s="294"/>
      <c r="S27" s="3077"/>
      <c r="T27" s="3078"/>
    </row>
    <row r="28" spans="1:20" s="269" customFormat="1" ht="15.75" customHeight="1">
      <c r="A28" s="294"/>
      <c r="B28" s="2270" t="s">
        <v>242</v>
      </c>
      <c r="C28" s="2271"/>
      <c r="D28" s="3062" t="s">
        <v>5160</v>
      </c>
      <c r="E28" s="3062"/>
      <c r="F28" s="3062"/>
      <c r="G28" s="3062"/>
      <c r="H28" s="3042"/>
      <c r="I28" s="3043"/>
      <c r="J28" s="3043"/>
      <c r="K28" s="3044"/>
      <c r="L28" s="3118">
        <v>110</v>
      </c>
      <c r="M28" s="3119"/>
      <c r="N28" s="294"/>
      <c r="Q28" s="294"/>
      <c r="S28" s="3058"/>
      <c r="T28" s="3059"/>
    </row>
    <row r="29" spans="1:20" s="269" customFormat="1" ht="15.75" customHeight="1">
      <c r="A29" s="294"/>
      <c r="B29" s="2270" t="s">
        <v>242</v>
      </c>
      <c r="C29" s="2271"/>
      <c r="D29" s="3063"/>
      <c r="E29" s="3063"/>
      <c r="F29" s="3063"/>
      <c r="G29" s="3063"/>
      <c r="H29" s="3042"/>
      <c r="I29" s="3043"/>
      <c r="J29" s="3043"/>
      <c r="K29" s="3044"/>
      <c r="L29" s="3118"/>
      <c r="M29" s="3119"/>
      <c r="N29" s="294"/>
      <c r="S29" s="3058"/>
      <c r="T29" s="3059"/>
    </row>
    <row r="30" spans="1:20" s="269" customFormat="1" ht="15.75" customHeight="1">
      <c r="A30" s="294"/>
      <c r="B30" s="2280" t="s">
        <v>242</v>
      </c>
      <c r="C30" s="2281"/>
      <c r="D30" s="3047"/>
      <c r="E30" s="3047"/>
      <c r="F30" s="3047"/>
      <c r="G30" s="3047"/>
      <c r="H30" s="3048"/>
      <c r="I30" s="3049"/>
      <c r="J30" s="3049"/>
      <c r="K30" s="3050"/>
      <c r="L30" s="3122"/>
      <c r="M30" s="3123"/>
      <c r="N30" s="294"/>
      <c r="S30" s="3058"/>
      <c r="T30" s="3059"/>
    </row>
    <row r="31" spans="1:20" s="269" customFormat="1" ht="16.5" customHeight="1">
      <c r="A31" s="294"/>
      <c r="B31" s="2265" t="s">
        <v>1298</v>
      </c>
      <c r="C31" s="294"/>
      <c r="D31" s="294"/>
      <c r="E31" s="294"/>
      <c r="F31" s="294"/>
      <c r="G31" s="294"/>
      <c r="H31" s="294"/>
      <c r="I31" s="294"/>
      <c r="L31" s="3124">
        <f>SUM(L20:L30)</f>
        <v>12375441</v>
      </c>
      <c r="M31" s="3125"/>
      <c r="N31" s="312"/>
      <c r="S31" s="3058"/>
      <c r="T31" s="3059"/>
    </row>
    <row r="32" spans="1:20" s="269" customFormat="1" ht="16.5" customHeight="1">
      <c r="A32" s="294"/>
      <c r="B32" s="2266" t="s">
        <v>1299</v>
      </c>
      <c r="C32" s="294"/>
      <c r="D32" s="294"/>
      <c r="E32" s="294"/>
      <c r="F32" s="294"/>
      <c r="G32" s="294"/>
      <c r="H32" s="294"/>
      <c r="I32" s="294"/>
      <c r="L32" s="312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12375441</v>
      </c>
      <c r="M32" s="3127"/>
      <c r="N32" s="850"/>
      <c r="S32" s="3058"/>
      <c r="T32" s="3059"/>
    </row>
    <row r="33" spans="1:20" s="269" customFormat="1" ht="16.5" customHeight="1">
      <c r="A33" s="294"/>
      <c r="B33" s="2263" t="s">
        <v>2157</v>
      </c>
      <c r="C33" s="294"/>
      <c r="D33" s="294"/>
      <c r="E33" s="294"/>
      <c r="F33" s="294"/>
      <c r="G33" s="294"/>
      <c r="H33" s="294"/>
      <c r="I33" s="294"/>
      <c r="L33" s="3128">
        <f>L31-L32</f>
        <v>0</v>
      </c>
      <c r="M33" s="3129"/>
      <c r="N33" s="850"/>
      <c r="S33" s="3060"/>
      <c r="T33" s="3061"/>
    </row>
    <row r="34" spans="1:20" ht="9.6" customHeight="1">
      <c r="A34" s="321"/>
      <c r="B34" s="2265"/>
      <c r="C34" s="312"/>
      <c r="D34" s="312"/>
      <c r="E34" s="312"/>
      <c r="F34" s="312"/>
      <c r="G34" s="312"/>
      <c r="H34" s="312"/>
      <c r="I34" s="312"/>
      <c r="J34" s="312"/>
      <c r="K34" s="312"/>
      <c r="L34" s="312"/>
      <c r="M34" s="2274"/>
      <c r="N34" s="2274"/>
    </row>
    <row r="35" spans="1:20" ht="9.6" customHeight="1">
      <c r="A35" s="296" t="s">
        <v>742</v>
      </c>
      <c r="B35" s="2265" t="s">
        <v>800</v>
      </c>
      <c r="C35" s="312"/>
      <c r="D35" s="312"/>
      <c r="E35" s="312"/>
      <c r="F35" s="312"/>
      <c r="G35" s="312"/>
      <c r="H35" s="312"/>
      <c r="I35" s="312"/>
      <c r="J35" s="312"/>
      <c r="K35" s="312"/>
      <c r="L35" s="312"/>
      <c r="M35" s="2274"/>
      <c r="N35" s="2274"/>
      <c r="O35" s="312"/>
      <c r="S35" s="340" t="str">
        <f>B35</f>
        <v>PERMANENT FINANCING</v>
      </c>
    </row>
    <row r="36" spans="1:20" s="269" customFormat="1" ht="13.2" customHeight="1">
      <c r="A36" s="294"/>
      <c r="B36" s="294"/>
      <c r="C36" s="294"/>
      <c r="D36" s="294"/>
      <c r="E36" s="294"/>
      <c r="F36" s="2274"/>
      <c r="G36" s="2274"/>
      <c r="H36" s="3104"/>
      <c r="I36" s="3104"/>
      <c r="K36" s="366" t="s">
        <v>2099</v>
      </c>
      <c r="L36" s="2274" t="s">
        <v>1295</v>
      </c>
      <c r="M36" s="2274" t="s">
        <v>1300</v>
      </c>
      <c r="P36" s="3105" t="s">
        <v>34</v>
      </c>
      <c r="Q36" s="3105"/>
      <c r="S36" s="340"/>
    </row>
    <row r="37" spans="1:20" s="269" customFormat="1" ht="13.2" customHeight="1">
      <c r="A37" s="294"/>
      <c r="B37" s="2279" t="s">
        <v>1871</v>
      </c>
      <c r="C37" s="2281"/>
      <c r="D37" s="2281"/>
      <c r="E37" s="2803" t="s">
        <v>1297</v>
      </c>
      <c r="F37" s="2803"/>
      <c r="G37" s="2803"/>
      <c r="H37" s="2803"/>
      <c r="I37" s="2946" t="s">
        <v>4954</v>
      </c>
      <c r="J37" s="2946"/>
      <c r="K37" s="2268" t="s">
        <v>1806</v>
      </c>
      <c r="L37" s="2268" t="s">
        <v>2214</v>
      </c>
      <c r="M37" s="2268" t="s">
        <v>2214</v>
      </c>
      <c r="N37" s="2946" t="s">
        <v>74</v>
      </c>
      <c r="O37" s="2946"/>
      <c r="P37" s="3106"/>
      <c r="Q37" s="3106"/>
      <c r="S37" s="3107" t="s">
        <v>2683</v>
      </c>
      <c r="T37" s="3107"/>
    </row>
    <row r="38" spans="1:20" s="269" customFormat="1" ht="15.75" customHeight="1">
      <c r="A38" s="294"/>
      <c r="B38" s="3109" t="s">
        <v>2614</v>
      </c>
      <c r="C38" s="3110"/>
      <c r="D38" s="3110"/>
      <c r="E38" s="3072" t="s">
        <v>5161</v>
      </c>
      <c r="F38" s="3073"/>
      <c r="G38" s="3073"/>
      <c r="H38" s="3074"/>
      <c r="I38" s="3066">
        <v>1700000</v>
      </c>
      <c r="J38" s="3067"/>
      <c r="K38" s="2553">
        <v>6.25E-2</v>
      </c>
      <c r="L38" s="2497">
        <v>18</v>
      </c>
      <c r="M38" s="2497">
        <v>35</v>
      </c>
      <c r="N38" s="3111" t="s">
        <v>5220</v>
      </c>
      <c r="O38" s="3111"/>
      <c r="P38" s="3068">
        <f>IF(OR(I38&lt;=0,I38=""),"",IF(N38="Cash Flow",0,IF(N38="Amortizing",-PMT(K38/12,M38*12,I38,0,0)*12,"")))</f>
        <v>119763.60191377226</v>
      </c>
      <c r="Q38" s="3068"/>
      <c r="S38" s="3077"/>
      <c r="T38" s="3078"/>
    </row>
    <row r="39" spans="1:20" s="269" customFormat="1" ht="15.75" customHeight="1">
      <c r="A39" s="294"/>
      <c r="B39" s="3079" t="s">
        <v>2615</v>
      </c>
      <c r="C39" s="3080"/>
      <c r="D39" s="3080"/>
      <c r="E39" s="3042"/>
      <c r="F39" s="3043"/>
      <c r="G39" s="3043"/>
      <c r="H39" s="3044"/>
      <c r="I39" s="3045"/>
      <c r="J39" s="3082"/>
      <c r="K39" s="2554"/>
      <c r="L39" s="2486"/>
      <c r="M39" s="2486"/>
      <c r="N39" s="3108"/>
      <c r="O39" s="3108"/>
      <c r="P39" s="3103" t="str">
        <f>IF(OR(I39&lt;=0,I39=""),"",IF(N39="Cash Flow",0,IF(N39="Amortizing",-PMT(K39/12,M39*12,I39,0,0)*12,"")))</f>
        <v/>
      </c>
      <c r="Q39" s="3103"/>
      <c r="S39" s="3058"/>
      <c r="T39" s="3059"/>
    </row>
    <row r="40" spans="1:20" s="269" customFormat="1" ht="15.75" customHeight="1">
      <c r="A40" s="294"/>
      <c r="B40" s="3079" t="s">
        <v>2616</v>
      </c>
      <c r="C40" s="3080"/>
      <c r="D40" s="3080"/>
      <c r="E40" s="3042"/>
      <c r="F40" s="3043"/>
      <c r="G40" s="3043"/>
      <c r="H40" s="3044"/>
      <c r="I40" s="3045"/>
      <c r="J40" s="3082"/>
      <c r="K40" s="2554"/>
      <c r="L40" s="2486"/>
      <c r="M40" s="2486"/>
      <c r="N40" s="3108"/>
      <c r="O40" s="3108"/>
      <c r="P40" s="3103" t="str">
        <f>IF(OR(I40&lt;=0,I40=""),"",IF(N40="Cash Flow",0,IF(N40="Amortizing",-PMT(K40/12,M40*12,I40,0,0)*12,"")))</f>
        <v/>
      </c>
      <c r="Q40" s="3103"/>
      <c r="S40" s="3058"/>
      <c r="T40" s="3059"/>
    </row>
    <row r="41" spans="1:20" s="269" customFormat="1" ht="15.75" customHeight="1">
      <c r="A41" s="294"/>
      <c r="B41" s="2270" t="s">
        <v>741</v>
      </c>
      <c r="C41" s="3089"/>
      <c r="D41" s="3090"/>
      <c r="E41" s="3042"/>
      <c r="F41" s="3043"/>
      <c r="G41" s="3043"/>
      <c r="H41" s="3044"/>
      <c r="I41" s="3091"/>
      <c r="J41" s="3092"/>
      <c r="K41" s="2555"/>
      <c r="L41" s="2498"/>
      <c r="M41" s="2498"/>
      <c r="N41" s="3094"/>
      <c r="O41" s="3094"/>
      <c r="P41" s="3093" t="str">
        <f>IF(OR(I41&lt;=0,I41=""),"",IF(N41="Cash Flow",0,IF(N41="Amortizing",-PMT(K41/12,M41*12,I41,0,0)*12,"")))</f>
        <v/>
      </c>
      <c r="Q41" s="3093"/>
      <c r="S41" s="3058"/>
      <c r="T41" s="3059"/>
    </row>
    <row r="42" spans="1:20" s="269" customFormat="1" ht="15.75" customHeight="1">
      <c r="A42" s="294"/>
      <c r="B42" s="2270" t="s">
        <v>2749</v>
      </c>
      <c r="C42" s="2271"/>
      <c r="D42" s="2272"/>
      <c r="E42" s="3042"/>
      <c r="F42" s="3043"/>
      <c r="G42" s="3043"/>
      <c r="H42" s="3044"/>
      <c r="I42" s="3045"/>
      <c r="J42" s="3082"/>
      <c r="K42" s="459"/>
      <c r="L42" s="2273"/>
      <c r="M42" s="2273"/>
      <c r="N42" s="3096"/>
      <c r="O42" s="3096"/>
      <c r="P42" s="3095"/>
      <c r="Q42" s="3095"/>
      <c r="S42" s="3058"/>
      <c r="T42" s="3059"/>
    </row>
    <row r="43" spans="1:20" s="269" customFormat="1" ht="15.75" customHeight="1">
      <c r="A43" s="294"/>
      <c r="B43" s="2280" t="s">
        <v>228</v>
      </c>
      <c r="C43" s="2281"/>
      <c r="D43" s="367">
        <f>IF(OR(I43="",I43=0,'Part IV-A-Uses of Funds'!$G$118="",'Part IV-A-Uses of Funds'!$G$118=0),"",I43/'Part IV-A-Uses of Funds'!$G$118)</f>
        <v>4.7072451750055012E-2</v>
      </c>
      <c r="E43" s="3048" t="s">
        <v>5235</v>
      </c>
      <c r="F43" s="3049"/>
      <c r="G43" s="3049"/>
      <c r="H43" s="3050"/>
      <c r="I43" s="3112">
        <v>77655</v>
      </c>
      <c r="J43" s="3113"/>
      <c r="K43" s="2556">
        <v>0</v>
      </c>
      <c r="L43" s="2485">
        <v>15</v>
      </c>
      <c r="M43" s="2485"/>
      <c r="N43" s="3116" t="s">
        <v>1164</v>
      </c>
      <c r="O43" s="3117"/>
      <c r="P43" s="3114">
        <f>IF(OR(I43&lt;=0,I43=""),"",IF(N43="Cash Flow",0,IF(N43="Amortizing",-PMT(K43/12,M43*12,I43,0,0)*12,"")))</f>
        <v>0</v>
      </c>
      <c r="Q43" s="3115"/>
      <c r="S43" s="3058"/>
      <c r="T43" s="3059"/>
    </row>
    <row r="44" spans="1:20" s="269" customFormat="1" ht="3" customHeight="1">
      <c r="A44" s="294"/>
      <c r="B44" s="294"/>
      <c r="C44" s="294"/>
      <c r="D44" s="294"/>
      <c r="E44" s="294"/>
      <c r="F44" s="294"/>
      <c r="G44" s="294"/>
      <c r="H44" s="294"/>
      <c r="I44" s="2257"/>
      <c r="J44" s="2557"/>
      <c r="K44" s="2259"/>
      <c r="L44" s="2274"/>
      <c r="M44" s="2274"/>
      <c r="N44" s="2260"/>
      <c r="O44" s="2260"/>
      <c r="P44" s="2274"/>
      <c r="Q44" s="2274"/>
      <c r="S44" s="3058"/>
      <c r="T44" s="3059"/>
    </row>
    <row r="45" spans="1:20" s="269" customFormat="1" ht="14.25" customHeight="1">
      <c r="A45" s="294"/>
      <c r="B45" s="1067" t="s">
        <v>4178</v>
      </c>
      <c r="C45" s="2271"/>
      <c r="E45" s="269" t="s">
        <v>4080</v>
      </c>
      <c r="F45" s="3087">
        <f>IF(OR($I$43="",$I$43=0,'Part VII-Pro Forma'!$S$35=0,'Part VII-Pro Forma'!$S$35=""),"",VLOOKUP($L$43,'Part VII-Pro Forma'!$Q$20:$S$40,3))</f>
        <v>473763.18126377609</v>
      </c>
      <c r="G45" s="3088"/>
      <c r="H45" s="608" t="s">
        <v>4177</v>
      </c>
      <c r="I45" s="3087">
        <f>IF(OR($I$43="",$I$43=0,'Part VII-Pro Forma'!$R$35=0,'Part VII-Pro Forma'!$R$35=""),"",VLOOKUP($L$43,'Part VII-Pro Forma'!$Q$20:$S$35,2))</f>
        <v>77655</v>
      </c>
      <c r="J45" s="3088"/>
      <c r="K45" s="608" t="s">
        <v>4179</v>
      </c>
      <c r="L45" s="3097">
        <f>IF(OR($F$45 = 0,$F$45 =""),"",$I$45/$F$45)</f>
        <v>0.16391100674571879</v>
      </c>
      <c r="M45" s="3098"/>
      <c r="N45" s="3101" t="s">
        <v>4966</v>
      </c>
      <c r="O45" s="3102"/>
      <c r="P45" s="3099">
        <f>IF(OR($I$60=0,$I$58&gt;$I$59),0,ABS($I$58-$I$59))</f>
        <v>0</v>
      </c>
      <c r="Q45" s="3100"/>
      <c r="S45" s="3058"/>
      <c r="T45" s="3059"/>
    </row>
    <row r="46" spans="1:20" s="269" customFormat="1" ht="3" customHeight="1">
      <c r="A46" s="294"/>
      <c r="B46" s="294"/>
      <c r="C46" s="294"/>
      <c r="D46" s="294"/>
      <c r="E46" s="294"/>
      <c r="F46" s="294"/>
      <c r="G46" s="294"/>
      <c r="H46" s="294"/>
      <c r="I46" s="2558"/>
      <c r="J46" s="2559"/>
      <c r="K46" s="2259"/>
      <c r="L46" s="2274"/>
      <c r="M46" s="2274"/>
      <c r="N46" s="2260"/>
      <c r="O46" s="2260"/>
      <c r="P46" s="2274"/>
      <c r="Q46" s="2274"/>
      <c r="S46" s="3060"/>
      <c r="T46" s="3061"/>
    </row>
    <row r="47" spans="1:20" s="269" customFormat="1" ht="15.75" customHeight="1">
      <c r="A47" s="294"/>
      <c r="B47" s="3069" t="s">
        <v>2215</v>
      </c>
      <c r="C47" s="3070"/>
      <c r="D47" s="3071"/>
      <c r="E47" s="3072"/>
      <c r="F47" s="3073"/>
      <c r="G47" s="3073"/>
      <c r="H47" s="3074"/>
      <c r="I47" s="3075"/>
      <c r="J47" s="3076"/>
      <c r="K47" s="368"/>
      <c r="L47" s="368"/>
      <c r="M47" s="368"/>
      <c r="N47" s="368"/>
      <c r="O47" s="368"/>
      <c r="P47" s="368"/>
      <c r="Q47" s="368"/>
      <c r="S47" s="3077"/>
      <c r="T47" s="3078"/>
    </row>
    <row r="48" spans="1:20" s="269" customFormat="1" ht="15.75" customHeight="1">
      <c r="A48" s="294"/>
      <c r="B48" s="3079" t="s">
        <v>801</v>
      </c>
      <c r="C48" s="3080"/>
      <c r="D48" s="3081"/>
      <c r="E48" s="3042"/>
      <c r="F48" s="3043"/>
      <c r="G48" s="3043"/>
      <c r="H48" s="3044"/>
      <c r="I48" s="3045"/>
      <c r="J48" s="3082"/>
      <c r="L48" s="3083" t="s">
        <v>517</v>
      </c>
      <c r="M48" s="3083"/>
      <c r="N48" s="3084" t="s">
        <v>518</v>
      </c>
      <c r="O48" s="3084"/>
      <c r="P48" s="399" t="s">
        <v>516</v>
      </c>
      <c r="Q48" s="368"/>
      <c r="S48" s="3058"/>
      <c r="T48" s="3059"/>
    </row>
    <row r="49" spans="1:23" s="269" customFormat="1" ht="15.75" customHeight="1">
      <c r="A49" s="294"/>
      <c r="B49" s="3079" t="s">
        <v>802</v>
      </c>
      <c r="C49" s="3080"/>
      <c r="D49" s="3081"/>
      <c r="E49" s="3042" t="s">
        <v>5162</v>
      </c>
      <c r="F49" s="3043"/>
      <c r="G49" s="3043"/>
      <c r="H49" s="3044"/>
      <c r="I49" s="3045">
        <v>8413300</v>
      </c>
      <c r="J49" s="3045"/>
      <c r="L49" s="3085">
        <f>'Part IV-A-Uses of Funds'!$J$175*10*'Part IV-A-Uses of Funds'!$N$168</f>
        <v>8500000</v>
      </c>
      <c r="M49" s="3085"/>
      <c r="N49" s="3086">
        <f>I49-L49</f>
        <v>-86700</v>
      </c>
      <c r="O49" s="3086"/>
      <c r="P49" s="400" t="s">
        <v>2560</v>
      </c>
      <c r="Q49" s="368"/>
      <c r="S49" s="3058"/>
      <c r="T49" s="3059"/>
    </row>
    <row r="50" spans="1:23" s="269" customFormat="1" ht="15.75" customHeight="1">
      <c r="A50" s="294"/>
      <c r="B50" s="3079" t="s">
        <v>803</v>
      </c>
      <c r="C50" s="3080"/>
      <c r="D50" s="3081"/>
      <c r="E50" s="3042" t="s">
        <v>5162</v>
      </c>
      <c r="F50" s="3043"/>
      <c r="G50" s="3043"/>
      <c r="H50" s="3044"/>
      <c r="I50" s="3045">
        <v>3985000</v>
      </c>
      <c r="J50" s="3045"/>
      <c r="L50" s="3085">
        <f>'Part IV-A-Uses of Funds'!$J$175*10*'Part IV-A-Uses of Funds'!$Q$168</f>
        <v>3900000</v>
      </c>
      <c r="M50" s="3085"/>
      <c r="N50" s="3086">
        <f>I50-L50</f>
        <v>85000</v>
      </c>
      <c r="O50" s="3086"/>
      <c r="P50" s="401">
        <f>I49/I59</f>
        <v>0.59348627422348865</v>
      </c>
      <c r="Q50" s="368"/>
      <c r="S50" s="3058"/>
      <c r="T50" s="3059"/>
    </row>
    <row r="51" spans="1:23" s="269" customFormat="1" ht="15.75" customHeight="1">
      <c r="A51" s="294"/>
      <c r="B51" s="3079" t="s">
        <v>1410</v>
      </c>
      <c r="C51" s="3080"/>
      <c r="D51" s="3081"/>
      <c r="E51" s="3042"/>
      <c r="F51" s="3043"/>
      <c r="G51" s="3043"/>
      <c r="H51" s="3044"/>
      <c r="I51" s="3045"/>
      <c r="J51" s="3045"/>
      <c r="P51" s="401">
        <f>I50/I59</f>
        <v>0.28110762753980034</v>
      </c>
      <c r="Q51" s="368"/>
      <c r="S51" s="3060"/>
      <c r="T51" s="3061"/>
    </row>
    <row r="52" spans="1:23" s="269" customFormat="1" ht="15.75" customHeight="1">
      <c r="A52" s="294"/>
      <c r="B52" s="2270" t="s">
        <v>531</v>
      </c>
      <c r="C52" s="2271"/>
      <c r="D52" s="2272"/>
      <c r="E52" s="3042"/>
      <c r="F52" s="3043"/>
      <c r="G52" s="3043"/>
      <c r="H52" s="3044"/>
      <c r="I52" s="3045"/>
      <c r="J52" s="3045"/>
      <c r="K52" s="294"/>
      <c r="P52" s="402">
        <f>SUM(P50:P51)</f>
        <v>0.87459390176328899</v>
      </c>
      <c r="Q52" s="368"/>
      <c r="S52" s="3058"/>
      <c r="T52" s="3059"/>
    </row>
    <row r="53" spans="1:23" s="269" customFormat="1" ht="15.75" customHeight="1">
      <c r="A53" s="294"/>
      <c r="B53" s="2270" t="s">
        <v>1869</v>
      </c>
      <c r="C53" s="2271"/>
      <c r="D53" s="2272"/>
      <c r="E53" s="3042"/>
      <c r="F53" s="3043"/>
      <c r="G53" s="3043"/>
      <c r="H53" s="3044"/>
      <c r="I53" s="3045"/>
      <c r="J53" s="3045"/>
      <c r="N53" s="369"/>
      <c r="O53" s="369"/>
      <c r="P53" s="369"/>
      <c r="Q53" s="368"/>
      <c r="S53" s="3058"/>
      <c r="T53" s="3059"/>
    </row>
    <row r="54" spans="1:23" s="269" customFormat="1" ht="15.75" customHeight="1">
      <c r="A54" s="294"/>
      <c r="B54" s="2270" t="s">
        <v>1870</v>
      </c>
      <c r="C54" s="2271"/>
      <c r="D54" s="2272"/>
      <c r="E54" s="3042"/>
      <c r="F54" s="3043"/>
      <c r="G54" s="3043"/>
      <c r="H54" s="3044"/>
      <c r="I54" s="3045"/>
      <c r="J54" s="3045"/>
      <c r="M54" s="369"/>
      <c r="N54" s="369"/>
      <c r="O54" s="369"/>
      <c r="P54" s="369"/>
      <c r="Q54" s="368"/>
      <c r="S54" s="3058"/>
      <c r="T54" s="3059"/>
    </row>
    <row r="55" spans="1:23" s="269" customFormat="1" ht="15.75" customHeight="1">
      <c r="A55" s="294"/>
      <c r="B55" s="2270" t="s">
        <v>741</v>
      </c>
      <c r="C55" s="3062" t="s">
        <v>5160</v>
      </c>
      <c r="D55" s="3062"/>
      <c r="E55" s="3042"/>
      <c r="F55" s="3043"/>
      <c r="G55" s="3043"/>
      <c r="H55" s="3044"/>
      <c r="I55" s="3045">
        <v>110</v>
      </c>
      <c r="J55" s="3045"/>
      <c r="M55" s="369"/>
      <c r="N55" s="369"/>
      <c r="O55" s="369"/>
      <c r="P55" s="369"/>
      <c r="Q55" s="368"/>
      <c r="S55" s="3058"/>
      <c r="T55" s="3059"/>
    </row>
    <row r="56" spans="1:23" s="269" customFormat="1" ht="15.75" customHeight="1">
      <c r="A56" s="294"/>
      <c r="B56" s="2270" t="s">
        <v>741</v>
      </c>
      <c r="C56" s="3063"/>
      <c r="D56" s="3063"/>
      <c r="E56" s="3042"/>
      <c r="F56" s="3043"/>
      <c r="G56" s="3043"/>
      <c r="H56" s="3044"/>
      <c r="I56" s="3045"/>
      <c r="J56" s="3045"/>
      <c r="K56" s="294"/>
      <c r="L56" s="370"/>
      <c r="M56" s="369"/>
      <c r="N56" s="369"/>
      <c r="O56" s="369"/>
      <c r="P56" s="369"/>
      <c r="Q56" s="368"/>
      <c r="S56" s="3058"/>
      <c r="T56" s="3059"/>
    </row>
    <row r="57" spans="1:23" s="269" customFormat="1" ht="15.75" customHeight="1">
      <c r="A57" s="294"/>
      <c r="B57" s="2280" t="s">
        <v>741</v>
      </c>
      <c r="C57" s="3047"/>
      <c r="D57" s="3047"/>
      <c r="E57" s="3048"/>
      <c r="F57" s="3049"/>
      <c r="G57" s="3049"/>
      <c r="H57" s="3050"/>
      <c r="I57" s="3051"/>
      <c r="J57" s="3051"/>
      <c r="K57" s="294"/>
      <c r="L57" s="370"/>
      <c r="M57" s="369"/>
      <c r="N57" s="369"/>
      <c r="O57" s="369"/>
      <c r="P57" s="369"/>
      <c r="Q57" s="368"/>
      <c r="S57" s="3058"/>
      <c r="T57" s="3059"/>
    </row>
    <row r="58" spans="1:23" s="269" customFormat="1" ht="14.25" customHeight="1">
      <c r="A58" s="294"/>
      <c r="B58" s="2266" t="s">
        <v>2216</v>
      </c>
      <c r="C58" s="294"/>
      <c r="D58" s="294"/>
      <c r="E58" s="294"/>
      <c r="F58" s="294"/>
      <c r="G58" s="294"/>
      <c r="I58" s="3052">
        <f>SUM(I38:J43)+SUM(I47:J57)</f>
        <v>14176065</v>
      </c>
      <c r="J58" s="3053"/>
      <c r="K58" s="294"/>
      <c r="L58" s="370"/>
      <c r="M58" s="369"/>
      <c r="N58" s="369"/>
      <c r="O58" s="369"/>
      <c r="P58" s="369"/>
      <c r="Q58" s="368"/>
      <c r="S58" s="3058"/>
      <c r="T58" s="3059"/>
    </row>
    <row r="59" spans="1:23" s="269" customFormat="1" ht="14.25" customHeight="1" thickBot="1">
      <c r="A59" s="294"/>
      <c r="B59" s="2266" t="s">
        <v>2217</v>
      </c>
      <c r="C59" s="294"/>
      <c r="D59" s="294"/>
      <c r="E59" s="294"/>
      <c r="F59" s="294"/>
      <c r="G59" s="294"/>
      <c r="I59" s="3054">
        <f>'Part IV-A-Uses of Funds'!$G$132</f>
        <v>14176065</v>
      </c>
      <c r="J59" s="3055"/>
      <c r="K59" s="294"/>
      <c r="L59" s="370"/>
      <c r="M59" s="369"/>
      <c r="N59" s="369"/>
      <c r="O59" s="369"/>
      <c r="P59" s="369"/>
      <c r="Q59" s="368"/>
      <c r="S59" s="3058"/>
      <c r="T59" s="3059"/>
    </row>
    <row r="60" spans="1:23" s="269" customFormat="1" ht="14.25" customHeight="1" thickBot="1">
      <c r="A60" s="294"/>
      <c r="B60" s="2263" t="s">
        <v>1525</v>
      </c>
      <c r="C60" s="294"/>
      <c r="D60" s="294"/>
      <c r="E60" s="294"/>
      <c r="F60" s="294"/>
      <c r="G60" s="294"/>
      <c r="I60" s="3056">
        <f>I58-I59</f>
        <v>0</v>
      </c>
      <c r="J60" s="3057"/>
      <c r="K60" s="294"/>
      <c r="L60" s="370"/>
      <c r="M60" s="369"/>
      <c r="N60" s="369"/>
      <c r="O60" s="369"/>
      <c r="P60" s="369"/>
      <c r="Q60" s="368"/>
      <c r="S60" s="3060"/>
      <c r="T60" s="3061"/>
    </row>
    <row r="61" spans="1:23" s="269" customFormat="1" ht="13.2" customHeight="1">
      <c r="A61" s="294" t="s">
        <v>3467</v>
      </c>
      <c r="B61" s="226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5" t="s">
        <v>5236</v>
      </c>
      <c r="B64" s="3065"/>
      <c r="C64" s="3065"/>
      <c r="D64" s="3065"/>
      <c r="E64" s="3065"/>
      <c r="F64" s="3065"/>
      <c r="G64" s="3065"/>
      <c r="H64" s="3065"/>
      <c r="I64" s="3065"/>
      <c r="J64" s="3065"/>
      <c r="K64" s="3065"/>
      <c r="L64" s="3065"/>
      <c r="M64" s="3064"/>
      <c r="N64" s="3064"/>
      <c r="O64" s="3064"/>
      <c r="P64" s="3064"/>
      <c r="Q64" s="3064"/>
      <c r="S64" s="3046" t="s">
        <v>2693</v>
      </c>
      <c r="T64" s="3046"/>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kGNd9MXX4HBbuXTkGP+PKOn6AUrjNl69ByGAhZTeKxihgvKWNHUQd5oCT6FtK/Z31DC5cg2Pxt+5NHFBTmyUmA==" saltValue="O9ljbkPrd0yyvrkHFX0VLQ=="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72" t="e">
        <f>CONCATENATE("PART III B: USD 538 LOAN","  -  ",#REF!," ",#REF!,", ",#REF!,", ",#REF!," County")</f>
        <v>#REF!</v>
      </c>
      <c r="B1" s="3173"/>
      <c r="C1" s="3173"/>
      <c r="D1" s="3173"/>
      <c r="E1" s="3173"/>
      <c r="F1" s="3174"/>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81" t="s">
        <v>218</v>
      </c>
      <c r="B3" s="3181"/>
      <c r="C3" s="3181"/>
      <c r="D3" s="3181"/>
      <c r="E3" s="3181"/>
      <c r="F3" s="3181"/>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2" t="s">
        <v>128</v>
      </c>
      <c r="B14" s="3182"/>
      <c r="C14" s="3182"/>
      <c r="D14" s="3182"/>
      <c r="E14" s="3182"/>
      <c r="F14" s="3182"/>
      <c r="G14" s="193"/>
      <c r="H14" s="193"/>
    </row>
    <row r="15" spans="1:17" ht="5.7" customHeight="1">
      <c r="A15" s="27"/>
      <c r="E15" s="204"/>
      <c r="F15" s="193"/>
      <c r="G15" s="193"/>
      <c r="H15" s="193"/>
    </row>
    <row r="16" spans="1:17" ht="13.2" customHeight="1">
      <c r="A16" s="206" t="s">
        <v>2480</v>
      </c>
      <c r="B16" s="207" t="s">
        <v>2477</v>
      </c>
      <c r="C16" s="207" t="s">
        <v>2478</v>
      </c>
      <c r="D16" s="3178" t="s">
        <v>2254</v>
      </c>
      <c r="E16" s="3178"/>
      <c r="F16" s="193"/>
      <c r="G16" s="193"/>
      <c r="H16" s="193"/>
    </row>
    <row r="17" spans="1:8" ht="12.6" customHeight="1">
      <c r="A17" s="80">
        <v>1</v>
      </c>
      <c r="B17" s="182">
        <f>IF(A17&gt;$C$9,0,SUM(C64:C75)*($C$6/$C$7))</f>
        <v>0</v>
      </c>
      <c r="C17" s="205">
        <f>IF(A17&gt;C9,0,(E63+K63)*$C$8)</f>
        <v>0</v>
      </c>
      <c r="D17" s="3183">
        <f t="shared" ref="D17:D56" si="0">IF(A17&gt;$C$9,0,$C$11+C17)</f>
        <v>0</v>
      </c>
      <c r="E17" s="3183"/>
      <c r="F17" s="193"/>
      <c r="G17" s="193"/>
      <c r="H17" s="193"/>
    </row>
    <row r="18" spans="1:8" ht="12.6" customHeight="1">
      <c r="A18" s="80">
        <v>2</v>
      </c>
      <c r="B18" s="182">
        <f>IF(A18&gt;C9,0,SUM(C76:C87)*($C$6/$C$7))</f>
        <v>0</v>
      </c>
      <c r="C18" s="212">
        <f>IF(A18&gt;C9,0,(E75+K75)*$C$8)</f>
        <v>0</v>
      </c>
      <c r="D18" s="3175">
        <f t="shared" si="0"/>
        <v>0</v>
      </c>
      <c r="E18" s="3175"/>
      <c r="F18" s="193"/>
      <c r="G18" s="193"/>
      <c r="H18" s="193"/>
    </row>
    <row r="19" spans="1:8" ht="12.6" customHeight="1">
      <c r="A19" s="80">
        <v>3</v>
      </c>
      <c r="B19" s="182">
        <f>IF(A19&gt;C9,0,SUM(C88:C99)*($C$6/$C$7))</f>
        <v>0</v>
      </c>
      <c r="C19" s="205">
        <f>IF(A19&gt;C9,0,(E87+K87)*$C$8)</f>
        <v>0</v>
      </c>
      <c r="D19" s="3175">
        <f t="shared" si="0"/>
        <v>0</v>
      </c>
      <c r="E19" s="3175"/>
      <c r="F19" s="193"/>
      <c r="G19" s="193"/>
      <c r="H19" s="193"/>
    </row>
    <row r="20" spans="1:8" ht="12.6" customHeight="1">
      <c r="A20" s="80">
        <v>4</v>
      </c>
      <c r="B20" s="182">
        <f>IF(A20&gt;C9,0,SUM(C100:C111)*($C$6/$C$7))</f>
        <v>0</v>
      </c>
      <c r="C20" s="205">
        <f>IF(A20&gt;C9,0,(E99+K99)*$C$8)</f>
        <v>0</v>
      </c>
      <c r="D20" s="3175">
        <f t="shared" si="0"/>
        <v>0</v>
      </c>
      <c r="E20" s="3175"/>
      <c r="F20" s="193"/>
      <c r="G20" s="193"/>
      <c r="H20" s="193"/>
    </row>
    <row r="21" spans="1:8" ht="12.6" customHeight="1">
      <c r="A21" s="80">
        <v>5</v>
      </c>
      <c r="B21" s="182">
        <f>IF(A21&gt;C9,0,SUM(C112:C123)*($C$6/$C$7))</f>
        <v>0</v>
      </c>
      <c r="C21" s="205">
        <f>IF(A21&gt;C9,0,(E111+K111)*$C$8)</f>
        <v>0</v>
      </c>
      <c r="D21" s="3176">
        <f t="shared" si="0"/>
        <v>0</v>
      </c>
      <c r="E21" s="3176"/>
      <c r="F21" s="193"/>
      <c r="G21" s="193"/>
      <c r="H21" s="193"/>
    </row>
    <row r="22" spans="1:8" ht="12.6" customHeight="1">
      <c r="A22" s="183">
        <v>6</v>
      </c>
      <c r="B22" s="184">
        <f>IF(A22&gt;C9,0,SUM(C124:C135)*($C$6/$C$7))</f>
        <v>0</v>
      </c>
      <c r="C22" s="209">
        <f>IF(A22&gt;C9,0,(E123+K123)*$C$8)</f>
        <v>0</v>
      </c>
      <c r="D22" s="3175">
        <f t="shared" si="0"/>
        <v>0</v>
      </c>
      <c r="E22" s="3175"/>
      <c r="F22" s="193"/>
      <c r="G22" s="193"/>
      <c r="H22" s="193"/>
    </row>
    <row r="23" spans="1:8" ht="12.6" customHeight="1">
      <c r="A23" s="185">
        <v>7</v>
      </c>
      <c r="B23" s="186">
        <f>IF(A23&gt;C9,0,SUM(C136:C147)*($C$6/$C$7))</f>
        <v>0</v>
      </c>
      <c r="C23" s="187">
        <f>IF(A23&gt;C9,0,(E135+K135)*$C$8)</f>
        <v>0</v>
      </c>
      <c r="D23" s="3175">
        <f t="shared" si="0"/>
        <v>0</v>
      </c>
      <c r="E23" s="3175"/>
      <c r="F23" s="193"/>
      <c r="G23" s="193"/>
      <c r="H23" s="193"/>
    </row>
    <row r="24" spans="1:8" ht="12.6" customHeight="1">
      <c r="A24" s="185">
        <v>8</v>
      </c>
      <c r="B24" s="186">
        <f>IF(A24&gt;C9,0,SUM(C148:C159)*($C$6/$C$7))</f>
        <v>0</v>
      </c>
      <c r="C24" s="187">
        <f>IF(A24&gt;C9,0,(E147+K147)*$C$8)</f>
        <v>0</v>
      </c>
      <c r="D24" s="3175">
        <f t="shared" si="0"/>
        <v>0</v>
      </c>
      <c r="E24" s="3175"/>
      <c r="F24" s="193"/>
      <c r="G24" s="193"/>
      <c r="H24" s="193"/>
    </row>
    <row r="25" spans="1:8" ht="12.6" customHeight="1">
      <c r="A25" s="185">
        <v>9</v>
      </c>
      <c r="B25" s="186">
        <f>IF(A25&gt;C9,0,SUM(C160:C171)*($C$6/$C$7))</f>
        <v>0</v>
      </c>
      <c r="C25" s="187">
        <f>IF(A25&gt;C9,0,(E159+K159)*$C$8)</f>
        <v>0</v>
      </c>
      <c r="D25" s="3175">
        <f t="shared" si="0"/>
        <v>0</v>
      </c>
      <c r="E25" s="3175"/>
      <c r="F25" s="193"/>
      <c r="G25" s="193"/>
      <c r="H25" s="193"/>
    </row>
    <row r="26" spans="1:8" ht="12.6" customHeight="1">
      <c r="A26" s="188">
        <v>10</v>
      </c>
      <c r="B26" s="189">
        <f>IF(A26&gt;C9,0,SUM(C172:C183)*($C$6/$C$7))</f>
        <v>0</v>
      </c>
      <c r="C26" s="208">
        <f>IF(A26&gt;C9,0,(E171+K171)*$C$8)</f>
        <v>0</v>
      </c>
      <c r="D26" s="3176">
        <f t="shared" si="0"/>
        <v>0</v>
      </c>
      <c r="E26" s="3176"/>
      <c r="F26" s="193"/>
      <c r="G26" s="193"/>
      <c r="H26" s="193"/>
    </row>
    <row r="27" spans="1:8" ht="12.6" customHeight="1">
      <c r="A27" s="190">
        <v>11</v>
      </c>
      <c r="B27" s="182">
        <f>IF(A27&gt;C9,0,SUM(C184:C195)*($C$6/$C$7))</f>
        <v>0</v>
      </c>
      <c r="C27" s="205">
        <f>IF(A27&gt;C9,0,(E183+K183)*$C$8)</f>
        <v>0</v>
      </c>
      <c r="D27" s="3175">
        <f t="shared" si="0"/>
        <v>0</v>
      </c>
      <c r="E27" s="3175"/>
      <c r="F27" s="193"/>
      <c r="G27" s="193"/>
      <c r="H27" s="193"/>
    </row>
    <row r="28" spans="1:8" ht="12.6" customHeight="1">
      <c r="A28" s="190">
        <v>12</v>
      </c>
      <c r="B28" s="182">
        <f>IF(A28&gt;C9,0,SUM(C196:C207)*($C$6/$C$7))</f>
        <v>0</v>
      </c>
      <c r="C28" s="205">
        <f>IF(A28&gt;C9,0,(E195+K195)*$C$8)</f>
        <v>0</v>
      </c>
      <c r="D28" s="3175">
        <f t="shared" si="0"/>
        <v>0</v>
      </c>
      <c r="E28" s="3175"/>
      <c r="F28" s="193"/>
      <c r="G28" s="193"/>
      <c r="H28" s="193"/>
    </row>
    <row r="29" spans="1:8" ht="12.6" customHeight="1">
      <c r="A29" s="190">
        <v>13</v>
      </c>
      <c r="B29" s="182">
        <f>IF(A29&gt;C9,0,SUM(C208:C219)*($C$6/$C$7))</f>
        <v>0</v>
      </c>
      <c r="C29" s="205">
        <f>IF(A29&gt;C9,0,(E207+K207)*$C$8)</f>
        <v>0</v>
      </c>
      <c r="D29" s="3175">
        <f t="shared" si="0"/>
        <v>0</v>
      </c>
      <c r="E29" s="3175"/>
      <c r="F29" s="193"/>
      <c r="G29" s="193"/>
      <c r="H29" s="193"/>
    </row>
    <row r="30" spans="1:8" ht="12.6" customHeight="1">
      <c r="A30" s="190">
        <v>14</v>
      </c>
      <c r="B30" s="182">
        <f>IF(A30&gt;C9,0,SUM(C220:C231)*($C$6/$C$7))</f>
        <v>0</v>
      </c>
      <c r="C30" s="205">
        <f>IF(A30&gt;C9,0,(E219+K219)*$C$8)</f>
        <v>0</v>
      </c>
      <c r="D30" s="3175">
        <f t="shared" si="0"/>
        <v>0</v>
      </c>
      <c r="E30" s="3175"/>
      <c r="F30" s="193"/>
      <c r="G30" s="193"/>
      <c r="H30" s="193"/>
    </row>
    <row r="31" spans="1:8" ht="12.6" customHeight="1">
      <c r="A31" s="190">
        <v>15</v>
      </c>
      <c r="B31" s="182">
        <f>IF(A31&gt;C9,0,SUM(C232:C243)*($C$6/$C$7))</f>
        <v>0</v>
      </c>
      <c r="C31" s="205">
        <f>IF(A31&gt;C9,0,(E231+K231)*$C$8)</f>
        <v>0</v>
      </c>
      <c r="D31" s="3176">
        <f t="shared" si="0"/>
        <v>0</v>
      </c>
      <c r="E31" s="3176"/>
      <c r="F31" s="193"/>
      <c r="G31" s="193"/>
      <c r="H31" s="193"/>
    </row>
    <row r="32" spans="1:8" ht="12.6" customHeight="1">
      <c r="A32" s="192">
        <v>16</v>
      </c>
      <c r="B32" s="184">
        <f>IF(A32&gt;C9,0,SUM(C244:C255)*($C$6/$C$7))</f>
        <v>0</v>
      </c>
      <c r="C32" s="209">
        <f>IF(A32&gt;C9,0,(E243+K243)*$C$8)</f>
        <v>0</v>
      </c>
      <c r="D32" s="3175">
        <f t="shared" si="0"/>
        <v>0</v>
      </c>
      <c r="E32" s="3175"/>
      <c r="F32" s="193"/>
      <c r="G32" s="193"/>
      <c r="H32" s="193"/>
    </row>
    <row r="33" spans="1:8" ht="12.6" customHeight="1">
      <c r="A33" s="185">
        <v>17</v>
      </c>
      <c r="B33" s="186">
        <f>IF(A33&gt;C9,0,SUM(C256:C267)*($C$6/$C$7))</f>
        <v>0</v>
      </c>
      <c r="C33" s="187">
        <f>IF(A33&gt;C9,0,(E255+K255)*$C$8)</f>
        <v>0</v>
      </c>
      <c r="D33" s="3175">
        <f t="shared" si="0"/>
        <v>0</v>
      </c>
      <c r="E33" s="3175"/>
      <c r="F33" s="193"/>
      <c r="G33" s="193"/>
      <c r="H33" s="193"/>
    </row>
    <row r="34" spans="1:8" ht="12.6" customHeight="1">
      <c r="A34" s="185">
        <v>18</v>
      </c>
      <c r="B34" s="186">
        <f>IF(A34&gt;C9,0,SUM(C268:C279)*($C$6/$C$7))</f>
        <v>0</v>
      </c>
      <c r="C34" s="187">
        <f>IF(A34&gt;C9,0,(E267+K267)*$C$8)</f>
        <v>0</v>
      </c>
      <c r="D34" s="3175">
        <f t="shared" si="0"/>
        <v>0</v>
      </c>
      <c r="E34" s="3175"/>
      <c r="F34" s="193"/>
      <c r="G34" s="193"/>
      <c r="H34" s="193"/>
    </row>
    <row r="35" spans="1:8" ht="12.6" customHeight="1">
      <c r="A35" s="185">
        <v>19</v>
      </c>
      <c r="B35" s="186">
        <f>IF(A35&gt;C9,0,SUM(C280:C291)*($C$6/$C$7))</f>
        <v>0</v>
      </c>
      <c r="C35" s="187">
        <f>IF(A35&gt;C9,0,(E279+K279)*$C$8)</f>
        <v>0</v>
      </c>
      <c r="D35" s="3175">
        <f t="shared" si="0"/>
        <v>0</v>
      </c>
      <c r="E35" s="3175"/>
      <c r="F35" s="193"/>
      <c r="G35" s="193"/>
      <c r="H35" s="193"/>
    </row>
    <row r="36" spans="1:8" ht="12.6" customHeight="1">
      <c r="A36" s="188">
        <v>20</v>
      </c>
      <c r="B36" s="189">
        <f>IF(A36&gt;C9,0,SUM(C292:C303)*($C$6/$C$7))</f>
        <v>0</v>
      </c>
      <c r="C36" s="208">
        <f>IF(A36&gt;C9,0,(E291+K291)*$C$8)</f>
        <v>0</v>
      </c>
      <c r="D36" s="3176">
        <f t="shared" si="0"/>
        <v>0</v>
      </c>
      <c r="E36" s="3176"/>
      <c r="F36" s="193"/>
      <c r="G36" s="193"/>
      <c r="H36" s="193"/>
    </row>
    <row r="37" spans="1:8" ht="12.6" customHeight="1">
      <c r="A37" s="80">
        <v>21</v>
      </c>
      <c r="B37" s="184">
        <f>IF(A37&gt;C9,0,SUM(C293:C304)*($C$6/$C$7))</f>
        <v>0</v>
      </c>
      <c r="C37" s="209">
        <f>IF(A37&gt;C9,0,(E303+K303)*$C$8)</f>
        <v>0</v>
      </c>
      <c r="D37" s="3177">
        <f t="shared" si="0"/>
        <v>0</v>
      </c>
      <c r="E37" s="3177"/>
      <c r="F37" s="193"/>
      <c r="G37" s="193"/>
      <c r="H37" s="193"/>
    </row>
    <row r="38" spans="1:8" ht="12.6" customHeight="1">
      <c r="A38" s="80">
        <v>22</v>
      </c>
      <c r="B38" s="186">
        <f>IF(A38&gt;C9,0,SUM(C294:C305)*($C$6/$C$7))</f>
        <v>0</v>
      </c>
      <c r="C38" s="187">
        <f>IF(A38&gt;C9,0,(E315+K315)*$C$8)</f>
        <v>0</v>
      </c>
      <c r="D38" s="3175">
        <f t="shared" si="0"/>
        <v>0</v>
      </c>
      <c r="E38" s="3175"/>
      <c r="F38" s="193"/>
      <c r="G38" s="193"/>
      <c r="H38" s="193"/>
    </row>
    <row r="39" spans="1:8" ht="12.6" customHeight="1">
      <c r="A39" s="80">
        <v>23</v>
      </c>
      <c r="B39" s="186">
        <f>IF(A39&gt;C9,0,SUM(C295:C306)*($C$6/$C$7))</f>
        <v>0</v>
      </c>
      <c r="C39" s="187">
        <f>IF(A39&gt;C9,0,(E327+K327)*$C$8)</f>
        <v>0</v>
      </c>
      <c r="D39" s="3175">
        <f t="shared" si="0"/>
        <v>0</v>
      </c>
      <c r="E39" s="3175"/>
      <c r="F39" s="193"/>
      <c r="G39" s="193"/>
      <c r="H39" s="193"/>
    </row>
    <row r="40" spans="1:8" ht="12.6" customHeight="1">
      <c r="A40" s="80">
        <v>24</v>
      </c>
      <c r="B40" s="186">
        <f>IF(A40&gt;C9,0,SUM(C296:C307)*($C$6/$C$7))</f>
        <v>0</v>
      </c>
      <c r="C40" s="187">
        <f>IF(A40&gt;C9,0,(E339+K339)*$C$8)</f>
        <v>0</v>
      </c>
      <c r="D40" s="3175">
        <f t="shared" si="0"/>
        <v>0</v>
      </c>
      <c r="E40" s="3175"/>
      <c r="F40" s="193"/>
      <c r="G40" s="193"/>
      <c r="H40" s="193"/>
    </row>
    <row r="41" spans="1:8" ht="12.6" customHeight="1">
      <c r="A41" s="80">
        <v>25</v>
      </c>
      <c r="B41" s="189">
        <f>IF(A41&gt;C9,0,SUM(C297:C308)*($C$6/$C$7))</f>
        <v>0</v>
      </c>
      <c r="C41" s="208">
        <f>IF(A41&gt;C9,0,(E351+K351)*$C$8)</f>
        <v>0</v>
      </c>
      <c r="D41" s="3176">
        <f t="shared" si="0"/>
        <v>0</v>
      </c>
      <c r="E41" s="3176"/>
      <c r="F41" s="193"/>
      <c r="G41" s="193"/>
      <c r="H41" s="193"/>
    </row>
    <row r="42" spans="1:8" ht="12.6" customHeight="1">
      <c r="A42" s="183">
        <v>26</v>
      </c>
      <c r="B42" s="184">
        <f>IF(A42&gt;C9,0,SUM(C298:C309)*($C$6/$C$7))</f>
        <v>0</v>
      </c>
      <c r="C42" s="209">
        <f>IF(A42&gt;C9,0,(E363+K363)*$C$8)</f>
        <v>0</v>
      </c>
      <c r="D42" s="3177">
        <f t="shared" si="0"/>
        <v>0</v>
      </c>
      <c r="E42" s="3177"/>
      <c r="F42" s="193"/>
      <c r="G42" s="193"/>
      <c r="H42" s="193"/>
    </row>
    <row r="43" spans="1:8" ht="12.6" customHeight="1">
      <c r="A43" s="185">
        <v>27</v>
      </c>
      <c r="B43" s="186">
        <f>IF(A43&gt;C9,0,SUM(C299:C310)*($C$6/$C$7))</f>
        <v>0</v>
      </c>
      <c r="C43" s="187">
        <f>IF(A43&gt;C9,0,(E375+K375)*$C$8)</f>
        <v>0</v>
      </c>
      <c r="D43" s="3175">
        <f t="shared" si="0"/>
        <v>0</v>
      </c>
      <c r="E43" s="3175"/>
      <c r="F43" s="193"/>
      <c r="G43" s="193"/>
      <c r="H43" s="193"/>
    </row>
    <row r="44" spans="1:8" ht="12.6" customHeight="1">
      <c r="A44" s="185">
        <v>28</v>
      </c>
      <c r="B44" s="186">
        <f>IF(A44&gt;C9,0,SUM(C300:C311)*($C$6/$C$7))</f>
        <v>0</v>
      </c>
      <c r="C44" s="187">
        <f>IF(A44&gt;C9,0,(E387+K387)*$C$8)</f>
        <v>0</v>
      </c>
      <c r="D44" s="3175">
        <f t="shared" si="0"/>
        <v>0</v>
      </c>
      <c r="E44" s="3175"/>
      <c r="F44" s="193"/>
      <c r="G44" s="193"/>
      <c r="H44" s="193"/>
    </row>
    <row r="45" spans="1:8" ht="12.6" customHeight="1">
      <c r="A45" s="185">
        <v>29</v>
      </c>
      <c r="B45" s="186">
        <f>IF(A45&gt;C9,0,SUM(C301:C312)*($C$6/$C$7))</f>
        <v>0</v>
      </c>
      <c r="C45" s="187">
        <f>IF(A45&gt;C9,0,(E411+K411)*$C$8)</f>
        <v>0</v>
      </c>
      <c r="D45" s="3175">
        <f t="shared" si="0"/>
        <v>0</v>
      </c>
      <c r="E45" s="3175"/>
      <c r="F45" s="193"/>
      <c r="G45" s="193"/>
      <c r="H45" s="193"/>
    </row>
    <row r="46" spans="1:8" ht="12.6" customHeight="1">
      <c r="A46" s="188">
        <v>30</v>
      </c>
      <c r="B46" s="189">
        <f>IF(A46&gt;C9,0,SUM(C302:C313)*($C$6/$C$7))</f>
        <v>0</v>
      </c>
      <c r="C46" s="208">
        <f>IF(A46&gt;C9,0,(E423+K423)*$C$8)</f>
        <v>0</v>
      </c>
      <c r="D46" s="3176">
        <f t="shared" si="0"/>
        <v>0</v>
      </c>
      <c r="E46" s="3176"/>
      <c r="F46" s="193"/>
      <c r="G46" s="193"/>
      <c r="H46" s="193"/>
    </row>
    <row r="47" spans="1:8" ht="12.6" customHeight="1">
      <c r="A47" s="192">
        <v>31</v>
      </c>
      <c r="B47" s="184">
        <f>IF(A47&gt;C9,0,SUM(C303:C314)*($C$6/$C$7))</f>
        <v>0</v>
      </c>
      <c r="C47" s="209">
        <f>IF(A47&gt;C9,0,(E435+K435)*$C$8)</f>
        <v>0</v>
      </c>
      <c r="D47" s="3177">
        <f t="shared" si="0"/>
        <v>0</v>
      </c>
      <c r="E47" s="3177"/>
      <c r="F47" s="193"/>
      <c r="G47" s="193"/>
      <c r="H47" s="193"/>
    </row>
    <row r="48" spans="1:8" ht="12.6" customHeight="1">
      <c r="A48" s="185">
        <v>32</v>
      </c>
      <c r="B48" s="186">
        <f>IF(A48&gt;C9,0,SUM(C304:C315)*($C$6/$C$7))</f>
        <v>0</v>
      </c>
      <c r="C48" s="187">
        <f>IF(A48&gt;C9,0,(E447+K447)*$C$8)</f>
        <v>0</v>
      </c>
      <c r="D48" s="3175">
        <f t="shared" si="0"/>
        <v>0</v>
      </c>
      <c r="E48" s="3175"/>
      <c r="F48" s="193"/>
      <c r="G48" s="193"/>
      <c r="H48" s="193"/>
    </row>
    <row r="49" spans="1:12" ht="12.6" customHeight="1">
      <c r="A49" s="185">
        <v>33</v>
      </c>
      <c r="B49" s="186">
        <f>IF(A49&gt;C9,0,SUM(C305:C316)*($C$6/$C$7))</f>
        <v>0</v>
      </c>
      <c r="C49" s="187">
        <f>IF(A49&gt;C9,0,(E459+K459)*$C$8)</f>
        <v>0</v>
      </c>
      <c r="D49" s="3175">
        <f t="shared" si="0"/>
        <v>0</v>
      </c>
      <c r="E49" s="3175"/>
      <c r="F49" s="193"/>
      <c r="G49" s="193"/>
      <c r="H49" s="193"/>
    </row>
    <row r="50" spans="1:12" ht="12.6" customHeight="1">
      <c r="A50" s="185">
        <v>34</v>
      </c>
      <c r="B50" s="186">
        <f>IF(A50&gt;C9,0,SUM(C306:C317)*($C$6/$C$7))</f>
        <v>0</v>
      </c>
      <c r="C50" s="187">
        <f>IF(A50&gt;C9,0,(E471+K471)*$C$8)</f>
        <v>0</v>
      </c>
      <c r="D50" s="3175">
        <f t="shared" si="0"/>
        <v>0</v>
      </c>
      <c r="E50" s="3175"/>
      <c r="F50" s="193"/>
      <c r="G50" s="193"/>
      <c r="H50" s="193"/>
    </row>
    <row r="51" spans="1:12" ht="12.6" customHeight="1">
      <c r="A51" s="188">
        <v>35</v>
      </c>
      <c r="B51" s="189">
        <f>IF(A51&gt;C9,0,SUM(C307:C318)*($C$6/$C$7))</f>
        <v>0</v>
      </c>
      <c r="C51" s="208">
        <f>IF(A51&gt;C9,0,(E483+K483)*$C$8)</f>
        <v>0</v>
      </c>
      <c r="D51" s="3176">
        <f t="shared" si="0"/>
        <v>0</v>
      </c>
      <c r="E51" s="3176"/>
      <c r="F51" s="193"/>
      <c r="G51" s="193"/>
      <c r="H51" s="193"/>
    </row>
    <row r="52" spans="1:12" ht="12.6" customHeight="1">
      <c r="A52" s="192">
        <v>36</v>
      </c>
      <c r="B52" s="184">
        <f>IF(A52&gt;C9,0,SUM(C308:C319)*($C$6/$C$7))</f>
        <v>0</v>
      </c>
      <c r="C52" s="209">
        <f>IF(A52&gt;C9,0,(E495+K495)*$C$8)</f>
        <v>0</v>
      </c>
      <c r="D52" s="3177">
        <f t="shared" si="0"/>
        <v>0</v>
      </c>
      <c r="E52" s="3177"/>
      <c r="F52" s="193"/>
      <c r="G52" s="193"/>
      <c r="H52" s="193"/>
    </row>
    <row r="53" spans="1:12" ht="12.6" customHeight="1">
      <c r="A53" s="185">
        <v>37</v>
      </c>
      <c r="B53" s="186">
        <f>IF(A53&gt;C9,0,SUM(C309:C320)*($C$6/$C$7))</f>
        <v>0</v>
      </c>
      <c r="C53" s="187">
        <f>IF(A53&gt;C9,0,(E507+K507)*$C$8)</f>
        <v>0</v>
      </c>
      <c r="D53" s="3175">
        <f t="shared" si="0"/>
        <v>0</v>
      </c>
      <c r="E53" s="3175"/>
      <c r="F53" s="193"/>
      <c r="G53" s="193"/>
      <c r="H53" s="193"/>
    </row>
    <row r="54" spans="1:12" ht="12.6" customHeight="1">
      <c r="A54" s="185">
        <v>38</v>
      </c>
      <c r="B54" s="186">
        <f>IF(A54&gt;C9,0,SUM(C310:C321)*($C$6/$C$7))</f>
        <v>0</v>
      </c>
      <c r="C54" s="187">
        <f>IF(A54&gt;C9,0,(E519+K519)*$C$8)</f>
        <v>0</v>
      </c>
      <c r="D54" s="3175">
        <f t="shared" si="0"/>
        <v>0</v>
      </c>
      <c r="E54" s="3175"/>
      <c r="F54" s="193"/>
      <c r="G54" s="193"/>
      <c r="H54" s="193"/>
    </row>
    <row r="55" spans="1:12" ht="12.6" customHeight="1">
      <c r="A55" s="185">
        <v>39</v>
      </c>
      <c r="B55" s="186">
        <f>IF(A55&gt;C9,0,SUM(C311:C322)*($C$6/$C$7))</f>
        <v>0</v>
      </c>
      <c r="C55" s="187">
        <f>IF(A55&gt;C9,0,(E531+K531)*$C$8)</f>
        <v>0</v>
      </c>
      <c r="D55" s="3175">
        <f t="shared" si="0"/>
        <v>0</v>
      </c>
      <c r="E55" s="3175"/>
      <c r="F55" s="193"/>
      <c r="G55" s="193"/>
      <c r="H55" s="193"/>
    </row>
    <row r="56" spans="1:12" ht="12.6" customHeight="1">
      <c r="A56" s="188">
        <v>40</v>
      </c>
      <c r="B56" s="189">
        <f>IF(A56&gt;C9,0,SUM(C312:C323)*($C$6/$C$7))</f>
        <v>0</v>
      </c>
      <c r="C56" s="208">
        <f>IF(A56&gt;C9,0,(E543+K543)*$C$8)</f>
        <v>0</v>
      </c>
      <c r="D56" s="3176">
        <f t="shared" si="0"/>
        <v>0</v>
      </c>
      <c r="E56" s="3176"/>
      <c r="F56" s="193"/>
      <c r="G56" s="193"/>
      <c r="H56" s="193"/>
    </row>
    <row r="57" spans="1:12" ht="3" customHeight="1">
      <c r="A57" s="193"/>
      <c r="B57" s="193"/>
      <c r="C57" s="193"/>
      <c r="D57" s="193"/>
      <c r="E57" s="193"/>
      <c r="F57" s="193"/>
      <c r="G57" s="193"/>
      <c r="H57" s="193"/>
    </row>
    <row r="58" spans="1:12" ht="13.2" customHeight="1">
      <c r="A58" s="3179" t="e">
        <f>CONCATENATE(#REF!," ",#REF!,", ",#REF!,", ",#REF!," County")</f>
        <v>#REF!</v>
      </c>
      <c r="B58" s="3179"/>
      <c r="C58" s="3179"/>
      <c r="D58" s="3179"/>
      <c r="E58" s="3179"/>
      <c r="F58" s="3179"/>
      <c r="G58" s="3179" t="e">
        <f>CONCATENATE(#REF!," ",#REF!,", ",#REF!,", ",#REF!," County")</f>
        <v>#REF!</v>
      </c>
      <c r="H58" s="3179"/>
      <c r="I58" s="3179"/>
      <c r="J58" s="3179"/>
      <c r="K58" s="3179"/>
      <c r="L58" s="3179"/>
    </row>
    <row r="59" spans="1:12" ht="13.8">
      <c r="A59" s="3180" t="s">
        <v>2471</v>
      </c>
      <c r="B59" s="3180"/>
      <c r="C59" s="3180"/>
      <c r="D59" s="3180"/>
      <c r="E59" s="3180"/>
      <c r="F59" s="3180"/>
      <c r="G59" s="3180" t="s">
        <v>2471</v>
      </c>
      <c r="H59" s="3180"/>
      <c r="I59" s="3180"/>
      <c r="J59" s="3180"/>
      <c r="K59" s="3180"/>
      <c r="L59" s="3180"/>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72" t="e">
        <f>CONCATENATE("PART III C  - HUD INSURED LOAN","  -  ",#REF!," ",#REF!,", ",#REF!,", ",#REF!," County")</f>
        <v>#REF!</v>
      </c>
      <c r="B1" s="3173"/>
      <c r="C1" s="3173"/>
      <c r="D1" s="3173"/>
      <c r="E1" s="3173"/>
      <c r="F1" s="3174"/>
      <c r="G1" s="162"/>
      <c r="H1" s="162"/>
      <c r="I1" s="162"/>
      <c r="J1" s="162"/>
      <c r="K1" s="162"/>
      <c r="L1" s="162"/>
      <c r="M1" s="162"/>
      <c r="N1" s="162"/>
      <c r="O1" s="162"/>
      <c r="P1" s="162"/>
      <c r="Q1" s="162"/>
    </row>
    <row r="2" spans="1:17">
      <c r="A2" s="12"/>
      <c r="B2" s="181"/>
      <c r="C2" s="181"/>
      <c r="D2" s="181"/>
    </row>
    <row r="3" spans="1:17" ht="15.6" customHeight="1">
      <c r="A3" s="3181" t="s">
        <v>218</v>
      </c>
      <c r="B3" s="3181"/>
      <c r="C3" s="3181"/>
      <c r="D3" s="3181"/>
      <c r="E3" s="3181"/>
      <c r="F3" s="3181"/>
      <c r="G3" s="225"/>
      <c r="H3" s="225"/>
    </row>
    <row r="4" spans="1:17">
      <c r="A4" s="12"/>
      <c r="B4" s="181"/>
      <c r="C4" s="181"/>
      <c r="D4" s="181"/>
    </row>
    <row r="5" spans="1:17" ht="13.2" customHeight="1">
      <c r="A5" s="26" t="s">
        <v>2255</v>
      </c>
      <c r="D5" s="220"/>
      <c r="E5" s="3184" t="s">
        <v>956</v>
      </c>
      <c r="F5" s="3185"/>
      <c r="G5" s="159"/>
    </row>
    <row r="6" spans="1:17">
      <c r="E6" s="3185"/>
      <c r="F6" s="3185"/>
      <c r="G6" s="159"/>
    </row>
    <row r="7" spans="1:17">
      <c r="A7" s="26" t="s">
        <v>2463</v>
      </c>
      <c r="C7" s="26" t="s">
        <v>2464</v>
      </c>
      <c r="D7" s="221"/>
      <c r="E7" s="3185"/>
      <c r="F7" s="3185"/>
      <c r="G7" s="159"/>
    </row>
    <row r="8" spans="1:17">
      <c r="C8" s="26" t="s">
        <v>2465</v>
      </c>
      <c r="D8" s="221"/>
      <c r="E8" s="3185"/>
      <c r="F8" s="3185"/>
      <c r="G8" s="159"/>
    </row>
    <row r="9" spans="1:17">
      <c r="C9" s="26" t="s">
        <v>2466</v>
      </c>
      <c r="D9" s="221"/>
      <c r="E9" s="3185"/>
      <c r="F9" s="3185"/>
      <c r="G9" s="159"/>
    </row>
    <row r="10" spans="1:17">
      <c r="C10" s="26" t="s">
        <v>2479</v>
      </c>
      <c r="D10" s="226">
        <f>D7+D8+D9</f>
        <v>0</v>
      </c>
      <c r="E10" s="3185"/>
      <c r="F10" s="3185"/>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2" t="s">
        <v>1717</v>
      </c>
      <c r="B24" s="3182"/>
      <c r="C24" s="3182"/>
      <c r="D24" s="3182"/>
      <c r="E24" s="3182"/>
      <c r="F24" s="3182"/>
      <c r="J24" s="229"/>
    </row>
    <row r="25" spans="1:10">
      <c r="C25" s="191"/>
      <c r="J25" s="229"/>
    </row>
    <row r="26" spans="1:10">
      <c r="A26" s="104"/>
      <c r="B26" s="80"/>
      <c r="C26" s="3186" t="s">
        <v>2254</v>
      </c>
      <c r="D26" s="224"/>
      <c r="E26" s="80"/>
      <c r="F26" s="3186" t="s">
        <v>2254</v>
      </c>
      <c r="J26" s="229"/>
    </row>
    <row r="27" spans="1:10">
      <c r="A27" s="230" t="s">
        <v>2480</v>
      </c>
      <c r="B27" s="71" t="s">
        <v>1026</v>
      </c>
      <c r="C27" s="3187"/>
      <c r="D27" s="231" t="s">
        <v>2480</v>
      </c>
      <c r="E27" s="71" t="s">
        <v>1026</v>
      </c>
      <c r="F27" s="3187"/>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79" t="e">
        <f>CONCATENATE(#REF!," ",#REF!,", ",#REF!,", ",#REF!," County")</f>
        <v>#REF!</v>
      </c>
      <c r="B50" s="3179"/>
      <c r="C50" s="3179"/>
      <c r="D50" s="3179"/>
      <c r="E50" s="3179"/>
      <c r="F50" s="3179"/>
      <c r="G50" s="215"/>
      <c r="H50" s="215"/>
    </row>
    <row r="51" spans="1:10" ht="13.8">
      <c r="A51" s="3180" t="s">
        <v>2471</v>
      </c>
      <c r="B51" s="3180"/>
      <c r="C51" s="3180"/>
      <c r="D51" s="3180"/>
      <c r="E51" s="3180"/>
      <c r="F51" s="3180"/>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4" zoomScaleNormal="100" workbookViewId="0">
      <selection activeCell="A154"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327" t="str">
        <f>CONCATENATE("PART FOUR -  USES OF FUNDS","  -  ",'Part I-Project Information'!$O$6," ",'Part I-Project Information'!$F$34,", ",'Part I-Project Information'!F38,", ",'Part I-Project Information'!J39," County")</f>
        <v>PART FOUR -  USES OF FUNDS  -  2019-042 Brennan Place, Columbus, Muscogee County</v>
      </c>
      <c r="B1" s="3328"/>
      <c r="C1" s="3328"/>
      <c r="D1" s="3328"/>
      <c r="E1" s="3328"/>
      <c r="F1" s="3328"/>
      <c r="G1" s="3328"/>
      <c r="H1" s="3328"/>
      <c r="I1" s="3328"/>
      <c r="J1" s="3328"/>
      <c r="K1" s="3328"/>
      <c r="L1" s="3328"/>
      <c r="M1" s="3328"/>
      <c r="N1" s="3328"/>
      <c r="O1" s="3328"/>
      <c r="P1" s="3328"/>
      <c r="Q1" s="3328"/>
      <c r="R1" s="3328"/>
      <c r="S1" s="3328"/>
      <c r="T1" s="3328"/>
      <c r="W1" s="3329" t="str">
        <f>A1</f>
        <v>PART FOUR -  USES OF FUNDS  -  2019-042 Brennan Place, Columbus, Muscogee County</v>
      </c>
      <c r="X1" s="3329"/>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4" t="str">
        <f>'Part I-Project Information'!$B$6</f>
        <v>April 2019 Final</v>
      </c>
      <c r="E5" s="3194"/>
      <c r="F5" s="3194"/>
      <c r="G5" s="3194"/>
      <c r="H5" s="3194"/>
      <c r="I5" s="483"/>
      <c r="J5" s="3262" t="s">
        <v>271</v>
      </c>
      <c r="K5" s="3263"/>
      <c r="L5" s="345"/>
      <c r="M5" s="3293" t="s">
        <v>489</v>
      </c>
      <c r="N5" s="3294"/>
      <c r="P5" s="3262" t="s">
        <v>272</v>
      </c>
      <c r="Q5" s="3263"/>
      <c r="S5" s="3262" t="s">
        <v>273</v>
      </c>
      <c r="T5" s="3263"/>
      <c r="V5" s="423" t="str">
        <f>B5</f>
        <v>DEVELOPMENT BUDGET</v>
      </c>
    </row>
    <row r="6" spans="1:24" s="294" customFormat="1" ht="19.5" customHeight="1" thickBot="1">
      <c r="D6" s="2172"/>
      <c r="E6" s="2172"/>
      <c r="F6" s="2172"/>
      <c r="G6" s="3297" t="s">
        <v>101</v>
      </c>
      <c r="H6" s="3298"/>
      <c r="J6" s="3264"/>
      <c r="K6" s="3265"/>
      <c r="L6" s="345"/>
      <c r="M6" s="3295"/>
      <c r="N6" s="3296"/>
      <c r="P6" s="3264"/>
      <c r="Q6" s="3265"/>
      <c r="S6" s="3264"/>
      <c r="T6" s="3265"/>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34">
        <v>5000</v>
      </c>
      <c r="H8" s="3135"/>
      <c r="J8" s="3134">
        <v>5000</v>
      </c>
      <c r="K8" s="3135"/>
      <c r="L8" s="2283"/>
      <c r="M8" s="3134"/>
      <c r="N8" s="3135"/>
      <c r="P8" s="3134"/>
      <c r="Q8" s="3135"/>
      <c r="S8" s="3134"/>
      <c r="T8" s="3135"/>
      <c r="V8" s="2560"/>
      <c r="W8" s="3188"/>
      <c r="X8" s="3189"/>
    </row>
    <row r="9" spans="1:24" s="294" customFormat="1" ht="12.6" customHeight="1">
      <c r="B9" s="294" t="s">
        <v>457</v>
      </c>
      <c r="G9" s="3118">
        <v>8000</v>
      </c>
      <c r="H9" s="3119"/>
      <c r="J9" s="3118">
        <v>8000</v>
      </c>
      <c r="K9" s="3119"/>
      <c r="L9" s="2283"/>
      <c r="M9" s="3118"/>
      <c r="N9" s="3119"/>
      <c r="P9" s="3118"/>
      <c r="Q9" s="3119"/>
      <c r="S9" s="3118"/>
      <c r="T9" s="3119"/>
      <c r="V9" s="2560"/>
      <c r="W9" s="3188"/>
      <c r="X9" s="3189"/>
    </row>
    <row r="10" spans="1:24" s="294" customFormat="1" ht="12.6" customHeight="1">
      <c r="B10" s="294" t="s">
        <v>486</v>
      </c>
      <c r="G10" s="3118">
        <v>6500</v>
      </c>
      <c r="H10" s="3119"/>
      <c r="J10" s="3118">
        <v>6500</v>
      </c>
      <c r="K10" s="3119"/>
      <c r="L10" s="2283"/>
      <c r="M10" s="3118"/>
      <c r="N10" s="3119"/>
      <c r="P10" s="3118"/>
      <c r="Q10" s="3119"/>
      <c r="S10" s="3118"/>
      <c r="T10" s="3119"/>
      <c r="V10" s="2560"/>
      <c r="W10" s="3188"/>
      <c r="X10" s="3189"/>
    </row>
    <row r="11" spans="1:24" s="294" customFormat="1" ht="12.6" customHeight="1">
      <c r="B11" s="294" t="s">
        <v>487</v>
      </c>
      <c r="G11" s="3118">
        <v>10000</v>
      </c>
      <c r="H11" s="3119"/>
      <c r="J11" s="3118">
        <v>10000</v>
      </c>
      <c r="K11" s="3119"/>
      <c r="L11" s="2283"/>
      <c r="M11" s="3118"/>
      <c r="N11" s="3119"/>
      <c r="P11" s="3118"/>
      <c r="Q11" s="3119"/>
      <c r="S11" s="3118"/>
      <c r="T11" s="3119"/>
      <c r="V11" s="2560"/>
      <c r="W11" s="3188"/>
      <c r="X11" s="3189"/>
    </row>
    <row r="12" spans="1:24" s="294" customFormat="1" ht="12.6" customHeight="1">
      <c r="B12" s="294" t="s">
        <v>2500</v>
      </c>
      <c r="G12" s="3118">
        <v>12500</v>
      </c>
      <c r="H12" s="3119"/>
      <c r="J12" s="3118">
        <v>12500</v>
      </c>
      <c r="K12" s="3119"/>
      <c r="L12" s="2283"/>
      <c r="M12" s="3118"/>
      <c r="N12" s="3119"/>
      <c r="P12" s="3118"/>
      <c r="Q12" s="3119"/>
      <c r="S12" s="3118"/>
      <c r="T12" s="3119"/>
      <c r="V12" s="2560"/>
      <c r="W12" s="3188"/>
      <c r="X12" s="3189"/>
    </row>
    <row r="13" spans="1:24" s="294" customFormat="1" ht="12.6" customHeight="1">
      <c r="B13" s="294" t="s">
        <v>190</v>
      </c>
      <c r="G13" s="3118"/>
      <c r="H13" s="3119"/>
      <c r="J13" s="3118"/>
      <c r="K13" s="3119"/>
      <c r="L13" s="2283"/>
      <c r="M13" s="3118"/>
      <c r="N13" s="3119"/>
      <c r="P13" s="3118"/>
      <c r="Q13" s="3119"/>
      <c r="S13" s="3118"/>
      <c r="T13" s="3119"/>
      <c r="V13" s="2560"/>
      <c r="W13" s="3188"/>
      <c r="X13" s="3189"/>
    </row>
    <row r="14" spans="1:24" s="294" customFormat="1" ht="12.6" customHeight="1">
      <c r="A14" s="372" t="str">
        <f>IF(AND(G14&gt;0,OR(C14="",C14="&lt;Enter detailed description here; use Comments section if needed&gt;")),"X","")</f>
        <v/>
      </c>
      <c r="B14" s="294" t="s">
        <v>741</v>
      </c>
      <c r="C14" s="3274" t="s">
        <v>3709</v>
      </c>
      <c r="D14" s="3274"/>
      <c r="E14" s="3274"/>
      <c r="F14" s="3275"/>
      <c r="G14" s="3118"/>
      <c r="H14" s="3119"/>
      <c r="J14" s="3118"/>
      <c r="K14" s="3119"/>
      <c r="L14" s="2283"/>
      <c r="M14" s="3118"/>
      <c r="N14" s="3119"/>
      <c r="P14" s="3118"/>
      <c r="Q14" s="3119"/>
      <c r="S14" s="3118"/>
      <c r="T14" s="3119"/>
      <c r="U14" s="371" t="str">
        <f>IF(AND(G14&gt;0,OR(C14="",C14="&lt;Enter detailed description here; use Comments section if needed&gt;")),"NO DESCRIPTION PROVIDED - please enter detailed description in Other box at left; use Comments section below if needed.","")</f>
        <v/>
      </c>
      <c r="V14" s="2561"/>
      <c r="W14" s="3188"/>
      <c r="X14" s="3189"/>
    </row>
    <row r="15" spans="1:24" s="294" customFormat="1" ht="12.6" customHeight="1">
      <c r="A15" s="372" t="str">
        <f>IF(AND(G15&gt;0,OR(C15="",C15="&lt;Enter detailed description here; use Comments section if needed&gt;")),"X","")</f>
        <v/>
      </c>
      <c r="B15" s="294" t="s">
        <v>741</v>
      </c>
      <c r="C15" s="3274" t="s">
        <v>3709</v>
      </c>
      <c r="D15" s="3274"/>
      <c r="E15" s="3274"/>
      <c r="F15" s="3275"/>
      <c r="G15" s="3118"/>
      <c r="H15" s="3119"/>
      <c r="J15" s="3118"/>
      <c r="K15" s="3119"/>
      <c r="L15" s="2283"/>
      <c r="M15" s="3118"/>
      <c r="N15" s="3119"/>
      <c r="P15" s="3118"/>
      <c r="Q15" s="3119"/>
      <c r="S15" s="3118"/>
      <c r="T15" s="3119"/>
      <c r="U15" s="371" t="str">
        <f>IF(AND(G15&gt;0,OR(C15="",C15="&lt;Enter detailed description here; use Comments section if needed&gt;")),"NO DESCRIPTION PROVIDED - please enter detailed description in Other box at left; use Comments section below if needed.","")</f>
        <v/>
      </c>
      <c r="V15" s="2561"/>
      <c r="W15" s="3188"/>
      <c r="X15" s="3189"/>
    </row>
    <row r="16" spans="1:24" s="294" customFormat="1" ht="12.6" customHeight="1" thickBot="1">
      <c r="A16" s="372" t="str">
        <f>IF(AND(G16&gt;0,OR(C16="",C16="&lt;Enter detailed description here; use Comments section if needed&gt;")),"X","")</f>
        <v/>
      </c>
      <c r="B16" s="294" t="s">
        <v>741</v>
      </c>
      <c r="C16" s="3274" t="s">
        <v>3709</v>
      </c>
      <c r="D16" s="3274"/>
      <c r="E16" s="3274"/>
      <c r="F16" s="3275"/>
      <c r="G16" s="3283"/>
      <c r="H16" s="3284"/>
      <c r="J16" s="3283"/>
      <c r="K16" s="3284"/>
      <c r="L16" s="2283"/>
      <c r="M16" s="3283"/>
      <c r="N16" s="3284"/>
      <c r="P16" s="3283"/>
      <c r="Q16" s="3284"/>
      <c r="S16" s="3283"/>
      <c r="T16" s="3284"/>
      <c r="U16" s="371" t="str">
        <f>IF(AND(G16&gt;0,OR(C16="",C16="&lt;Enter detailed description here; use Comments section if needed&gt;")),"NO DESCRIPTION PROVIDED - please enter detailed description in Other box at left; use Comments section below if needed.","")</f>
        <v/>
      </c>
      <c r="V16" s="2561"/>
      <c r="W16" s="3190"/>
      <c r="X16" s="3191"/>
    </row>
    <row r="17" spans="2:24" s="294" customFormat="1" ht="12.6" customHeight="1" thickTop="1">
      <c r="F17" s="346" t="s">
        <v>191</v>
      </c>
      <c r="G17" s="3276">
        <f>SUM(G8:H16)</f>
        <v>42000</v>
      </c>
      <c r="H17" s="3277"/>
      <c r="J17" s="3276">
        <f>SUM(J8:K16)</f>
        <v>42000</v>
      </c>
      <c r="K17" s="3326"/>
      <c r="L17" s="2283"/>
      <c r="M17" s="3276">
        <f>SUM(M8:N16)</f>
        <v>0</v>
      </c>
      <c r="N17" s="3277"/>
      <c r="P17" s="3276">
        <f>SUM(P8:Q16)</f>
        <v>0</v>
      </c>
      <c r="Q17" s="3277"/>
      <c r="S17" s="3276">
        <f>SUM(S8:T16)</f>
        <v>0</v>
      </c>
      <c r="T17" s="3277"/>
      <c r="V17" s="2562">
        <f>SUM(V8:V16)</f>
        <v>0</v>
      </c>
      <c r="W17" s="3206"/>
      <c r="X17" s="3207"/>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3724</v>
      </c>
      <c r="F19" s="460">
        <f>IF('Part I-Project Information'!$O$37="","",G19/'Part I-Project Information'!$O$37)</f>
        <v>134615.38461538462</v>
      </c>
      <c r="G19" s="3134">
        <v>700000</v>
      </c>
      <c r="H19" s="3135"/>
      <c r="J19" s="348"/>
      <c r="K19" s="345"/>
      <c r="L19" s="348"/>
      <c r="M19" s="348"/>
      <c r="N19" s="345"/>
      <c r="P19" s="348"/>
      <c r="Q19" s="345"/>
      <c r="S19" s="3134">
        <v>700000</v>
      </c>
      <c r="T19" s="3135"/>
      <c r="V19" s="2560"/>
      <c r="W19" s="3188"/>
      <c r="X19" s="3189"/>
    </row>
    <row r="20" spans="2:24" s="294" customFormat="1" ht="12.6" customHeight="1">
      <c r="B20" s="294" t="s">
        <v>1119</v>
      </c>
      <c r="G20" s="3118"/>
      <c r="H20" s="3119"/>
      <c r="J20" s="348"/>
      <c r="K20" s="345"/>
      <c r="L20" s="348"/>
      <c r="M20" s="348"/>
      <c r="N20" s="345"/>
      <c r="P20" s="348"/>
      <c r="Q20" s="345"/>
      <c r="S20" s="3118"/>
      <c r="T20" s="3119"/>
      <c r="V20" s="2560"/>
      <c r="W20" s="3188"/>
      <c r="X20" s="3189"/>
    </row>
    <row r="21" spans="2:24" s="294" customFormat="1" ht="12.6" customHeight="1">
      <c r="B21" s="294" t="s">
        <v>458</v>
      </c>
      <c r="G21" s="3118"/>
      <c r="H21" s="3119"/>
      <c r="J21" s="348"/>
      <c r="K21" s="345"/>
      <c r="L21" s="348"/>
      <c r="M21" s="3134"/>
      <c r="N21" s="3135"/>
      <c r="P21" s="348"/>
      <c r="Q21" s="345"/>
      <c r="S21" s="3118"/>
      <c r="T21" s="3119"/>
      <c r="V21" s="2560"/>
      <c r="W21" s="3188"/>
      <c r="X21" s="3189"/>
    </row>
    <row r="22" spans="2:24" s="294" customFormat="1" ht="12.6" customHeight="1" thickBot="1">
      <c r="B22" s="294" t="s">
        <v>430</v>
      </c>
      <c r="G22" s="3283"/>
      <c r="H22" s="3284"/>
      <c r="J22" s="348"/>
      <c r="K22" s="345"/>
      <c r="L22" s="348"/>
      <c r="M22" s="3283"/>
      <c r="N22" s="3284"/>
      <c r="P22" s="348"/>
      <c r="Q22" s="345"/>
      <c r="S22" s="3283"/>
      <c r="T22" s="3284"/>
      <c r="V22" s="2560"/>
      <c r="W22" s="3190"/>
      <c r="X22" s="3191"/>
    </row>
    <row r="23" spans="2:24" s="294" customFormat="1" ht="12.6" customHeight="1" thickTop="1">
      <c r="F23" s="346" t="s">
        <v>191</v>
      </c>
      <c r="G23" s="3276">
        <f>SUM(G19:H22)</f>
        <v>700000</v>
      </c>
      <c r="H23" s="3277"/>
      <c r="J23" s="348"/>
      <c r="K23" s="345"/>
      <c r="L23" s="348"/>
      <c r="M23" s="3276">
        <f>SUM(M21:N22)</f>
        <v>0</v>
      </c>
      <c r="N23" s="3277"/>
      <c r="P23" s="348"/>
      <c r="Q23" s="345"/>
      <c r="S23" s="3276">
        <f>SUM(S19:T22)</f>
        <v>700000</v>
      </c>
      <c r="T23" s="3277"/>
      <c r="V23" s="2562">
        <f>SUM(V19:V22)</f>
        <v>0</v>
      </c>
      <c r="W23" s="3206"/>
      <c r="X23" s="3207"/>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3724</v>
      </c>
      <c r="F25" s="460">
        <f>IF('Part I-Project Information'!$O$37="","",G25/'Part I-Project Information'!$O$37)</f>
        <v>268449.03846153844</v>
      </c>
      <c r="G25" s="3134">
        <v>1395935</v>
      </c>
      <c r="H25" s="3135"/>
      <c r="J25" s="3134">
        <v>1326138</v>
      </c>
      <c r="K25" s="3135"/>
      <c r="L25" s="2283"/>
      <c r="M25" s="3324"/>
      <c r="N25" s="3325"/>
      <c r="P25" s="3324"/>
      <c r="Q25" s="3325"/>
      <c r="S25" s="3134">
        <v>69797</v>
      </c>
      <c r="T25" s="3135"/>
      <c r="V25" s="2560"/>
      <c r="W25" s="3188"/>
      <c r="X25" s="3189"/>
    </row>
    <row r="26" spans="2:24" s="294" customFormat="1" ht="12.6" customHeight="1" thickBot="1">
      <c r="B26" s="294" t="s">
        <v>1122</v>
      </c>
      <c r="G26" s="3283"/>
      <c r="H26" s="3284"/>
      <c r="J26" s="3283"/>
      <c r="K26" s="3284"/>
      <c r="L26" s="349"/>
      <c r="M26" s="3323"/>
      <c r="N26" s="3323"/>
      <c r="P26" s="3323"/>
      <c r="Q26" s="3323"/>
      <c r="S26" s="3283"/>
      <c r="T26" s="3284"/>
      <c r="V26" s="2560"/>
      <c r="W26" s="3190"/>
      <c r="X26" s="3191"/>
    </row>
    <row r="27" spans="2:24" s="294" customFormat="1" ht="12.6" customHeight="1" thickTop="1">
      <c r="F27" s="346" t="s">
        <v>191</v>
      </c>
      <c r="G27" s="3276">
        <f>SUM(G25:H26)</f>
        <v>1395935</v>
      </c>
      <c r="H27" s="3277"/>
      <c r="J27" s="3276">
        <f>SUM(J25:K26)</f>
        <v>1326138</v>
      </c>
      <c r="K27" s="3277"/>
      <c r="L27" s="348"/>
      <c r="M27" s="3276">
        <f>M25</f>
        <v>0</v>
      </c>
      <c r="N27" s="3277"/>
      <c r="P27" s="3276">
        <f>P25</f>
        <v>0</v>
      </c>
      <c r="Q27" s="3277"/>
      <c r="S27" s="3276">
        <f>SUM(S25:T26)</f>
        <v>69797</v>
      </c>
      <c r="T27" s="3277"/>
      <c r="V27" s="2562">
        <f>SUM(V25:V26)</f>
        <v>0</v>
      </c>
      <c r="W27" s="3206"/>
      <c r="X27" s="3207"/>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34">
        <v>6700000</v>
      </c>
      <c r="H29" s="3135"/>
      <c r="J29" s="3134">
        <v>6700000</v>
      </c>
      <c r="K29" s="3135"/>
      <c r="L29" s="2283"/>
      <c r="M29" s="3134"/>
      <c r="N29" s="3135"/>
      <c r="P29" s="3134"/>
      <c r="Q29" s="3135"/>
      <c r="S29" s="3134"/>
      <c r="T29" s="3135"/>
      <c r="V29" s="2560"/>
      <c r="W29" s="3188"/>
      <c r="X29" s="3189"/>
    </row>
    <row r="30" spans="2:24" s="294" customFormat="1" ht="12.6" customHeight="1">
      <c r="B30" s="294" t="s">
        <v>1125</v>
      </c>
      <c r="G30" s="3118"/>
      <c r="H30" s="3119"/>
      <c r="J30" s="3118"/>
      <c r="K30" s="3119"/>
      <c r="L30" s="2283"/>
      <c r="M30" s="3118"/>
      <c r="N30" s="3119"/>
      <c r="P30" s="3118"/>
      <c r="Q30" s="3119"/>
      <c r="S30" s="3118"/>
      <c r="T30" s="3119"/>
      <c r="V30" s="2560"/>
      <c r="W30" s="3188"/>
      <c r="X30" s="3189"/>
    </row>
    <row r="31" spans="2:24" s="294" customFormat="1" ht="12.6" customHeight="1">
      <c r="B31" s="294" t="s">
        <v>2780</v>
      </c>
      <c r="G31" s="3118">
        <v>231706</v>
      </c>
      <c r="H31" s="3119"/>
      <c r="J31" s="3118">
        <v>231706</v>
      </c>
      <c r="K31" s="3119"/>
      <c r="L31" s="2283"/>
      <c r="M31" s="3118"/>
      <c r="N31" s="3119"/>
      <c r="P31" s="3118"/>
      <c r="Q31" s="3119"/>
      <c r="S31" s="3118"/>
      <c r="T31" s="3119"/>
      <c r="V31" s="2560"/>
      <c r="W31" s="3188"/>
      <c r="X31" s="3189"/>
    </row>
    <row r="32" spans="2:24" ht="12.6" customHeight="1" thickBot="1">
      <c r="B32" s="294" t="s">
        <v>2779</v>
      </c>
      <c r="G32" s="3283"/>
      <c r="H32" s="3284"/>
      <c r="I32" s="294"/>
      <c r="J32" s="3283"/>
      <c r="K32" s="3284"/>
      <c r="L32" s="2283"/>
      <c r="M32" s="3283"/>
      <c r="N32" s="3284"/>
      <c r="O32" s="294"/>
      <c r="P32" s="3283"/>
      <c r="Q32" s="3284"/>
      <c r="R32" s="294"/>
      <c r="S32" s="3283"/>
      <c r="T32" s="3284"/>
      <c r="V32" s="2560"/>
      <c r="W32" s="3190"/>
      <c r="X32" s="3191"/>
    </row>
    <row r="33" spans="1:24" s="294" customFormat="1" ht="12.6" customHeight="1" thickTop="1">
      <c r="C33" s="3322"/>
      <c r="D33" s="3322"/>
      <c r="E33" s="2287"/>
      <c r="F33" s="346" t="s">
        <v>191</v>
      </c>
      <c r="G33" s="3276">
        <f>SUM(G29:H32)</f>
        <v>6931706</v>
      </c>
      <c r="H33" s="3277"/>
      <c r="J33" s="3276">
        <f>SUM(J29:K32)</f>
        <v>6931706</v>
      </c>
      <c r="K33" s="3277"/>
      <c r="L33" s="2283"/>
      <c r="M33" s="3276">
        <f>SUM(M29:N32)</f>
        <v>0</v>
      </c>
      <c r="N33" s="3277"/>
      <c r="P33" s="3276">
        <f>SUM(P29:Q32)</f>
        <v>0</v>
      </c>
      <c r="Q33" s="3277"/>
      <c r="S33" s="3276">
        <f>SUM(S29:T32)</f>
        <v>0</v>
      </c>
      <c r="T33" s="3277"/>
      <c r="V33" s="2562">
        <f>SUM(V29:V32)</f>
        <v>0</v>
      </c>
      <c r="W33" s="3206"/>
      <c r="X33" s="3207"/>
    </row>
    <row r="34" spans="1:24" s="294" customFormat="1" ht="12" customHeight="1">
      <c r="B34" s="296" t="s">
        <v>2343</v>
      </c>
      <c r="D34" s="3321" t="s">
        <v>3728</v>
      </c>
      <c r="E34" s="3321"/>
      <c r="F34" s="975">
        <f>SUM(F35:F37)</f>
        <v>0.13999979105727542</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499658.45999999996</v>
      </c>
      <c r="F35" s="976">
        <f>IF(($G$27+$G$33)=0,0,G35/($G$27+$G$33))</f>
        <v>5.9999944762268213E-2</v>
      </c>
      <c r="G35" s="3134">
        <v>499658</v>
      </c>
      <c r="H35" s="3135"/>
      <c r="I35" s="312"/>
      <c r="J35" s="3134">
        <v>499658</v>
      </c>
      <c r="K35" s="3135"/>
      <c r="L35" s="2283"/>
      <c r="M35" s="3134"/>
      <c r="N35" s="3135"/>
      <c r="P35" s="3134"/>
      <c r="Q35" s="3135"/>
      <c r="S35" s="3134"/>
      <c r="T35" s="3135"/>
      <c r="V35" s="2560"/>
      <c r="W35" s="3188"/>
      <c r="X35" s="3189"/>
    </row>
    <row r="36" spans="1:24" s="294" customFormat="1" ht="12.6" customHeight="1">
      <c r="B36" s="294" t="s">
        <v>2736</v>
      </c>
      <c r="D36" s="978">
        <f>'DCA Underwriting Assumptions'!$R$74</f>
        <v>0.02</v>
      </c>
      <c r="E36" s="979">
        <f>D36*(G27+G33)</f>
        <v>166552.82</v>
      </c>
      <c r="F36" s="976">
        <f>IF(($G$27+$G$33)=0,0,G36/($G$27+$G$33))</f>
        <v>1.9999901532738982E-2</v>
      </c>
      <c r="G36" s="3118">
        <v>166552</v>
      </c>
      <c r="H36" s="3119"/>
      <c r="I36" s="312"/>
      <c r="J36" s="3118">
        <v>166552</v>
      </c>
      <c r="K36" s="3119"/>
      <c r="L36" s="2283"/>
      <c r="M36" s="3118"/>
      <c r="N36" s="3119"/>
      <c r="P36" s="3118"/>
      <c r="Q36" s="3119"/>
      <c r="S36" s="3118"/>
      <c r="T36" s="3119"/>
      <c r="V36" s="2560"/>
      <c r="W36" s="3188"/>
      <c r="X36" s="3189"/>
    </row>
    <row r="37" spans="1:24" s="294" customFormat="1" ht="12.6" customHeight="1" thickBot="1">
      <c r="B37" s="294" t="s">
        <v>2737</v>
      </c>
      <c r="D37" s="982">
        <f>'DCA Underwriting Assumptions'!$R$75</f>
        <v>0.06</v>
      </c>
      <c r="E37" s="983">
        <f>D37*(G27+G33)</f>
        <v>499658.45999999996</v>
      </c>
      <c r="F37" s="1225">
        <f>IF(($G$27+$G$33)=0,0,G37/($G$27+$G$33))</f>
        <v>5.9999944762268213E-2</v>
      </c>
      <c r="G37" s="3283">
        <v>499658</v>
      </c>
      <c r="H37" s="3284"/>
      <c r="I37" s="312"/>
      <c r="J37" s="3283">
        <v>499658</v>
      </c>
      <c r="K37" s="3284"/>
      <c r="L37" s="2283"/>
      <c r="M37" s="3283"/>
      <c r="N37" s="3284"/>
      <c r="P37" s="3283"/>
      <c r="Q37" s="3284"/>
      <c r="S37" s="3283"/>
      <c r="T37" s="3284"/>
      <c r="V37" s="2560"/>
      <c r="W37" s="3190"/>
      <c r="X37" s="3191"/>
    </row>
    <row r="38" spans="1:24" s="294" customFormat="1" ht="12.6" customHeight="1" thickTop="1">
      <c r="B38" s="172" t="s">
        <v>3729</v>
      </c>
      <c r="D38" s="980">
        <f>SUM(D35:D37)</f>
        <v>0.14000000000000001</v>
      </c>
      <c r="E38" s="981">
        <f>SUM(E35:E37)</f>
        <v>1165869.74</v>
      </c>
      <c r="F38" s="963" t="s">
        <v>191</v>
      </c>
      <c r="G38" s="3276">
        <f>SUM(G35:H37)</f>
        <v>1165868</v>
      </c>
      <c r="H38" s="3277"/>
      <c r="J38" s="3276">
        <f>SUM(J35:K37)</f>
        <v>1165868</v>
      </c>
      <c r="K38" s="3277"/>
      <c r="L38" s="348"/>
      <c r="M38" s="3276">
        <f>SUM(M35:N37)</f>
        <v>0</v>
      </c>
      <c r="N38" s="3277"/>
      <c r="P38" s="3276">
        <f>SUM(P35:Q37)</f>
        <v>0</v>
      </c>
      <c r="Q38" s="3277"/>
      <c r="S38" s="3276">
        <f>SUM(S35:T37)</f>
        <v>0</v>
      </c>
      <c r="T38" s="3277"/>
      <c r="V38" s="2562">
        <f>SUM(V35:V37)</f>
        <v>0</v>
      </c>
      <c r="W38" s="3206"/>
      <c r="X38" s="320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74" t="s">
        <v>3709</v>
      </c>
      <c r="D41" s="3319"/>
      <c r="E41" s="3319"/>
      <c r="F41" s="3320"/>
      <c r="G41" s="3301"/>
      <c r="H41" s="3302"/>
      <c r="I41" s="294"/>
      <c r="J41" s="3301"/>
      <c r="K41" s="3302"/>
      <c r="L41" s="2283"/>
      <c r="M41" s="3301"/>
      <c r="N41" s="3302"/>
      <c r="O41" s="294"/>
      <c r="P41" s="3301"/>
      <c r="Q41" s="3302"/>
      <c r="R41" s="294"/>
      <c r="S41" s="3301"/>
      <c r="T41" s="3302"/>
      <c r="V41" s="2560"/>
      <c r="W41" s="3307"/>
      <c r="X41" s="3308"/>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309"/>
      <c r="X42" s="3310"/>
    </row>
    <row r="43" spans="1:24" s="294" customFormat="1" ht="12.6" customHeight="1">
      <c r="B43" s="505" t="s">
        <v>2745</v>
      </c>
      <c r="C43" s="506"/>
      <c r="E43" s="3313" t="s">
        <v>2744</v>
      </c>
      <c r="F43" s="2285">
        <f>B44/'Part VI-Revenues &amp; Expenses'!$O$65</f>
        <v>131854.29166666666</v>
      </c>
      <c r="G43" s="2286" t="s">
        <v>2771</v>
      </c>
      <c r="H43" s="2269"/>
      <c r="I43" s="2269"/>
      <c r="J43" s="3315">
        <f>B44/'Part VI-Revenues &amp; Expenses'!$O$67</f>
        <v>131854.29166666666</v>
      </c>
      <c r="K43" s="3315"/>
      <c r="L43" s="2269"/>
      <c r="M43" s="3316" t="s">
        <v>1402</v>
      </c>
      <c r="N43" s="3316"/>
      <c r="O43" s="2269"/>
      <c r="P43" s="3315">
        <f>B44/'Part I-Project Information'!$P$75</f>
        <v>129.21964664888114</v>
      </c>
      <c r="Q43" s="3315"/>
      <c r="R43" s="2269"/>
      <c r="S43" s="3317" t="s">
        <v>2778</v>
      </c>
      <c r="T43" s="3318"/>
      <c r="V43" s="1076"/>
      <c r="W43" s="3309"/>
      <c r="X43" s="3310"/>
    </row>
    <row r="44" spans="1:24" s="294" customFormat="1" ht="12.6" customHeight="1">
      <c r="B44" s="3303">
        <f>G27+G33+G38+G41</f>
        <v>9493509</v>
      </c>
      <c r="C44" s="3304"/>
      <c r="E44" s="3314"/>
      <c r="F44" s="2284">
        <f>B44/'Part VI-Revenues &amp; Expenses'!$O$154</f>
        <v>133.20857888533422</v>
      </c>
      <c r="G44" s="504" t="s">
        <v>2772</v>
      </c>
      <c r="H44" s="2281"/>
      <c r="I44" s="2281"/>
      <c r="J44" s="3305">
        <f>B44/'Part VI-Revenues &amp; Expenses'!$O$156</f>
        <v>133.20857888533422</v>
      </c>
      <c r="K44" s="3305"/>
      <c r="L44" s="2281"/>
      <c r="M44" s="3306" t="s">
        <v>2777</v>
      </c>
      <c r="N44" s="3306"/>
      <c r="O44" s="2281"/>
      <c r="P44" s="2281"/>
      <c r="Q44" s="2281"/>
      <c r="R44" s="2281"/>
      <c r="S44" s="2281"/>
      <c r="T44" s="338"/>
      <c r="V44" s="1076"/>
      <c r="W44" s="3311"/>
      <c r="X44" s="3312"/>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4183</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4182</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474675.45</v>
      </c>
      <c r="F47" s="350">
        <f>G47/B44</f>
        <v>4.9999952599191724E-2</v>
      </c>
      <c r="G47" s="3301">
        <v>474675</v>
      </c>
      <c r="H47" s="3302"/>
      <c r="I47" s="294"/>
      <c r="J47" s="3301">
        <v>474675</v>
      </c>
      <c r="K47" s="3302"/>
      <c r="L47" s="2283"/>
      <c r="M47" s="3301"/>
      <c r="N47" s="3302"/>
      <c r="O47" s="294"/>
      <c r="P47" s="3301"/>
      <c r="Q47" s="3302"/>
      <c r="R47" s="294"/>
      <c r="S47" s="3301"/>
      <c r="T47" s="3302"/>
      <c r="V47" s="2560"/>
      <c r="W47" s="3188"/>
      <c r="X47" s="3189"/>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2844</v>
      </c>
      <c r="H49" s="2271"/>
      <c r="I49" s="2271"/>
      <c r="J49" s="3262" t="s">
        <v>271</v>
      </c>
      <c r="K49" s="3263"/>
      <c r="L49" s="345"/>
      <c r="M49" s="3293" t="s">
        <v>489</v>
      </c>
      <c r="N49" s="3294"/>
      <c r="P49" s="3262" t="s">
        <v>272</v>
      </c>
      <c r="Q49" s="3263"/>
      <c r="S49" s="3262" t="s">
        <v>273</v>
      </c>
      <c r="T49" s="3263"/>
      <c r="V49" s="1076"/>
      <c r="W49" s="423" t="str">
        <f>B49</f>
        <v>DEVELOPMENT BUDGET (cont'd)</v>
      </c>
    </row>
    <row r="50" spans="1:24" s="294" customFormat="1" ht="18.75" customHeight="1" thickBot="1">
      <c r="G50" s="3297" t="s">
        <v>101</v>
      </c>
      <c r="H50" s="3298"/>
      <c r="J50" s="3264"/>
      <c r="K50" s="3265"/>
      <c r="L50" s="345"/>
      <c r="M50" s="3295"/>
      <c r="N50" s="3296"/>
      <c r="P50" s="3264"/>
      <c r="Q50" s="3265"/>
      <c r="S50" s="3264"/>
      <c r="T50" s="3265"/>
      <c r="V50" s="1076"/>
      <c r="W50" s="3208" t="s">
        <v>2683</v>
      </c>
      <c r="X50" s="3208"/>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134"/>
      <c r="H52" s="3135"/>
      <c r="J52" s="3134"/>
      <c r="K52" s="3135"/>
      <c r="L52" s="2283"/>
      <c r="M52" s="3134"/>
      <c r="N52" s="3135"/>
      <c r="P52" s="3134"/>
      <c r="Q52" s="3135"/>
      <c r="S52" s="3134"/>
      <c r="T52" s="3135"/>
      <c r="V52" s="2563"/>
      <c r="W52" s="3188"/>
      <c r="X52" s="3189"/>
    </row>
    <row r="53" spans="1:24" s="294" customFormat="1" ht="12" customHeight="1">
      <c r="B53" s="294" t="s">
        <v>3731</v>
      </c>
      <c r="G53" s="3118"/>
      <c r="H53" s="3119"/>
      <c r="J53" s="3118"/>
      <c r="K53" s="3119"/>
      <c r="L53" s="2283"/>
      <c r="M53" s="3118"/>
      <c r="N53" s="3119"/>
      <c r="P53" s="3118"/>
      <c r="Q53" s="3119"/>
      <c r="S53" s="3118"/>
      <c r="T53" s="3119"/>
      <c r="V53" s="2563"/>
      <c r="W53" s="3188"/>
      <c r="X53" s="3189"/>
    </row>
    <row r="54" spans="1:24" s="294" customFormat="1" ht="12" customHeight="1">
      <c r="B54" s="294" t="s">
        <v>2346</v>
      </c>
      <c r="G54" s="3118">
        <v>98957</v>
      </c>
      <c r="H54" s="3119"/>
      <c r="J54" s="3118">
        <v>98957</v>
      </c>
      <c r="K54" s="3119"/>
      <c r="L54" s="2283"/>
      <c r="M54" s="3118"/>
      <c r="N54" s="3119"/>
      <c r="P54" s="3118"/>
      <c r="Q54" s="3119"/>
      <c r="S54" s="3118"/>
      <c r="T54" s="3119"/>
      <c r="V54" s="2563"/>
      <c r="W54" s="3188"/>
      <c r="X54" s="3189"/>
    </row>
    <row r="55" spans="1:24" s="294" customFormat="1" ht="12" customHeight="1">
      <c r="B55" s="294" t="s">
        <v>2347</v>
      </c>
      <c r="G55" s="3118">
        <v>466862</v>
      </c>
      <c r="H55" s="3119"/>
      <c r="J55" s="3118">
        <v>389512</v>
      </c>
      <c r="K55" s="3119"/>
      <c r="L55" s="2283"/>
      <c r="M55" s="3118"/>
      <c r="N55" s="3119"/>
      <c r="P55" s="3118"/>
      <c r="Q55" s="3119"/>
      <c r="S55" s="3118">
        <v>77350</v>
      </c>
      <c r="T55" s="3119"/>
      <c r="V55" s="2563"/>
      <c r="W55" s="3188"/>
      <c r="X55" s="3189"/>
    </row>
    <row r="56" spans="1:24" s="294" customFormat="1" ht="12" customHeight="1">
      <c r="B56" s="294" t="s">
        <v>2348</v>
      </c>
      <c r="G56" s="3118">
        <v>25000</v>
      </c>
      <c r="H56" s="3119"/>
      <c r="J56" s="3118">
        <v>25000</v>
      </c>
      <c r="K56" s="3119"/>
      <c r="L56" s="2283"/>
      <c r="M56" s="3118"/>
      <c r="N56" s="3119"/>
      <c r="P56" s="3118"/>
      <c r="Q56" s="3119"/>
      <c r="S56" s="3118"/>
      <c r="T56" s="3119"/>
      <c r="V56" s="2563"/>
      <c r="W56" s="3188"/>
      <c r="X56" s="3189"/>
    </row>
    <row r="57" spans="1:24" s="294" customFormat="1" ht="12" customHeight="1">
      <c r="B57" s="294" t="s">
        <v>2687</v>
      </c>
      <c r="G57" s="3118"/>
      <c r="H57" s="3119"/>
      <c r="J57" s="3118"/>
      <c r="K57" s="3119"/>
      <c r="L57" s="2283"/>
      <c r="M57" s="3118"/>
      <c r="N57" s="3119"/>
      <c r="P57" s="3118"/>
      <c r="Q57" s="3119"/>
      <c r="S57" s="3118"/>
      <c r="T57" s="3119"/>
      <c r="V57" s="2563"/>
      <c r="W57" s="3188"/>
      <c r="X57" s="3189"/>
    </row>
    <row r="58" spans="1:24" s="294" customFormat="1" ht="12" customHeight="1">
      <c r="B58" s="294" t="s">
        <v>723</v>
      </c>
      <c r="G58" s="3118">
        <v>10000</v>
      </c>
      <c r="H58" s="3119"/>
      <c r="J58" s="3118">
        <v>10000</v>
      </c>
      <c r="K58" s="3119"/>
      <c r="L58" s="2283"/>
      <c r="M58" s="3118"/>
      <c r="N58" s="3119"/>
      <c r="P58" s="3118"/>
      <c r="Q58" s="3119"/>
      <c r="S58" s="3118"/>
      <c r="T58" s="3119"/>
      <c r="V58" s="2563"/>
      <c r="W58" s="3188"/>
      <c r="X58" s="3189"/>
    </row>
    <row r="59" spans="1:24" s="294" customFormat="1" ht="12" customHeight="1">
      <c r="B59" s="294" t="s">
        <v>2349</v>
      </c>
      <c r="G59" s="3118">
        <v>25000</v>
      </c>
      <c r="H59" s="3119"/>
      <c r="J59" s="3118">
        <v>25000</v>
      </c>
      <c r="K59" s="3119"/>
      <c r="L59" s="2283"/>
      <c r="M59" s="3118"/>
      <c r="N59" s="3119"/>
      <c r="P59" s="3118"/>
      <c r="Q59" s="3119"/>
      <c r="S59" s="3118"/>
      <c r="T59" s="3119"/>
      <c r="V59" s="2563"/>
      <c r="W59" s="3188"/>
      <c r="X59" s="3189"/>
    </row>
    <row r="60" spans="1:24" s="294" customFormat="1" ht="12" customHeight="1">
      <c r="B60" s="294" t="s">
        <v>1276</v>
      </c>
      <c r="G60" s="3118">
        <v>30000</v>
      </c>
      <c r="H60" s="3119"/>
      <c r="J60" s="3118">
        <v>25000</v>
      </c>
      <c r="K60" s="3119"/>
      <c r="L60" s="2283"/>
      <c r="M60" s="3118"/>
      <c r="N60" s="3119"/>
      <c r="P60" s="3118"/>
      <c r="Q60" s="3119"/>
      <c r="S60" s="3118">
        <v>5000</v>
      </c>
      <c r="T60" s="3119"/>
      <c r="V60" s="2563"/>
      <c r="W60" s="3188"/>
      <c r="X60" s="3189"/>
    </row>
    <row r="61" spans="1:24" s="294" customFormat="1" ht="12" customHeight="1">
      <c r="B61" s="352" t="s">
        <v>1153</v>
      </c>
      <c r="D61" s="350"/>
      <c r="E61" s="350"/>
      <c r="F61" s="351"/>
      <c r="G61" s="3118"/>
      <c r="H61" s="3119"/>
      <c r="I61" s="312"/>
      <c r="J61" s="3118"/>
      <c r="K61" s="3119"/>
      <c r="L61" s="2283"/>
      <c r="M61" s="3118"/>
      <c r="N61" s="3119"/>
      <c r="P61" s="3118"/>
      <c r="Q61" s="3119"/>
      <c r="S61" s="3118"/>
      <c r="T61" s="3119"/>
      <c r="V61" s="2563"/>
      <c r="W61" s="3188"/>
      <c r="X61" s="3189"/>
    </row>
    <row r="62" spans="1:24" s="294" customFormat="1" ht="12" customHeight="1">
      <c r="A62" s="372" t="str">
        <f>IF(AND(G62&gt;0,OR(C62="",C62="&lt;Enter detailed description here; use Comments section if needed&gt;")),"X","")</f>
        <v/>
      </c>
      <c r="B62" s="294" t="s">
        <v>741</v>
      </c>
      <c r="C62" s="3289" t="s">
        <v>3709</v>
      </c>
      <c r="D62" s="3289"/>
      <c r="E62" s="3289"/>
      <c r="F62" s="3290"/>
      <c r="G62" s="3118"/>
      <c r="H62" s="3119"/>
      <c r="J62" s="3118"/>
      <c r="K62" s="3119"/>
      <c r="L62" s="2283"/>
      <c r="M62" s="3118"/>
      <c r="N62" s="3119"/>
      <c r="P62" s="3118"/>
      <c r="Q62" s="3119"/>
      <c r="S62" s="3118"/>
      <c r="T62" s="3119"/>
      <c r="U62" s="371" t="str">
        <f>IF(AND(G62&gt;0,OR(C62="",C62="&lt;Enter detailed description here; use Comments section if needed&gt;")),"NO DESCRIPTION PROVIDED - please enter detailed description in Other box at left; use Comments section below if needed.","")</f>
        <v/>
      </c>
      <c r="V62" s="2563"/>
      <c r="W62" s="3188"/>
      <c r="X62" s="3189"/>
    </row>
    <row r="63" spans="1:24" s="294" customFormat="1" ht="12" customHeight="1" thickBot="1">
      <c r="A63" s="372" t="str">
        <f>IF(AND(G63&gt;0,OR(C63="",C63="&lt;Enter detailed description here; use Comments section if needed&gt;")),"X","")</f>
        <v/>
      </c>
      <c r="B63" s="294" t="s">
        <v>741</v>
      </c>
      <c r="C63" s="3291" t="s">
        <v>3709</v>
      </c>
      <c r="D63" s="3291"/>
      <c r="E63" s="3291"/>
      <c r="F63" s="3292"/>
      <c r="G63" s="3122"/>
      <c r="H63" s="3123"/>
      <c r="J63" s="3122"/>
      <c r="K63" s="3123"/>
      <c r="L63" s="2283"/>
      <c r="M63" s="3122"/>
      <c r="N63" s="3123"/>
      <c r="P63" s="3122"/>
      <c r="Q63" s="3123"/>
      <c r="S63" s="3122"/>
      <c r="T63" s="3123"/>
      <c r="U63" s="371" t="str">
        <f>IF(AND(G63&gt;0,OR(C63="",C63="&lt;Enter detailed description here; use Comments section if needed&gt;")),"NO DESCRIPTION PROVIDED - please enter detailed description in Other box at left; use Comments section below if needed.","")</f>
        <v/>
      </c>
      <c r="V63" s="2563"/>
      <c r="W63" s="3190"/>
      <c r="X63" s="3191"/>
    </row>
    <row r="64" spans="1:24" s="294" customFormat="1" ht="12" customHeight="1" thickTop="1">
      <c r="F64" s="346" t="s">
        <v>191</v>
      </c>
      <c r="G64" s="3276">
        <f>SUM(G52:H63)</f>
        <v>655819</v>
      </c>
      <c r="H64" s="3277"/>
      <c r="J64" s="3276">
        <f>SUM(J52:K63)</f>
        <v>573469</v>
      </c>
      <c r="K64" s="3277"/>
      <c r="L64" s="348"/>
      <c r="M64" s="3276">
        <f>SUM(M52:N63)</f>
        <v>0</v>
      </c>
      <c r="N64" s="3277"/>
      <c r="P64" s="3276">
        <f>SUM(P52:Q63)</f>
        <v>0</v>
      </c>
      <c r="Q64" s="3277"/>
      <c r="S64" s="3276">
        <f>SUM(S52:T63)</f>
        <v>82350</v>
      </c>
      <c r="T64" s="3277"/>
      <c r="V64" s="2564">
        <f>SUM(V52:V63)</f>
        <v>0</v>
      </c>
      <c r="W64" s="3206"/>
      <c r="X64" s="3207"/>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34">
        <v>172800</v>
      </c>
      <c r="H66" s="3135"/>
      <c r="J66" s="3134">
        <v>172800</v>
      </c>
      <c r="K66" s="3135"/>
      <c r="L66" s="2283"/>
      <c r="M66" s="3134"/>
      <c r="N66" s="3135"/>
      <c r="P66" s="3134"/>
      <c r="Q66" s="3135"/>
      <c r="S66" s="3134"/>
      <c r="T66" s="3135"/>
      <c r="V66" s="2560"/>
      <c r="W66" s="3188"/>
      <c r="X66" s="3189"/>
    </row>
    <row r="67" spans="1:24" s="294" customFormat="1" ht="12" customHeight="1">
      <c r="B67" s="294" t="s">
        <v>478</v>
      </c>
      <c r="G67" s="3118">
        <v>43200</v>
      </c>
      <c r="H67" s="3119"/>
      <c r="J67" s="3118">
        <v>43200</v>
      </c>
      <c r="K67" s="3119"/>
      <c r="L67" s="2283"/>
      <c r="M67" s="3118"/>
      <c r="N67" s="3119"/>
      <c r="P67" s="3118"/>
      <c r="Q67" s="3119"/>
      <c r="S67" s="3118"/>
      <c r="T67" s="3119"/>
      <c r="V67" s="2560"/>
      <c r="W67" s="3188"/>
      <c r="X67" s="3189"/>
    </row>
    <row r="68" spans="1:24" s="294" customFormat="1" ht="12" customHeight="1">
      <c r="B68" s="294" t="s">
        <v>1127</v>
      </c>
      <c r="D68" s="306" t="s">
        <v>3843</v>
      </c>
      <c r="E68" s="1068">
        <f>'DCA Underwriting Assumptions'!R76</f>
        <v>20000</v>
      </c>
      <c r="F68" s="1069" t="str">
        <f>IF(G68&gt;E68,"CHECK!!!","")</f>
        <v/>
      </c>
      <c r="G68" s="3118">
        <v>20000</v>
      </c>
      <c r="H68" s="3119"/>
      <c r="J68" s="3118">
        <v>20000</v>
      </c>
      <c r="K68" s="3119"/>
      <c r="L68" s="2283"/>
      <c r="M68" s="3118"/>
      <c r="N68" s="3119"/>
      <c r="P68" s="3118"/>
      <c r="Q68" s="3119"/>
      <c r="S68" s="3118"/>
      <c r="T68" s="3119"/>
      <c r="V68" s="2560"/>
      <c r="W68" s="3188"/>
      <c r="X68" s="3189"/>
    </row>
    <row r="69" spans="1:24" s="294" customFormat="1" ht="12" customHeight="1">
      <c r="B69" s="294" t="s">
        <v>1128</v>
      </c>
      <c r="G69" s="3118">
        <v>20000</v>
      </c>
      <c r="H69" s="3119"/>
      <c r="J69" s="3118">
        <v>20000</v>
      </c>
      <c r="K69" s="3119"/>
      <c r="L69" s="2283"/>
      <c r="M69" s="3118"/>
      <c r="N69" s="3119"/>
      <c r="P69" s="3118"/>
      <c r="Q69" s="3119"/>
      <c r="S69" s="3118"/>
      <c r="T69" s="3119"/>
      <c r="V69" s="2560"/>
      <c r="W69" s="3188"/>
      <c r="X69" s="3189"/>
    </row>
    <row r="70" spans="1:24" s="294" customFormat="1" ht="12" customHeight="1">
      <c r="B70" s="294" t="s">
        <v>1129</v>
      </c>
      <c r="G70" s="3118">
        <v>25000</v>
      </c>
      <c r="H70" s="3119"/>
      <c r="J70" s="3118">
        <v>25000</v>
      </c>
      <c r="K70" s="3119"/>
      <c r="L70" s="2283"/>
      <c r="M70" s="3118"/>
      <c r="N70" s="3119"/>
      <c r="P70" s="3118"/>
      <c r="Q70" s="3119"/>
      <c r="S70" s="3118"/>
      <c r="T70" s="3119"/>
      <c r="V70" s="2560"/>
      <c r="W70" s="3188"/>
      <c r="X70" s="3189"/>
    </row>
    <row r="71" spans="1:24" s="294" customFormat="1" ht="12" customHeight="1">
      <c r="B71" s="294" t="s">
        <v>1130</v>
      </c>
      <c r="G71" s="3118">
        <v>25000</v>
      </c>
      <c r="H71" s="3119"/>
      <c r="J71" s="3118">
        <v>25000</v>
      </c>
      <c r="K71" s="3119"/>
      <c r="L71" s="2283"/>
      <c r="M71" s="3118"/>
      <c r="N71" s="3119"/>
      <c r="P71" s="3118"/>
      <c r="Q71" s="3119"/>
      <c r="S71" s="3118"/>
      <c r="T71" s="3119"/>
      <c r="V71" s="2560"/>
      <c r="W71" s="3188"/>
      <c r="X71" s="3189"/>
    </row>
    <row r="72" spans="1:24" s="294" customFormat="1" ht="12" customHeight="1">
      <c r="B72" s="294" t="s">
        <v>479</v>
      </c>
      <c r="G72" s="3118">
        <v>90000</v>
      </c>
      <c r="H72" s="3119"/>
      <c r="J72" s="3118">
        <v>90000</v>
      </c>
      <c r="K72" s="3119"/>
      <c r="L72" s="2283"/>
      <c r="M72" s="3118"/>
      <c r="N72" s="3119"/>
      <c r="P72" s="3118"/>
      <c r="Q72" s="3119"/>
      <c r="S72" s="3118"/>
      <c r="T72" s="3119"/>
      <c r="V72" s="2560"/>
      <c r="W72" s="3188"/>
      <c r="X72" s="3189"/>
    </row>
    <row r="73" spans="1:24" s="294" customFormat="1" ht="12" customHeight="1">
      <c r="B73" s="294" t="s">
        <v>480</v>
      </c>
      <c r="G73" s="3118">
        <v>20000</v>
      </c>
      <c r="H73" s="3119"/>
      <c r="J73" s="3118">
        <v>10000</v>
      </c>
      <c r="K73" s="3119"/>
      <c r="L73" s="2283"/>
      <c r="M73" s="3118"/>
      <c r="N73" s="3119"/>
      <c r="P73" s="3118"/>
      <c r="Q73" s="3119"/>
      <c r="S73" s="3118">
        <v>10000</v>
      </c>
      <c r="T73" s="3119"/>
      <c r="V73" s="2560"/>
      <c r="W73" s="3188"/>
      <c r="X73" s="3189"/>
    </row>
    <row r="74" spans="1:24" s="294" customFormat="1" ht="12" customHeight="1">
      <c r="B74" s="294" t="s">
        <v>2049</v>
      </c>
      <c r="G74" s="3118">
        <v>15000</v>
      </c>
      <c r="H74" s="3119"/>
      <c r="J74" s="3118">
        <v>15000</v>
      </c>
      <c r="K74" s="3119"/>
      <c r="L74" s="2283"/>
      <c r="M74" s="3118"/>
      <c r="N74" s="3119"/>
      <c r="P74" s="3118"/>
      <c r="Q74" s="3119"/>
      <c r="S74" s="3118"/>
      <c r="T74" s="3119"/>
      <c r="V74" s="2560"/>
      <c r="W74" s="3188"/>
      <c r="X74" s="3189"/>
    </row>
    <row r="75" spans="1:24" s="294" customFormat="1" ht="12" customHeight="1">
      <c r="B75" s="294" t="s">
        <v>1277</v>
      </c>
      <c r="G75" s="3118">
        <v>12500</v>
      </c>
      <c r="H75" s="3119"/>
      <c r="J75" s="3118">
        <v>12500</v>
      </c>
      <c r="K75" s="3119"/>
      <c r="L75" s="2283"/>
      <c r="M75" s="3118"/>
      <c r="N75" s="3119"/>
      <c r="P75" s="3118"/>
      <c r="Q75" s="3119"/>
      <c r="S75" s="3118"/>
      <c r="T75" s="3119"/>
      <c r="V75" s="2560"/>
      <c r="W75" s="3188"/>
      <c r="X75" s="3189"/>
    </row>
    <row r="76" spans="1:24" s="294" customFormat="1" ht="12" customHeight="1" thickBot="1">
      <c r="A76" s="372" t="str">
        <f>IF(AND(G76&gt;0,OR(C76="",C76="&lt;Enter detailed description here; use Comments section if needed&gt;")),"X","")</f>
        <v/>
      </c>
      <c r="B76" s="294" t="s">
        <v>741</v>
      </c>
      <c r="C76" s="3274" t="s">
        <v>3709</v>
      </c>
      <c r="D76" s="3274"/>
      <c r="E76" s="3274"/>
      <c r="F76" s="3275"/>
      <c r="G76" s="3122"/>
      <c r="H76" s="3123"/>
      <c r="J76" s="3122"/>
      <c r="K76" s="3123"/>
      <c r="L76" s="2283"/>
      <c r="M76" s="3122"/>
      <c r="N76" s="3123"/>
      <c r="P76" s="3122"/>
      <c r="Q76" s="3123"/>
      <c r="S76" s="3122"/>
      <c r="T76" s="3123"/>
      <c r="U76" s="371" t="str">
        <f>IF(AND(G76&gt;0,OR(C76="",C76="&lt;Enter detailed description here; use Comments section if needed&gt;")),"NO DESCRIPTION PROVIDED - please enter detailed description in Other box at left; use Comments section below if needed.","")</f>
        <v/>
      </c>
      <c r="V76" s="2560"/>
      <c r="W76" s="3190"/>
      <c r="X76" s="3191"/>
    </row>
    <row r="77" spans="1:24" s="294" customFormat="1" ht="12" customHeight="1" thickTop="1">
      <c r="F77" s="346" t="s">
        <v>191</v>
      </c>
      <c r="G77" s="3276">
        <f>SUM(G66:H76)</f>
        <v>443500</v>
      </c>
      <c r="H77" s="3277"/>
      <c r="J77" s="3276">
        <f>SUM(J66:K76)</f>
        <v>433500</v>
      </c>
      <c r="K77" s="3277"/>
      <c r="L77" s="348"/>
      <c r="M77" s="3276">
        <f>SUM(M66:N76)</f>
        <v>0</v>
      </c>
      <c r="N77" s="3277"/>
      <c r="P77" s="3276">
        <f>SUM(P66:Q76)</f>
        <v>0</v>
      </c>
      <c r="Q77" s="3277"/>
      <c r="S77" s="3276">
        <f>SUM(S66:T76)</f>
        <v>10000</v>
      </c>
      <c r="T77" s="3277"/>
      <c r="V77" s="2562">
        <f>SUM(V66:V76)</f>
        <v>0</v>
      </c>
      <c r="W77" s="3206"/>
      <c r="X77" s="3207"/>
    </row>
    <row r="78" spans="1:24" ht="12" customHeight="1">
      <c r="A78" s="294"/>
      <c r="B78" s="296" t="s">
        <v>1269</v>
      </c>
      <c r="C78" s="294"/>
      <c r="D78" s="907" t="s">
        <v>3732</v>
      </c>
      <c r="E78" s="985">
        <f>G83/'Part VI-Revenues &amp; Expenses'!$O$67</f>
        <v>1284.7222222222222</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34">
        <v>42400</v>
      </c>
      <c r="H79" s="3135"/>
      <c r="J79" s="3134">
        <v>42400</v>
      </c>
      <c r="K79" s="3135"/>
      <c r="L79" s="2283"/>
      <c r="M79" s="3134"/>
      <c r="N79" s="3135"/>
      <c r="P79" s="3134"/>
      <c r="Q79" s="3135"/>
      <c r="S79" s="3134"/>
      <c r="T79" s="3135"/>
      <c r="V79" s="2560"/>
      <c r="W79" s="3188"/>
      <c r="X79" s="3189"/>
    </row>
    <row r="80" spans="1:24" s="294" customFormat="1" ht="12" customHeight="1">
      <c r="B80" s="294" t="s">
        <v>1271</v>
      </c>
      <c r="G80" s="3118"/>
      <c r="H80" s="3119"/>
      <c r="J80" s="3118"/>
      <c r="K80" s="3119"/>
      <c r="L80" s="2283"/>
      <c r="M80" s="3118"/>
      <c r="N80" s="3119"/>
      <c r="P80" s="3118"/>
      <c r="Q80" s="3119"/>
      <c r="S80" s="3118"/>
      <c r="T80" s="3119"/>
      <c r="V80" s="2560"/>
      <c r="W80" s="3188"/>
      <c r="X80" s="3189"/>
    </row>
    <row r="81" spans="1:24" s="294" customFormat="1" ht="12" customHeight="1">
      <c r="B81" s="294" t="s">
        <v>1272</v>
      </c>
      <c r="D81" s="354" t="s">
        <v>1403</v>
      </c>
      <c r="E81" s="2565" t="s">
        <v>2992</v>
      </c>
      <c r="G81" s="3118">
        <f>7500+22500</f>
        <v>30000</v>
      </c>
      <c r="H81" s="3119"/>
      <c r="I81" s="312"/>
      <c r="J81" s="3118">
        <v>30000</v>
      </c>
      <c r="K81" s="3119"/>
      <c r="L81" s="2283"/>
      <c r="M81" s="3118"/>
      <c r="N81" s="3119"/>
      <c r="P81" s="3118"/>
      <c r="Q81" s="3119"/>
      <c r="S81" s="3118"/>
      <c r="T81" s="3119"/>
      <c r="V81" s="2560"/>
      <c r="W81" s="3188"/>
      <c r="X81" s="3189"/>
    </row>
    <row r="82" spans="1:24" s="294" customFormat="1" ht="12" customHeight="1" thickBot="1">
      <c r="B82" s="294" t="s">
        <v>1273</v>
      </c>
      <c r="D82" s="354" t="s">
        <v>1403</v>
      </c>
      <c r="E82" s="2566" t="s">
        <v>2992</v>
      </c>
      <c r="G82" s="3122">
        <f>7500+500+1600+10500</f>
        <v>20100</v>
      </c>
      <c r="H82" s="3123"/>
      <c r="I82" s="312"/>
      <c r="J82" s="3122">
        <v>20100</v>
      </c>
      <c r="K82" s="3123"/>
      <c r="L82" s="2283"/>
      <c r="M82" s="3122"/>
      <c r="N82" s="3123"/>
      <c r="P82" s="3122"/>
      <c r="Q82" s="3123"/>
      <c r="S82" s="3122"/>
      <c r="T82" s="3123"/>
      <c r="V82" s="2560"/>
      <c r="W82" s="3190"/>
      <c r="X82" s="3191"/>
    </row>
    <row r="83" spans="1:24" s="294" customFormat="1" ht="12" customHeight="1" thickTop="1">
      <c r="F83" s="346" t="s">
        <v>191</v>
      </c>
      <c r="G83" s="3276">
        <f>SUM(G79:H82)</f>
        <v>92500</v>
      </c>
      <c r="H83" s="3277"/>
      <c r="J83" s="3276">
        <f>SUM(J79:K82)</f>
        <v>92500</v>
      </c>
      <c r="K83" s="3277"/>
      <c r="L83" s="348"/>
      <c r="M83" s="3276">
        <f>SUM(M79:N82)</f>
        <v>0</v>
      </c>
      <c r="N83" s="3277"/>
      <c r="P83" s="3276">
        <f>SUM(P79:Q82)</f>
        <v>0</v>
      </c>
      <c r="Q83" s="3277"/>
      <c r="S83" s="3276">
        <f>SUM(S79:T82)</f>
        <v>0</v>
      </c>
      <c r="T83" s="3277"/>
      <c r="V83" s="2562">
        <f>SUM(V79:V82)</f>
        <v>0</v>
      </c>
      <c r="W83" s="3206"/>
      <c r="X83" s="3207"/>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34">
        <v>17000</v>
      </c>
      <c r="H85" s="3135"/>
      <c r="J85" s="3288"/>
      <c r="K85" s="3288"/>
      <c r="L85" s="2283"/>
      <c r="M85" s="3288"/>
      <c r="N85" s="3288"/>
      <c r="P85" s="3288"/>
      <c r="Q85" s="3288"/>
      <c r="S85" s="3134">
        <v>17000</v>
      </c>
      <c r="T85" s="3135"/>
      <c r="V85" s="2560"/>
      <c r="W85" s="3188"/>
      <c r="X85" s="3189"/>
    </row>
    <row r="86" spans="1:24" s="294" customFormat="1" ht="12" customHeight="1">
      <c r="B86" s="294" t="s">
        <v>1275</v>
      </c>
      <c r="G86" s="3118">
        <v>15000</v>
      </c>
      <c r="H86" s="3119"/>
      <c r="J86" s="3288"/>
      <c r="K86" s="3288"/>
      <c r="L86" s="2283"/>
      <c r="M86" s="3288"/>
      <c r="N86" s="3288"/>
      <c r="P86" s="3288"/>
      <c r="Q86" s="3288"/>
      <c r="S86" s="3118">
        <v>15000</v>
      </c>
      <c r="T86" s="3119"/>
      <c r="V86" s="2560"/>
      <c r="W86" s="3188"/>
      <c r="X86" s="3189"/>
    </row>
    <row r="87" spans="1:24" s="294" customFormat="1" ht="12" customHeight="1">
      <c r="B87" s="294" t="s">
        <v>1276</v>
      </c>
      <c r="G87" s="3118">
        <v>10000</v>
      </c>
      <c r="H87" s="3119"/>
      <c r="J87" s="3288"/>
      <c r="K87" s="3288"/>
      <c r="L87" s="2283"/>
      <c r="M87" s="3288"/>
      <c r="N87" s="3288"/>
      <c r="P87" s="3288"/>
      <c r="Q87" s="3288"/>
      <c r="S87" s="3118">
        <v>10000</v>
      </c>
      <c r="T87" s="3119"/>
      <c r="V87" s="2560"/>
      <c r="W87" s="3188"/>
      <c r="X87" s="3189"/>
    </row>
    <row r="88" spans="1:24" s="294" customFormat="1" ht="12" customHeight="1">
      <c r="B88" s="294" t="s">
        <v>1278</v>
      </c>
      <c r="G88" s="3118"/>
      <c r="H88" s="3119"/>
      <c r="J88" s="3288"/>
      <c r="K88" s="3288"/>
      <c r="L88" s="2283"/>
      <c r="M88" s="3288"/>
      <c r="N88" s="3288"/>
      <c r="P88" s="3288"/>
      <c r="Q88" s="3288"/>
      <c r="S88" s="3118"/>
      <c r="T88" s="3119"/>
      <c r="V88" s="2560"/>
      <c r="W88" s="3188"/>
      <c r="X88" s="3189"/>
    </row>
    <row r="89" spans="1:24" s="294" customFormat="1" ht="12" customHeight="1">
      <c r="B89" s="294" t="s">
        <v>2298</v>
      </c>
      <c r="G89" s="3118"/>
      <c r="H89" s="3119"/>
      <c r="J89" s="3288"/>
      <c r="K89" s="3288"/>
      <c r="L89" s="2283"/>
      <c r="M89" s="3288"/>
      <c r="N89" s="3288"/>
      <c r="P89" s="3288"/>
      <c r="Q89" s="3288"/>
      <c r="S89" s="3118"/>
      <c r="T89" s="3119"/>
      <c r="V89" s="2560"/>
      <c r="W89" s="3188"/>
      <c r="X89" s="3189"/>
    </row>
    <row r="90" spans="1:24" s="294" customFormat="1" ht="12" customHeight="1" thickBot="1">
      <c r="A90" s="372" t="str">
        <f>IF(AND(G90&gt;0,OR(C90="",C90="&lt;Enter detailed description here; use Comments section if needed&gt;")),"X","")</f>
        <v/>
      </c>
      <c r="B90" s="294" t="s">
        <v>741</v>
      </c>
      <c r="C90" s="3274" t="s">
        <v>3709</v>
      </c>
      <c r="D90" s="3274"/>
      <c r="E90" s="3274"/>
      <c r="F90" s="3275"/>
      <c r="G90" s="3122"/>
      <c r="H90" s="3123"/>
      <c r="J90" s="3288"/>
      <c r="K90" s="3288"/>
      <c r="L90" s="2283"/>
      <c r="M90" s="3288"/>
      <c r="N90" s="3288"/>
      <c r="P90" s="3288"/>
      <c r="Q90" s="3288"/>
      <c r="S90" s="3122"/>
      <c r="T90" s="3123"/>
      <c r="U90" s="371" t="str">
        <f>IF(AND(G90&gt;0,OR(C90="",C90="&lt;Enter detailed description here; use Comments section if needed&gt;")),"NO DESCRIPTION PROVIDED - please enter detailed description in Other box at left; use Comments section below if needed.","")</f>
        <v/>
      </c>
      <c r="V90" s="2560"/>
      <c r="W90" s="3190"/>
      <c r="X90" s="3191"/>
    </row>
    <row r="91" spans="1:24" s="294" customFormat="1" ht="12" customHeight="1" thickTop="1">
      <c r="F91" s="346" t="s">
        <v>191</v>
      </c>
      <c r="G91" s="3276">
        <f>SUM(G85:H90)</f>
        <v>42000</v>
      </c>
      <c r="H91" s="3277"/>
      <c r="J91" s="3288"/>
      <c r="K91" s="3288"/>
      <c r="L91" s="348"/>
      <c r="M91" s="3288"/>
      <c r="N91" s="3288"/>
      <c r="P91" s="3288"/>
      <c r="Q91" s="3288"/>
      <c r="S91" s="3276">
        <f>SUM(S85:T90)</f>
        <v>42000</v>
      </c>
      <c r="T91" s="3277"/>
      <c r="V91" s="2562">
        <f>SUM(V85:V90)</f>
        <v>0</v>
      </c>
      <c r="W91" s="3206"/>
      <c r="X91" s="320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2843</v>
      </c>
      <c r="H93" s="2271"/>
      <c r="I93" s="2271"/>
      <c r="J93" s="3262" t="s">
        <v>271</v>
      </c>
      <c r="K93" s="3263"/>
      <c r="L93" s="345"/>
      <c r="M93" s="3293" t="s">
        <v>489</v>
      </c>
      <c r="N93" s="3294"/>
      <c r="P93" s="3262" t="s">
        <v>272</v>
      </c>
      <c r="Q93" s="3263"/>
      <c r="S93" s="3262" t="s">
        <v>273</v>
      </c>
      <c r="T93" s="3263"/>
      <c r="V93" s="423" t="str">
        <f>B93</f>
        <v>DEVELOPMENT BUDGET  (cont'd)</v>
      </c>
    </row>
    <row r="94" spans="1:24" s="294" customFormat="1" ht="18" customHeight="1" thickBot="1">
      <c r="G94" s="3297" t="s">
        <v>101</v>
      </c>
      <c r="H94" s="3298"/>
      <c r="J94" s="3264"/>
      <c r="K94" s="3265"/>
      <c r="L94" s="345"/>
      <c r="M94" s="3295"/>
      <c r="N94" s="3296"/>
      <c r="P94" s="3264"/>
      <c r="Q94" s="3265"/>
      <c r="S94" s="3264"/>
      <c r="T94" s="3265"/>
      <c r="V94" s="332" t="s">
        <v>2683</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4"/>
      <c r="H96" s="3135"/>
      <c r="J96" s="348"/>
      <c r="K96" s="348"/>
      <c r="L96" s="2283"/>
      <c r="M96" s="348"/>
      <c r="N96" s="348"/>
      <c r="P96" s="348"/>
      <c r="Q96" s="348"/>
      <c r="S96" s="3134"/>
      <c r="T96" s="3135"/>
      <c r="V96" s="2560"/>
      <c r="W96" s="3188"/>
      <c r="X96" s="3189"/>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18">
        <v>6500</v>
      </c>
      <c r="H97" s="3119"/>
      <c r="J97" s="348"/>
      <c r="K97" s="348"/>
      <c r="L97" s="355"/>
      <c r="M97" s="348"/>
      <c r="N97" s="348"/>
      <c r="P97" s="348"/>
      <c r="Q97" s="348"/>
      <c r="S97" s="3118">
        <v>6500</v>
      </c>
      <c r="T97" s="3119"/>
      <c r="V97" s="2560"/>
      <c r="W97" s="3188"/>
      <c r="X97" s="3189"/>
    </row>
    <row r="98" spans="1:24" s="294" customFormat="1" ht="12.6" customHeight="1">
      <c r="B98" s="294" t="s">
        <v>3944</v>
      </c>
      <c r="G98" s="3118">
        <v>1000</v>
      </c>
      <c r="H98" s="3119"/>
      <c r="J98" s="348"/>
      <c r="K98" s="348"/>
      <c r="L98" s="355"/>
      <c r="M98" s="348"/>
      <c r="N98" s="348"/>
      <c r="O98" s="2271"/>
      <c r="P98" s="348"/>
      <c r="Q98" s="348"/>
      <c r="S98" s="3118">
        <v>1000</v>
      </c>
      <c r="T98" s="3119"/>
      <c r="V98" s="2560"/>
      <c r="W98" s="3188"/>
      <c r="X98" s="3189"/>
    </row>
    <row r="99" spans="1:24" s="294" customFormat="1" ht="12.6" customHeight="1">
      <c r="B99" s="294" t="s">
        <v>519</v>
      </c>
      <c r="E99" s="3299">
        <f>'DCA Underwriting Assumptions'!$Q$88*J175</f>
        <v>80000</v>
      </c>
      <c r="F99" s="3300"/>
      <c r="G99" s="3118">
        <v>80000</v>
      </c>
      <c r="H99" s="3119"/>
      <c r="J99" s="986" t="str">
        <f>IF(E99&gt;G99,"WARNING!  LIHTC Allocation Fee proposed is below minimum required.","")</f>
        <v/>
      </c>
      <c r="K99" s="348"/>
      <c r="L99" s="2283"/>
      <c r="M99" s="348"/>
      <c r="N99" s="348"/>
      <c r="O99" s="2271"/>
      <c r="P99" s="348"/>
      <c r="Q99" s="348"/>
      <c r="S99" s="3118">
        <v>80000</v>
      </c>
      <c r="T99" s="3119"/>
      <c r="V99" s="2560"/>
      <c r="W99" s="3188"/>
      <c r="X99" s="3189"/>
    </row>
    <row r="100" spans="1:24" s="294" customFormat="1" ht="12.6" customHeight="1">
      <c r="B100" s="294" t="s">
        <v>753</v>
      </c>
      <c r="E100" s="329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57600</v>
      </c>
      <c r="F100" s="3300"/>
      <c r="G100" s="3118">
        <v>57600</v>
      </c>
      <c r="H100" s="3119"/>
      <c r="J100" s="986" t="str">
        <f>IF(E100&gt;G100,"WARNING!  LIHTC Compliance Fee proposed is below minimum required.","")</f>
        <v/>
      </c>
      <c r="K100" s="271"/>
      <c r="L100" s="271"/>
      <c r="M100" s="271"/>
      <c r="N100" s="271"/>
      <c r="O100" s="271"/>
      <c r="P100" s="271"/>
      <c r="Q100" s="271"/>
      <c r="S100" s="3118">
        <v>57600</v>
      </c>
      <c r="T100" s="3119"/>
      <c r="V100" s="2560"/>
      <c r="W100" s="3188"/>
      <c r="X100" s="3189"/>
    </row>
    <row r="101" spans="1:24" s="294" customFormat="1" ht="12.6" customHeight="1">
      <c r="B101" s="294" t="s">
        <v>4235</v>
      </c>
      <c r="F101" s="1245">
        <f>'DCA Underwriting Assumptions'!$Q$90</f>
        <v>3000</v>
      </c>
      <c r="G101" s="3118">
        <v>3000</v>
      </c>
      <c r="H101" s="3119"/>
      <c r="J101" s="271"/>
      <c r="K101" s="271"/>
      <c r="L101" s="271"/>
      <c r="M101" s="271"/>
      <c r="N101" s="271"/>
      <c r="O101" s="271"/>
      <c r="P101" s="271"/>
      <c r="Q101" s="271"/>
      <c r="S101" s="3118">
        <v>3000</v>
      </c>
      <c r="T101" s="3119"/>
      <c r="V101" s="2560"/>
      <c r="W101" s="3188"/>
      <c r="X101" s="3189"/>
    </row>
    <row r="102" spans="1:24" s="294" customFormat="1" ht="12.6" customHeight="1">
      <c r="B102" s="294" t="s">
        <v>4236</v>
      </c>
      <c r="F102" s="1245">
        <f>'DCA Underwriting Assumptions'!$Q$113</f>
        <v>3000</v>
      </c>
      <c r="G102" s="3118">
        <v>3000</v>
      </c>
      <c r="H102" s="3119"/>
      <c r="J102" s="271"/>
      <c r="K102" s="271"/>
      <c r="L102" s="271"/>
      <c r="M102" s="271"/>
      <c r="N102" s="271"/>
      <c r="O102" s="271"/>
      <c r="P102" s="271"/>
      <c r="Q102" s="271"/>
      <c r="S102" s="3118">
        <v>3000</v>
      </c>
      <c r="T102" s="3119"/>
      <c r="V102" s="2560"/>
      <c r="W102" s="3188"/>
      <c r="X102" s="3189"/>
    </row>
    <row r="103" spans="1:24" s="294" customFormat="1" ht="12.6" customHeight="1">
      <c r="A103" s="372" t="str">
        <f>IF(AND(G103&gt;0,OR(C103="",C103="&lt;Enter detailed description here; use Comments section if needed&gt;")),"X","")</f>
        <v/>
      </c>
      <c r="B103" s="294" t="s">
        <v>741</v>
      </c>
      <c r="C103" s="3289" t="s">
        <v>3709</v>
      </c>
      <c r="D103" s="3289"/>
      <c r="E103" s="3289"/>
      <c r="F103" s="3290"/>
      <c r="G103" s="3118"/>
      <c r="H103" s="3119"/>
      <c r="J103" s="271"/>
      <c r="K103" s="271"/>
      <c r="L103" s="271"/>
      <c r="M103" s="271"/>
      <c r="N103" s="271"/>
      <c r="O103" s="271"/>
      <c r="P103" s="271"/>
      <c r="Q103" s="271"/>
      <c r="S103" s="3118"/>
      <c r="T103" s="3119"/>
      <c r="U103" s="371" t="str">
        <f>IF(AND(G103&gt;0,OR(C103="",C103="&lt;Enter detailed description here; use Comments section if needed&gt;")),"NO DESCRIPTION PROVIDED - please enter detailed description in Other box at left; use Comments section below if needed.","")</f>
        <v/>
      </c>
      <c r="V103" s="2560"/>
      <c r="W103" s="3188"/>
      <c r="X103" s="3189"/>
    </row>
    <row r="104" spans="1:24" s="294" customFormat="1" ht="12.6" customHeight="1" thickBot="1">
      <c r="A104" s="372" t="str">
        <f>IF(AND(G104&gt;0,OR(C104="",C104="&lt;Enter detailed description here; use Comments section if needed&gt;")),"X","")</f>
        <v/>
      </c>
      <c r="B104" s="294" t="s">
        <v>741</v>
      </c>
      <c r="C104" s="3291" t="s">
        <v>3709</v>
      </c>
      <c r="D104" s="3291"/>
      <c r="E104" s="3291"/>
      <c r="F104" s="3292"/>
      <c r="G104" s="3122"/>
      <c r="H104" s="3123"/>
      <c r="J104" s="271"/>
      <c r="K104" s="271"/>
      <c r="L104" s="271"/>
      <c r="M104" s="271"/>
      <c r="N104" s="271"/>
      <c r="O104" s="271"/>
      <c r="P104" s="271"/>
      <c r="Q104" s="271"/>
      <c r="S104" s="3122"/>
      <c r="T104" s="3123"/>
      <c r="U104" s="371" t="str">
        <f>IF(AND(G104&gt;0,OR(C104="",C104="&lt;Enter detailed description here; use Comments section if needed&gt;")),"NO DESCRIPTION PROVIDED - please enter detailed description in Other box at left; use Comments section below if needed.","")</f>
        <v/>
      </c>
      <c r="V104" s="2560"/>
      <c r="W104" s="3190"/>
      <c r="X104" s="3191"/>
    </row>
    <row r="105" spans="1:24" s="294" customFormat="1" ht="12.6" customHeight="1" thickTop="1">
      <c r="F105" s="346" t="s">
        <v>191</v>
      </c>
      <c r="G105" s="3276">
        <f>SUM(G96:H104)</f>
        <v>151100</v>
      </c>
      <c r="H105" s="3277"/>
      <c r="J105" s="348"/>
      <c r="K105" s="348"/>
      <c r="L105" s="2283"/>
      <c r="M105" s="348"/>
      <c r="N105" s="348"/>
      <c r="P105" s="348"/>
      <c r="Q105" s="348"/>
      <c r="S105" s="3276">
        <f>SUM(S96:T104)</f>
        <v>151100</v>
      </c>
      <c r="T105" s="3277"/>
      <c r="V105" s="2562">
        <f>SUM(V96:V104)</f>
        <v>0</v>
      </c>
      <c r="W105" s="3192"/>
      <c r="X105" s="3193"/>
    </row>
    <row r="106" spans="1:24" s="294" customFormat="1" ht="13.2"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34">
        <v>2500</v>
      </c>
      <c r="H107" s="3135"/>
      <c r="J107" s="3288"/>
      <c r="K107" s="3288"/>
      <c r="L107" s="2283"/>
      <c r="M107" s="3288"/>
      <c r="N107" s="3288"/>
      <c r="O107" s="2271"/>
      <c r="P107" s="3288"/>
      <c r="Q107" s="3288"/>
      <c r="S107" s="3134">
        <v>2500</v>
      </c>
      <c r="T107" s="3135"/>
      <c r="V107" s="2560"/>
      <c r="W107" s="3188"/>
      <c r="X107" s="3189"/>
    </row>
    <row r="108" spans="1:24" s="294" customFormat="1" ht="12.6" customHeight="1">
      <c r="B108" s="294" t="s">
        <v>280</v>
      </c>
      <c r="G108" s="3118"/>
      <c r="H108" s="3119"/>
      <c r="J108" s="3288"/>
      <c r="K108" s="3288"/>
      <c r="L108" s="2283"/>
      <c r="M108" s="3288"/>
      <c r="N108" s="3288"/>
      <c r="O108" s="2271"/>
      <c r="P108" s="3288"/>
      <c r="Q108" s="3288"/>
      <c r="S108" s="3118"/>
      <c r="T108" s="3119"/>
      <c r="V108" s="2560"/>
      <c r="W108" s="3188"/>
      <c r="X108" s="3189"/>
    </row>
    <row r="109" spans="1:24" s="294" customFormat="1" ht="12.6" customHeight="1">
      <c r="B109" s="294" t="s">
        <v>2386</v>
      </c>
      <c r="G109" s="3118"/>
      <c r="H109" s="3119"/>
      <c r="J109" s="3288"/>
      <c r="K109" s="3288"/>
      <c r="L109" s="2283"/>
      <c r="M109" s="3288"/>
      <c r="N109" s="3288"/>
      <c r="O109" s="2271"/>
      <c r="P109" s="3288"/>
      <c r="Q109" s="3288"/>
      <c r="S109" s="3118"/>
      <c r="T109" s="3119"/>
      <c r="V109" s="2560"/>
      <c r="W109" s="3188"/>
      <c r="X109" s="3189"/>
    </row>
    <row r="110" spans="1:24" s="294" customFormat="1" ht="12.6" customHeight="1" thickBot="1">
      <c r="A110" s="372" t="str">
        <f>IF(AND(G110&gt;0,OR(C110="",C110="&lt;Enter detailed description here; use Comments section if needed&gt;")),"X","")</f>
        <v/>
      </c>
      <c r="B110" s="294" t="s">
        <v>741</v>
      </c>
      <c r="C110" s="3274" t="s">
        <v>3709</v>
      </c>
      <c r="D110" s="3274"/>
      <c r="E110" s="3274"/>
      <c r="F110" s="3275"/>
      <c r="G110" s="3122"/>
      <c r="H110" s="3123"/>
      <c r="J110" s="3288"/>
      <c r="K110" s="3288"/>
      <c r="L110" s="2283"/>
      <c r="M110" s="3288"/>
      <c r="N110" s="3288"/>
      <c r="O110" s="2271"/>
      <c r="P110" s="3288"/>
      <c r="Q110" s="3288"/>
      <c r="S110" s="3122"/>
      <c r="T110" s="3123"/>
      <c r="U110" s="371" t="str">
        <f>IF(AND(G110&gt;0,OR(C110="",C110="&lt;Enter detailed description here; use Comments section if needed&gt;")),"NO DESCRIPTION PROVIDED - please enter detailed description in Other box at left; use Comments section below if needed.","")</f>
        <v/>
      </c>
      <c r="V110" s="2560"/>
      <c r="W110" s="3190"/>
      <c r="X110" s="3191"/>
    </row>
    <row r="111" spans="1:24" s="294" customFormat="1" ht="12.6" customHeight="1" thickTop="1">
      <c r="F111" s="346" t="s">
        <v>191</v>
      </c>
      <c r="G111" s="3276">
        <f>SUM(G107:H110)</f>
        <v>2500</v>
      </c>
      <c r="H111" s="3277"/>
      <c r="J111" s="3288"/>
      <c r="K111" s="3288"/>
      <c r="L111" s="2283"/>
      <c r="M111" s="3288"/>
      <c r="N111" s="3288"/>
      <c r="O111" s="2271"/>
      <c r="P111" s="3288"/>
      <c r="Q111" s="3288"/>
      <c r="S111" s="3276">
        <f>SUM(S107:T110)</f>
        <v>2500</v>
      </c>
      <c r="T111" s="3277"/>
      <c r="V111" s="2562">
        <f>SUM(V107:V110)</f>
        <v>0</v>
      </c>
      <c r="W111" s="3206"/>
      <c r="X111" s="3207"/>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0.1999998787651748</v>
      </c>
      <c r="G113" s="3285">
        <v>329938</v>
      </c>
      <c r="H113" s="3285"/>
      <c r="J113" s="3286">
        <v>329938</v>
      </c>
      <c r="K113" s="3287"/>
      <c r="L113" s="347"/>
      <c r="M113" s="3286"/>
      <c r="N113" s="3287"/>
      <c r="P113" s="3286"/>
      <c r="Q113" s="3287"/>
      <c r="S113" s="3286"/>
      <c r="T113" s="3287"/>
      <c r="V113" s="2560"/>
      <c r="W113" s="3188"/>
      <c r="X113" s="3189"/>
    </row>
    <row r="114" spans="1:24" s="294" customFormat="1" ht="12.6" customHeight="1">
      <c r="B114" s="294" t="s">
        <v>4191</v>
      </c>
      <c r="F114" s="2567">
        <v>329938</v>
      </c>
      <c r="V114" s="2560"/>
      <c r="W114" s="3188"/>
      <c r="X114" s="3189"/>
    </row>
    <row r="115" spans="1:24" s="294" customFormat="1" ht="12.6" customHeight="1">
      <c r="B115" s="294" t="s">
        <v>1861</v>
      </c>
      <c r="F115" s="398">
        <f>IF($G$118=0,0,G115/$G$118)</f>
        <v>0</v>
      </c>
      <c r="G115" s="3134"/>
      <c r="H115" s="3135"/>
      <c r="J115" s="3134"/>
      <c r="K115" s="3135"/>
      <c r="L115" s="2283"/>
      <c r="M115" s="3134"/>
      <c r="N115" s="3135"/>
      <c r="P115" s="3134"/>
      <c r="Q115" s="3135"/>
      <c r="S115" s="3134"/>
      <c r="T115" s="3135"/>
      <c r="V115" s="2560"/>
      <c r="W115" s="3188"/>
      <c r="X115" s="3189"/>
    </row>
    <row r="116" spans="1:24" s="294" customFormat="1" ht="12.6" customHeight="1">
      <c r="B116" s="294" t="s">
        <v>3631</v>
      </c>
      <c r="F116" s="398">
        <f>IF($G$118=0,0,G116/$G$118)</f>
        <v>0</v>
      </c>
      <c r="G116" s="3118"/>
      <c r="H116" s="3119"/>
      <c r="J116" s="3118"/>
      <c r="K116" s="3119"/>
      <c r="L116" s="2283"/>
      <c r="M116" s="3118"/>
      <c r="N116" s="3119"/>
      <c r="P116" s="3118"/>
      <c r="Q116" s="3119"/>
      <c r="S116" s="3118"/>
      <c r="T116" s="3119"/>
      <c r="V116" s="2560"/>
      <c r="W116" s="3188"/>
      <c r="X116" s="3189"/>
    </row>
    <row r="117" spans="1:24" s="294" customFormat="1" ht="12.6" customHeight="1" thickBot="1">
      <c r="B117" s="294" t="s">
        <v>1853</v>
      </c>
      <c r="F117" s="398">
        <f>IF($G$118=0,0,G117/$G$118)</f>
        <v>0.80000012123482522</v>
      </c>
      <c r="G117" s="3122">
        <v>1319753</v>
      </c>
      <c r="H117" s="3123"/>
      <c r="J117" s="3122">
        <v>1319753</v>
      </c>
      <c r="K117" s="3123"/>
      <c r="L117" s="2283"/>
      <c r="M117" s="3122"/>
      <c r="N117" s="3123"/>
      <c r="P117" s="3122"/>
      <c r="Q117" s="3123"/>
      <c r="S117" s="3122"/>
      <c r="T117" s="3123"/>
      <c r="V117" s="2560"/>
      <c r="W117" s="3190"/>
      <c r="X117" s="3191"/>
    </row>
    <row r="118" spans="1:24" s="294" customFormat="1" ht="12.6" customHeight="1" thickTop="1">
      <c r="C118" s="371"/>
      <c r="F118" s="346" t="s">
        <v>191</v>
      </c>
      <c r="G118" s="3281">
        <f>SUM(G113:H117)</f>
        <v>1649691</v>
      </c>
      <c r="H118" s="3282"/>
      <c r="J118" s="3276">
        <f>SUM(J113:K117)</f>
        <v>1649691</v>
      </c>
      <c r="K118" s="3277"/>
      <c r="L118" s="2283"/>
      <c r="M118" s="3276">
        <f>SUM(M113:N117)</f>
        <v>0</v>
      </c>
      <c r="N118" s="3277"/>
      <c r="P118" s="3276">
        <f>SUM(P113:Q117)</f>
        <v>0</v>
      </c>
      <c r="Q118" s="3277"/>
      <c r="S118" s="3276">
        <f>SUM(S113:T117)</f>
        <v>0</v>
      </c>
      <c r="T118" s="3277"/>
      <c r="V118" s="2562">
        <f>SUM(V113:V117)</f>
        <v>0</v>
      </c>
      <c r="W118" s="3206"/>
      <c r="X118" s="3207"/>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34">
        <v>50000</v>
      </c>
      <c r="H120" s="3135"/>
      <c r="J120" s="356"/>
      <c r="K120" s="356"/>
      <c r="L120" s="356"/>
      <c r="M120" s="356"/>
      <c r="N120" s="356"/>
      <c r="P120" s="356"/>
      <c r="Q120" s="356"/>
      <c r="S120" s="3134">
        <v>50000</v>
      </c>
      <c r="T120" s="3135"/>
      <c r="V120" s="2560"/>
      <c r="W120" s="3188"/>
      <c r="X120" s="3189"/>
    </row>
    <row r="121" spans="1:24" s="294" customFormat="1" ht="12.6" customHeight="1">
      <c r="B121" s="294" t="s">
        <v>1536</v>
      </c>
      <c r="F121" s="460">
        <f>+'Part VI-Revenues &amp; Expenses'!$P$226*('DCA Underwriting Assumptions'!$Q$112/12)</f>
        <v>89629.25</v>
      </c>
      <c r="G121" s="3118">
        <v>89630</v>
      </c>
      <c r="H121" s="3119"/>
      <c r="J121" s="988" t="str">
        <f>IF(E121&gt;G121,"WARNING! Rent-Up Reserves proposed is below minimum - add comment.","")</f>
        <v/>
      </c>
      <c r="K121" s="988"/>
      <c r="L121" s="2283"/>
      <c r="M121" s="962"/>
      <c r="N121" s="962"/>
      <c r="O121" s="2271"/>
      <c r="P121" s="962"/>
      <c r="Q121" s="962"/>
      <c r="R121" s="2271"/>
      <c r="S121" s="3118">
        <v>89630</v>
      </c>
      <c r="T121" s="3119"/>
      <c r="V121" s="2560"/>
      <c r="W121" s="3188"/>
      <c r="X121" s="3189"/>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239140.30095688612</v>
      </c>
      <c r="G122" s="3118">
        <v>239141</v>
      </c>
      <c r="H122" s="3119"/>
      <c r="J122" s="988" t="str">
        <f>IF(E122&gt;G122,"WARNING! ODR proposed is below minimum - add comment.","")</f>
        <v/>
      </c>
      <c r="K122" s="355"/>
      <c r="L122" s="355"/>
      <c r="M122" s="355"/>
      <c r="N122" s="355"/>
      <c r="O122" s="2271"/>
      <c r="P122" s="355"/>
      <c r="Q122" s="355"/>
      <c r="R122" s="2271"/>
      <c r="S122" s="3118">
        <v>239141</v>
      </c>
      <c r="T122" s="3119"/>
      <c r="V122" s="2560"/>
      <c r="W122" s="3188"/>
      <c r="X122" s="3189"/>
    </row>
    <row r="123" spans="1:24" s="294" customFormat="1" ht="12.6" customHeight="1">
      <c r="B123" s="294" t="s">
        <v>1244</v>
      </c>
      <c r="G123" s="3118"/>
      <c r="H123" s="3119"/>
      <c r="J123" s="356"/>
      <c r="K123" s="356"/>
      <c r="L123" s="356"/>
      <c r="M123" s="356"/>
      <c r="N123" s="356"/>
      <c r="P123" s="356"/>
      <c r="Q123" s="356"/>
      <c r="S123" s="3118"/>
      <c r="T123" s="3119"/>
      <c r="V123" s="2560"/>
      <c r="W123" s="3188"/>
      <c r="X123" s="3189"/>
    </row>
    <row r="124" spans="1:24" s="294" customFormat="1" ht="12.6" customHeight="1">
      <c r="B124" s="294" t="s">
        <v>1245</v>
      </c>
      <c r="E124" s="851" t="s">
        <v>3566</v>
      </c>
      <c r="F124" s="460">
        <f>IF('Part VI-Revenues &amp; Expenses'!$O$67=0,0,G124/'Part VI-Revenues &amp; Expenses'!$O$67)</f>
        <v>694.44444444444446</v>
      </c>
      <c r="G124" s="3118">
        <v>50000</v>
      </c>
      <c r="H124" s="3119"/>
      <c r="J124" s="3134">
        <v>50000</v>
      </c>
      <c r="K124" s="3135"/>
      <c r="L124" s="2283"/>
      <c r="M124" s="3134"/>
      <c r="N124" s="3135"/>
      <c r="P124" s="3134"/>
      <c r="Q124" s="3135"/>
      <c r="S124" s="3118"/>
      <c r="T124" s="3119"/>
      <c r="V124" s="2560"/>
      <c r="W124" s="3188"/>
      <c r="X124" s="3189"/>
    </row>
    <row r="125" spans="1:24" s="294" customFormat="1" ht="12.6" customHeight="1" thickBot="1">
      <c r="A125" s="372" t="str">
        <f>IF(AND(G125&gt;0,OR(C125="",C125="&lt;Enter detailed description here; use Comments section if needed&gt;")),"X","")</f>
        <v/>
      </c>
      <c r="B125" s="294" t="s">
        <v>741</v>
      </c>
      <c r="C125" s="3274" t="s">
        <v>3709</v>
      </c>
      <c r="D125" s="3274"/>
      <c r="E125" s="3274"/>
      <c r="F125" s="3275"/>
      <c r="G125" s="3122"/>
      <c r="H125" s="3123"/>
      <c r="J125" s="3283"/>
      <c r="K125" s="3284"/>
      <c r="L125" s="2283"/>
      <c r="M125" s="3122"/>
      <c r="N125" s="3123"/>
      <c r="P125" s="3122"/>
      <c r="Q125" s="3123"/>
      <c r="S125" s="3122"/>
      <c r="T125" s="3123"/>
      <c r="U125" s="371" t="str">
        <f>IF(AND(G125&gt;0,OR(C125="",C125="&lt;Enter detailed description here; use Comments section if needed&gt;")),"NO DESCRIPTION PROVIDED - please enter detailed description in Other box at left; use Comments section below if needed.","")</f>
        <v/>
      </c>
      <c r="V125" s="2560"/>
      <c r="W125" s="3190"/>
      <c r="X125" s="3191"/>
    </row>
    <row r="126" spans="1:24" s="294" customFormat="1" ht="12.6" customHeight="1" thickTop="1">
      <c r="B126" s="357"/>
      <c r="F126" s="346" t="s">
        <v>191</v>
      </c>
      <c r="G126" s="3276">
        <f>SUM(G120:H125)</f>
        <v>428771</v>
      </c>
      <c r="H126" s="3277"/>
      <c r="J126" s="3276">
        <f>SUM(J124:K125)</f>
        <v>50000</v>
      </c>
      <c r="K126" s="3277"/>
      <c r="L126" s="2283"/>
      <c r="M126" s="3276">
        <f>SUM(M124:N125)</f>
        <v>0</v>
      </c>
      <c r="N126" s="3277"/>
      <c r="P126" s="3276">
        <f>SUM(P124:Q125)</f>
        <v>0</v>
      </c>
      <c r="Q126" s="3277"/>
      <c r="S126" s="3276">
        <f>SUM(S120:T125)</f>
        <v>378771</v>
      </c>
      <c r="T126" s="3277"/>
      <c r="V126" s="2562">
        <f>SUM(V120:V125)</f>
        <v>0</v>
      </c>
      <c r="W126" s="3206"/>
      <c r="X126" s="3207"/>
    </row>
    <row r="127" spans="1:24" s="294" customFormat="1" ht="13.2" customHeight="1">
      <c r="B127" s="296" t="s">
        <v>610</v>
      </c>
      <c r="C127" s="2266"/>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6"/>
      <c r="G128" s="3134"/>
      <c r="H128" s="3135"/>
      <c r="J128" s="3134"/>
      <c r="K128" s="3135"/>
      <c r="L128" s="347"/>
      <c r="M128" s="3134"/>
      <c r="N128" s="3135"/>
      <c r="P128" s="3134"/>
      <c r="Q128" s="3135"/>
      <c r="S128" s="3134"/>
      <c r="T128" s="3135"/>
      <c r="V128" s="2560"/>
      <c r="W128" s="3188"/>
      <c r="X128" s="3189"/>
    </row>
    <row r="129" spans="1:24" s="294" customFormat="1" ht="12.6" customHeight="1" thickBot="1">
      <c r="A129" s="372" t="str">
        <f>IF(AND(G129&gt;0,OR(C129="",C129="&lt;Enter detailed description here; use Comments section if needed&gt;")),"X","")</f>
        <v/>
      </c>
      <c r="B129" s="294" t="s">
        <v>741</v>
      </c>
      <c r="C129" s="3274" t="s">
        <v>3709</v>
      </c>
      <c r="D129" s="3274"/>
      <c r="E129" s="3274"/>
      <c r="F129" s="3275"/>
      <c r="G129" s="3122"/>
      <c r="H129" s="3123"/>
      <c r="J129" s="3122"/>
      <c r="K129" s="3123"/>
      <c r="L129" s="2283"/>
      <c r="M129" s="3122"/>
      <c r="N129" s="3123"/>
      <c r="P129" s="3122"/>
      <c r="Q129" s="3123"/>
      <c r="S129" s="3122"/>
      <c r="T129" s="3123"/>
      <c r="U129" s="371" t="str">
        <f>IF(AND(G129&gt;0,OR(C129="",C129="&lt;Enter detailed description here; use Comments section if needed&gt;")),"NO DESCRIPTION PROVIDED - please enter detailed description in Other box at left; use Comments section below if needed.","")</f>
        <v/>
      </c>
      <c r="V129" s="2560"/>
      <c r="W129" s="3190"/>
      <c r="X129" s="3191"/>
    </row>
    <row r="130" spans="1:24" s="294" customFormat="1" ht="12.6" customHeight="1" thickTop="1">
      <c r="C130" s="2266"/>
      <c r="F130" s="346" t="s">
        <v>191</v>
      </c>
      <c r="G130" s="3276">
        <f>SUM(G128:H129)</f>
        <v>0</v>
      </c>
      <c r="H130" s="3277"/>
      <c r="J130" s="3276">
        <f>SUM(J128:K129)</f>
        <v>0</v>
      </c>
      <c r="K130" s="3277"/>
      <c r="L130" s="2283"/>
      <c r="M130" s="3276">
        <f>SUM(M128:N129)</f>
        <v>0</v>
      </c>
      <c r="N130" s="3277"/>
      <c r="P130" s="3276">
        <f>SUM(P128:Q129)</f>
        <v>0</v>
      </c>
      <c r="Q130" s="3277"/>
      <c r="S130" s="3276">
        <f>SUM(S128:T129)</f>
        <v>0</v>
      </c>
      <c r="T130" s="3277"/>
      <c r="V130" s="2562">
        <f>SUM(V128:V129)</f>
        <v>0</v>
      </c>
      <c r="W130" s="3206"/>
      <c r="X130" s="3207"/>
    </row>
    <row r="131" spans="1:24" s="294" customFormat="1" ht="3" customHeight="1" thickBot="1">
      <c r="C131" s="2266"/>
      <c r="H131" s="353"/>
      <c r="I131" s="353"/>
      <c r="L131" s="2271"/>
      <c r="V131" s="1076"/>
      <c r="W131" s="2568"/>
      <c r="X131" s="2569"/>
    </row>
    <row r="132" spans="1:24" s="294" customFormat="1" ht="13.95" customHeight="1" thickBot="1">
      <c r="B132" s="299" t="s">
        <v>2768</v>
      </c>
      <c r="G132" s="3278">
        <f>G17+G23+G27+G33+G38+G41+G47+G64+G77+G83+G91+G105+G111+G118+G126+G130</f>
        <v>14176065</v>
      </c>
      <c r="H132" s="3279"/>
      <c r="J132" s="3278">
        <f>J17+J23+J27+J33+J38+J41+J47+J64+J77+J83+J91+J105+J111+J118+J126+J130</f>
        <v>12739547</v>
      </c>
      <c r="K132" s="3279"/>
      <c r="M132" s="3278">
        <f>M17+M23+M27+M33+M38+M41+M47+M64+M77+M83+M91+M105+M111+M118+M126+M130</f>
        <v>0</v>
      </c>
      <c r="N132" s="3279"/>
      <c r="P132" s="3278">
        <f>P17+P23+P27+P33+P38+P41+P47+P64+P77+P83+P91+P105+P111+P118+P126+P130</f>
        <v>0</v>
      </c>
      <c r="Q132" s="3279"/>
      <c r="S132" s="3278">
        <f>S17+S23+S27+S33+S38+S41+S47+S64+S77+S83+S91+S105+S111+S118+S126+S130</f>
        <v>1436518</v>
      </c>
      <c r="T132" s="3279"/>
      <c r="V132" s="2570">
        <f>V17+V23+V27+V33+V38+V41+V47+V64+V77+V83+V91+V105+V111+V118+V126+V130</f>
        <v>0</v>
      </c>
      <c r="W132" s="3280"/>
      <c r="X132" s="3207"/>
    </row>
    <row r="133" spans="1:24" s="294" customFormat="1" ht="3" customHeight="1">
      <c r="C133" s="2266"/>
      <c r="H133" s="353"/>
      <c r="I133" s="353"/>
      <c r="L133" s="2271"/>
      <c r="V133" s="1076"/>
    </row>
    <row r="134" spans="1:24" s="294" customFormat="1" ht="13.95" customHeight="1">
      <c r="B134" s="500" t="s">
        <v>2764</v>
      </c>
      <c r="C134" s="498"/>
      <c r="D134" s="3259">
        <f>IF('Part VI-Revenues &amp; Expenses'!$O$67=0,0,G132/'Part VI-Revenues &amp; Expenses'!$O$67)</f>
        <v>196889.79166666666</v>
      </c>
      <c r="E134" s="3259"/>
      <c r="F134" s="499" t="s">
        <v>2763</v>
      </c>
      <c r="G134" s="3260">
        <f>IF('Part I-Project Information'!$P$75=0,0,G132/'Part I-Project Information'!$P$75)</f>
        <v>192.95564055098819</v>
      </c>
      <c r="H134" s="3261"/>
      <c r="I134" s="358"/>
      <c r="V134" s="1076"/>
    </row>
    <row r="135" spans="1:24" s="294" customFormat="1" ht="3" customHeight="1">
      <c r="I135" s="358"/>
      <c r="L135" s="358"/>
      <c r="V135" s="1076"/>
    </row>
    <row r="136" spans="1:24" s="294" customFormat="1" ht="3.6" customHeight="1" thickBot="1">
      <c r="D136" s="2266"/>
      <c r="E136" s="2266"/>
      <c r="I136" s="353"/>
      <c r="J136" s="353"/>
      <c r="K136" s="359"/>
      <c r="L136" s="2263"/>
      <c r="P136" s="2271"/>
      <c r="V136" s="1076"/>
    </row>
    <row r="137" spans="1:24" s="294" customFormat="1" ht="25.95" customHeight="1">
      <c r="A137" s="422" t="s">
        <v>740</v>
      </c>
      <c r="B137" s="424" t="s">
        <v>1426</v>
      </c>
      <c r="C137" s="878"/>
      <c r="D137" s="2283"/>
      <c r="E137" s="2283"/>
      <c r="F137" s="2283"/>
      <c r="G137" s="2271"/>
      <c r="H137" s="2271"/>
      <c r="I137" s="360"/>
      <c r="J137" s="3262" t="s">
        <v>271</v>
      </c>
      <c r="K137" s="3263"/>
      <c r="M137" s="3262" t="s">
        <v>100</v>
      </c>
      <c r="N137" s="3263"/>
      <c r="P137" s="3262" t="s">
        <v>272</v>
      </c>
      <c r="Q137" s="3263"/>
      <c r="V137" s="1076"/>
      <c r="W137" s="423" t="str">
        <f>B137</f>
        <v>TAX CREDIT CALCULATION - BASIS METHOD</v>
      </c>
    </row>
    <row r="138" spans="1:24" s="294" customFormat="1" ht="15" customHeight="1" thickBot="1">
      <c r="B138" s="299" t="s">
        <v>2044</v>
      </c>
      <c r="D138" s="2283"/>
      <c r="E138" s="2283"/>
      <c r="I138" s="360"/>
      <c r="J138" s="3264"/>
      <c r="K138" s="3265"/>
      <c r="L138" s="878"/>
      <c r="M138" s="3264"/>
      <c r="N138" s="3265"/>
      <c r="P138" s="3264"/>
      <c r="Q138" s="3265"/>
      <c r="V138" s="1076"/>
      <c r="W138" s="294" t="str">
        <f>B138</f>
        <v>Subtractions From Eligible Basis</v>
      </c>
      <c r="X138" s="332"/>
    </row>
    <row r="139" spans="1:24" s="294" customFormat="1" ht="6" customHeight="1">
      <c r="D139" s="2266"/>
      <c r="E139" s="2266"/>
      <c r="I139" s="353"/>
      <c r="J139" s="353"/>
      <c r="K139" s="359"/>
      <c r="L139" s="2263"/>
      <c r="P139" s="2271"/>
      <c r="V139" s="1076"/>
    </row>
    <row r="140" spans="1:24" s="294" customFormat="1" ht="13.95" customHeight="1">
      <c r="B140" s="2266" t="s">
        <v>144</v>
      </c>
      <c r="D140" s="2271"/>
      <c r="E140" s="2271"/>
      <c r="F140" s="2271"/>
      <c r="G140" s="2271"/>
      <c r="H140" s="2271"/>
      <c r="I140" s="360"/>
      <c r="J140" s="3266"/>
      <c r="K140" s="3267"/>
      <c r="P140" s="3266"/>
      <c r="Q140" s="3267"/>
      <c r="V140" s="2560"/>
      <c r="W140" s="3188"/>
      <c r="X140" s="3189"/>
    </row>
    <row r="141" spans="1:24" s="294" customFormat="1" ht="13.95" customHeight="1">
      <c r="B141" s="2271" t="s">
        <v>2152</v>
      </c>
      <c r="D141" s="2271"/>
      <c r="E141" s="2271"/>
      <c r="F141" s="2271"/>
      <c r="G141" s="2271"/>
      <c r="H141" s="2271"/>
      <c r="I141" s="360"/>
      <c r="J141" s="3268"/>
      <c r="K141" s="3269"/>
      <c r="P141" s="3268"/>
      <c r="Q141" s="3269"/>
      <c r="V141" s="2560"/>
      <c r="W141" s="3188"/>
      <c r="X141" s="3189"/>
    </row>
    <row r="142" spans="1:24" s="294" customFormat="1" ht="13.95" customHeight="1">
      <c r="B142" s="2271" t="s">
        <v>1863</v>
      </c>
      <c r="D142" s="2271"/>
      <c r="E142" s="2271"/>
      <c r="I142" s="360"/>
      <c r="J142" s="3268"/>
      <c r="K142" s="3269"/>
      <c r="P142" s="3268"/>
      <c r="Q142" s="3269"/>
      <c r="V142" s="2560"/>
      <c r="W142" s="3188"/>
      <c r="X142" s="3189"/>
    </row>
    <row r="143" spans="1:24" s="294" customFormat="1" ht="13.95" customHeight="1">
      <c r="B143" s="2271" t="s">
        <v>1864</v>
      </c>
      <c r="D143" s="2271"/>
      <c r="E143" s="2271"/>
      <c r="I143" s="360"/>
      <c r="J143" s="3268"/>
      <c r="K143" s="3269"/>
      <c r="P143" s="3268"/>
      <c r="Q143" s="3269"/>
      <c r="V143" s="2560"/>
      <c r="W143" s="3188"/>
      <c r="X143" s="3189"/>
    </row>
    <row r="144" spans="1:24" s="294" customFormat="1" ht="13.95" customHeight="1">
      <c r="B144" s="2271" t="s">
        <v>254</v>
      </c>
      <c r="D144" s="2271"/>
      <c r="E144" s="2271"/>
      <c r="I144" s="360"/>
      <c r="J144" s="3268"/>
      <c r="K144" s="3269"/>
      <c r="P144" s="3268"/>
      <c r="Q144" s="3269"/>
      <c r="V144" s="2560"/>
      <c r="W144" s="3188"/>
      <c r="X144" s="3189"/>
    </row>
    <row r="145" spans="1:24" s="294" customFormat="1" ht="13.95" customHeight="1" thickBot="1">
      <c r="B145" s="2271" t="s">
        <v>1601</v>
      </c>
      <c r="C145" s="3270" t="s">
        <v>2415</v>
      </c>
      <c r="D145" s="3270"/>
      <c r="E145" s="3270"/>
      <c r="F145" s="3270"/>
      <c r="G145" s="3270"/>
      <c r="H145" s="3270"/>
      <c r="I145" s="3271"/>
      <c r="J145" s="3272"/>
      <c r="K145" s="3273"/>
      <c r="P145" s="3272"/>
      <c r="Q145" s="3273"/>
      <c r="V145" s="2560"/>
      <c r="W145" s="3190"/>
      <c r="X145" s="3191"/>
    </row>
    <row r="146" spans="1:24" s="294" customFormat="1" ht="13.95" customHeight="1" thickBot="1">
      <c r="B146" s="304" t="s">
        <v>1865</v>
      </c>
      <c r="C146" s="307"/>
      <c r="J146" s="3056">
        <f>SUM(J140:K145)</f>
        <v>0</v>
      </c>
      <c r="K146" s="3057"/>
      <c r="P146" s="3056">
        <f>SUM(P140:Q145)</f>
        <v>0</v>
      </c>
      <c r="Q146" s="3057"/>
      <c r="V146" s="2562">
        <f>SUM(V140:V145)</f>
        <v>0</v>
      </c>
      <c r="W146" s="3206"/>
      <c r="X146" s="3207"/>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5" customHeight="1">
      <c r="B149" s="294" t="s">
        <v>1790</v>
      </c>
      <c r="J149" s="3255">
        <f>J132</f>
        <v>12739547</v>
      </c>
      <c r="K149" s="3256"/>
      <c r="M149" s="3257">
        <f>M132</f>
        <v>0</v>
      </c>
      <c r="N149" s="3258"/>
      <c r="P149" s="3255">
        <f>P132</f>
        <v>0</v>
      </c>
      <c r="Q149" s="3256"/>
      <c r="R149" s="3195" t="s">
        <v>4725</v>
      </c>
      <c r="S149" s="3196"/>
      <c r="T149" s="3196"/>
      <c r="V149" s="2560"/>
      <c r="W149" s="3188"/>
      <c r="X149" s="3189"/>
    </row>
    <row r="150" spans="1:24" s="294" customFormat="1" ht="13.95" customHeight="1">
      <c r="B150" s="294" t="s">
        <v>2220</v>
      </c>
      <c r="J150" s="3217">
        <f>J146</f>
        <v>0</v>
      </c>
      <c r="K150" s="3218"/>
      <c r="M150" s="3231"/>
      <c r="N150" s="3231"/>
      <c r="P150" s="3217">
        <f>P146</f>
        <v>0</v>
      </c>
      <c r="Q150" s="3218"/>
      <c r="R150" s="3195"/>
      <c r="S150" s="3196"/>
      <c r="T150" s="3196"/>
      <c r="U150" s="2050"/>
      <c r="V150" s="2560"/>
      <c r="W150" s="3188"/>
      <c r="X150" s="3189"/>
    </row>
    <row r="151" spans="1:24" s="294" customFormat="1" ht="13.95" customHeight="1">
      <c r="B151" s="294" t="s">
        <v>2221</v>
      </c>
      <c r="J151" s="3217">
        <f>J149-J150</f>
        <v>12739547</v>
      </c>
      <c r="K151" s="3218"/>
      <c r="M151" s="3217">
        <f>M149</f>
        <v>0</v>
      </c>
      <c r="N151" s="3218"/>
      <c r="P151" s="3217">
        <f>P149-P150</f>
        <v>0</v>
      </c>
      <c r="Q151" s="3218"/>
      <c r="R151" s="3195"/>
      <c r="S151" s="3196"/>
      <c r="T151" s="3196"/>
      <c r="U151" s="2050"/>
      <c r="V151" s="2560"/>
      <c r="W151" s="3188"/>
      <c r="X151" s="3189"/>
    </row>
    <row r="152" spans="1:24" s="294" customFormat="1" ht="13.95" customHeight="1">
      <c r="B152" s="294" t="s">
        <v>1485</v>
      </c>
      <c r="G152" s="2278" t="s">
        <v>1714</v>
      </c>
      <c r="H152" s="2924" t="s">
        <v>5221</v>
      </c>
      <c r="I152" s="2925"/>
      <c r="J152" s="3248">
        <v>1.3</v>
      </c>
      <c r="K152" s="3249"/>
      <c r="M152" s="3250"/>
      <c r="N152" s="3250"/>
      <c r="P152" s="3248"/>
      <c r="Q152" s="3249"/>
      <c r="R152" s="3197" t="s">
        <v>3698</v>
      </c>
      <c r="S152" s="3198"/>
      <c r="T152" s="3199"/>
      <c r="U152" s="2051"/>
      <c r="V152" s="2560"/>
      <c r="W152" s="3188"/>
      <c r="X152" s="3189"/>
    </row>
    <row r="153" spans="1:24" s="294" customFormat="1" ht="13.95" customHeight="1">
      <c r="B153" s="294" t="s">
        <v>2054</v>
      </c>
      <c r="J153" s="3217">
        <f>J151*J152</f>
        <v>16561411.100000001</v>
      </c>
      <c r="K153" s="3218"/>
      <c r="M153" s="3217">
        <f>+M151</f>
        <v>0</v>
      </c>
      <c r="N153" s="3218"/>
      <c r="P153" s="3217">
        <f>P151*P152</f>
        <v>0</v>
      </c>
      <c r="Q153" s="3218"/>
      <c r="R153" s="3200"/>
      <c r="S153" s="3201"/>
      <c r="T153" s="3202"/>
      <c r="U153" s="2051"/>
      <c r="V153" s="2560"/>
      <c r="W153" s="3188"/>
      <c r="X153" s="3189"/>
    </row>
    <row r="154" spans="1:24" s="294" customFormat="1" ht="13.95" customHeight="1">
      <c r="B154" s="294" t="s">
        <v>2541</v>
      </c>
      <c r="J154" s="3251">
        <f>MIN('Part VI-Revenues &amp; Expenses'!$O$63/'Part VI-Revenues &amp; Expenses'!$O$65,'Part VI-Revenues &amp; Expenses'!$O$152/'Part VI-Revenues &amp; Expenses'!$O$154)</f>
        <v>0.875</v>
      </c>
      <c r="K154" s="3252"/>
      <c r="M154" s="3251">
        <f>MIN('Part VI-Revenues &amp; Expenses'!$O$63/'Part VI-Revenues &amp; Expenses'!$O$65,'Part VI-Revenues &amp; Expenses'!$O$152/'Part VI-Revenues &amp; Expenses'!$O$154)</f>
        <v>0.875</v>
      </c>
      <c r="N154" s="3252"/>
      <c r="P154" s="3251">
        <f>MIN('Part VI-Revenues &amp; Expenses'!$O$63/'Part VI-Revenues &amp; Expenses'!$O$65,'Part VI-Revenues &amp; Expenses'!$O$152/'Part VI-Revenues &amp; Expenses'!$O$154)</f>
        <v>0.875</v>
      </c>
      <c r="Q154" s="3252"/>
      <c r="R154" s="3203"/>
      <c r="S154" s="3204"/>
      <c r="T154" s="3205"/>
      <c r="V154" s="2560"/>
      <c r="W154" s="3188"/>
      <c r="X154" s="3189"/>
    </row>
    <row r="155" spans="1:24" s="294" customFormat="1" ht="13.95" customHeight="1">
      <c r="B155" s="294" t="s">
        <v>2045</v>
      </c>
      <c r="J155" s="3217">
        <f>J153*J154</f>
        <v>14491234.712500002</v>
      </c>
      <c r="K155" s="3218"/>
      <c r="M155" s="3217">
        <f>M153*M154</f>
        <v>0</v>
      </c>
      <c r="N155" s="3218"/>
      <c r="P155" s="3217">
        <f>P153*P154</f>
        <v>0</v>
      </c>
      <c r="Q155" s="3218"/>
      <c r="V155" s="2560"/>
      <c r="W155" s="3188"/>
      <c r="X155" s="3189"/>
    </row>
    <row r="156" spans="1:24" s="294" customFormat="1" ht="13.95" customHeight="1">
      <c r="B156" s="294" t="s">
        <v>2046</v>
      </c>
      <c r="J156" s="3248">
        <v>0.09</v>
      </c>
      <c r="K156" s="3249"/>
      <c r="M156" s="3248"/>
      <c r="N156" s="3249"/>
      <c r="P156" s="3248"/>
      <c r="Q156" s="3249"/>
      <c r="V156" s="2560"/>
      <c r="W156" s="3188"/>
      <c r="X156" s="3189"/>
    </row>
    <row r="157" spans="1:24" s="294" customFormat="1" ht="13.95" customHeight="1" thickBot="1">
      <c r="B157" s="294" t="s">
        <v>2542</v>
      </c>
      <c r="J157" s="3253">
        <f>J155*J156</f>
        <v>1304211.1241250001</v>
      </c>
      <c r="K157" s="3254"/>
      <c r="M157" s="3253">
        <f>M155*M156</f>
        <v>0</v>
      </c>
      <c r="N157" s="3254"/>
      <c r="P157" s="3253">
        <f>P155*P156</f>
        <v>0</v>
      </c>
      <c r="Q157" s="3254"/>
      <c r="V157" s="2571"/>
      <c r="W157" s="3190"/>
      <c r="X157" s="3191"/>
    </row>
    <row r="158" spans="1:24" s="294" customFormat="1" ht="13.95" customHeight="1" thickBot="1">
      <c r="B158" s="296" t="s">
        <v>1424</v>
      </c>
      <c r="J158" s="3056">
        <f>ROUNDDOWN(J157+M157+P157,0)</f>
        <v>1304211</v>
      </c>
      <c r="K158" s="3224"/>
      <c r="L158" s="3224"/>
      <c r="M158" s="3224"/>
      <c r="N158" s="3224"/>
      <c r="O158" s="3224"/>
      <c r="P158" s="3224"/>
      <c r="Q158" s="3057"/>
      <c r="V158" s="2562"/>
      <c r="W158" s="3192"/>
      <c r="X158" s="3193"/>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1"/>
      <c r="M160" s="476"/>
      <c r="N160" s="2271"/>
      <c r="O160" s="2271"/>
      <c r="P160" s="2271"/>
      <c r="Q160" s="2271"/>
      <c r="R160" s="2271"/>
      <c r="S160" s="2271"/>
      <c r="T160" s="2271"/>
      <c r="V160" s="1076"/>
    </row>
    <row r="161" spans="1:24" s="294" customFormat="1" ht="15" customHeight="1" thickBot="1">
      <c r="B161" s="296" t="s">
        <v>174</v>
      </c>
      <c r="H161" s="269"/>
      <c r="M161" s="476"/>
      <c r="N161" s="2271"/>
      <c r="O161" s="2271"/>
      <c r="P161" s="2271"/>
      <c r="Q161" s="2271"/>
      <c r="R161" s="2271"/>
      <c r="S161" s="2271"/>
      <c r="T161" s="2271"/>
      <c r="V161" s="1076"/>
      <c r="W161" s="423" t="str">
        <f>B160</f>
        <v>TAX CREDIT CALCULATION - GAP METHOD</v>
      </c>
    </row>
    <row r="162" spans="1:24" s="294" customFormat="1" ht="15" customHeight="1">
      <c r="B162" s="289" t="s">
        <v>2769</v>
      </c>
      <c r="G162" s="3209" t="str">
        <f>IF(J163&gt;J162,"TDC exceeds QAP PUCL!","")</f>
        <v/>
      </c>
      <c r="H162" s="3209"/>
      <c r="I162" s="3210"/>
      <c r="J162" s="3244">
        <f>'Part VIII-Threshold Criteria'!$P$63</f>
        <v>14215668</v>
      </c>
      <c r="K162" s="3245"/>
      <c r="L162" s="3246"/>
      <c r="M162" s="3211" t="s">
        <v>2746</v>
      </c>
      <c r="N162" s="3212"/>
      <c r="O162" s="3212"/>
      <c r="P162" s="3212"/>
      <c r="Q162" s="3212"/>
      <c r="R162" s="3213"/>
      <c r="S162" s="3211" t="s">
        <v>3672</v>
      </c>
      <c r="T162" s="3213"/>
      <c r="V162" s="2560"/>
      <c r="W162" s="3188"/>
      <c r="X162" s="3189"/>
    </row>
    <row r="163" spans="1:24" s="294" customFormat="1" ht="13.95" customHeight="1">
      <c r="B163" s="294" t="s">
        <v>2748</v>
      </c>
      <c r="J163" s="3228">
        <f>MIN(G132,J162,(G132-O165))</f>
        <v>14176065</v>
      </c>
      <c r="K163" s="3229"/>
      <c r="L163" s="3230"/>
      <c r="M163" s="3214"/>
      <c r="N163" s="3215"/>
      <c r="O163" s="3215"/>
      <c r="P163" s="3215"/>
      <c r="Q163" s="3215"/>
      <c r="R163" s="3216"/>
      <c r="S163" s="3214"/>
      <c r="T163" s="3216"/>
      <c r="V163" s="2560"/>
      <c r="W163" s="3188"/>
      <c r="X163" s="3189"/>
    </row>
    <row r="164" spans="1:24" s="294" customFormat="1" ht="13.95" customHeight="1">
      <c r="B164" s="294" t="s">
        <v>263</v>
      </c>
      <c r="J164" s="3217">
        <f>'Part III-Sources of Funds'!$I$58-'Part III-Sources of Funds'!$I$42-'Part III-Sources of Funds'!$I$43-'Part III-Sources of Funds'!$I$49-'Part III-Sources of Funds'!$I$50</f>
        <v>1700110</v>
      </c>
      <c r="K164" s="3231"/>
      <c r="L164" s="3232"/>
      <c r="M164" s="3214"/>
      <c r="N164" s="3215"/>
      <c r="O164" s="3215"/>
      <c r="P164" s="3215"/>
      <c r="Q164" s="3215"/>
      <c r="R164" s="3216"/>
      <c r="S164" s="3214"/>
      <c r="T164" s="3216"/>
      <c r="V164" s="2560"/>
      <c r="W164" s="3188"/>
      <c r="X164" s="3189"/>
    </row>
    <row r="165" spans="1:24" s="294" customFormat="1" ht="13.95" customHeight="1" thickBot="1">
      <c r="B165" s="294" t="s">
        <v>2232</v>
      </c>
      <c r="J165" s="3217">
        <f>+J163-J164</f>
        <v>12475955</v>
      </c>
      <c r="K165" s="3231"/>
      <c r="L165" s="3232"/>
      <c r="M165" s="3233" t="s">
        <v>2747</v>
      </c>
      <c r="N165" s="3234"/>
      <c r="O165" s="3235">
        <f>'Part III-Sources of Funds'!$I$42</f>
        <v>0</v>
      </c>
      <c r="P165" s="3235"/>
      <c r="Q165" s="3235"/>
      <c r="R165" s="3236"/>
      <c r="S165" s="409" t="s">
        <v>1662</v>
      </c>
      <c r="T165" s="2572"/>
      <c r="V165" s="2560"/>
      <c r="W165" s="3188"/>
      <c r="X165" s="3189"/>
    </row>
    <row r="166" spans="1:24" s="294" customFormat="1" ht="13.95" customHeight="1">
      <c r="B166" s="294" t="s">
        <v>1286</v>
      </c>
      <c r="J166" s="3237" t="str">
        <f>"/ 10"</f>
        <v>/ 10</v>
      </c>
      <c r="K166" s="3237"/>
      <c r="L166" s="3237"/>
      <c r="M166" s="2271"/>
      <c r="N166" s="473"/>
      <c r="O166" s="473"/>
      <c r="P166" s="473"/>
      <c r="Q166" s="473"/>
      <c r="R166" s="473"/>
      <c r="V166" s="1076"/>
      <c r="W166" s="3188"/>
      <c r="X166" s="3189"/>
    </row>
    <row r="167" spans="1:24" s="294" customFormat="1" ht="13.95" customHeight="1">
      <c r="B167" s="294" t="s">
        <v>1287</v>
      </c>
      <c r="J167" s="3217">
        <f>J165/10</f>
        <v>1247595.5</v>
      </c>
      <c r="K167" s="3231"/>
      <c r="L167" s="3218"/>
      <c r="M167" s="312"/>
      <c r="N167" s="2946" t="s">
        <v>1288</v>
      </c>
      <c r="O167" s="2946"/>
      <c r="Q167" s="2946" t="s">
        <v>1799</v>
      </c>
      <c r="R167" s="2946"/>
      <c r="V167" s="2560"/>
      <c r="W167" s="3188"/>
      <c r="X167" s="3189"/>
    </row>
    <row r="168" spans="1:24" s="294" customFormat="1" ht="13.95" customHeight="1" thickBot="1">
      <c r="B168" s="294" t="s">
        <v>1484</v>
      </c>
      <c r="J168" s="3219">
        <f>N168+Q168</f>
        <v>1.24</v>
      </c>
      <c r="K168" s="3220"/>
      <c r="L168" s="3221"/>
      <c r="M168" s="2278" t="s">
        <v>1289</v>
      </c>
      <c r="N168" s="3222">
        <v>0.85</v>
      </c>
      <c r="O168" s="3223"/>
      <c r="P168" s="2278" t="s">
        <v>612</v>
      </c>
      <c r="Q168" s="3222">
        <v>0.39</v>
      </c>
      <c r="R168" s="3223"/>
      <c r="V168" s="2560"/>
      <c r="W168" s="3188"/>
      <c r="X168" s="3189"/>
    </row>
    <row r="169" spans="1:24" s="294" customFormat="1" ht="13.95" customHeight="1" thickBot="1">
      <c r="B169" s="296" t="s">
        <v>1425</v>
      </c>
      <c r="J169" s="3056">
        <f>ROUNDDOWN(IF(J168=0,"",J167/J168),0)</f>
        <v>1006125</v>
      </c>
      <c r="K169" s="3224"/>
      <c r="L169" s="3057"/>
      <c r="M169" s="312"/>
      <c r="N169" s="2271"/>
      <c r="O169" s="2271"/>
      <c r="V169" s="2560"/>
      <c r="W169" s="3188"/>
      <c r="X169" s="3189"/>
    </row>
    <row r="170" spans="1:24" s="294" customFormat="1" ht="6" customHeight="1">
      <c r="J170" s="363"/>
      <c r="K170" s="363"/>
      <c r="L170" s="363"/>
      <c r="M170" s="312"/>
      <c r="N170" s="2274"/>
      <c r="O170" s="2274"/>
      <c r="V170" s="1076"/>
      <c r="W170" s="3188"/>
      <c r="X170" s="3189"/>
    </row>
    <row r="171" spans="1:24" s="294" customFormat="1" ht="16.2" customHeight="1">
      <c r="B171" s="296" t="s">
        <v>2900</v>
      </c>
      <c r="J171" s="322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1000000</v>
      </c>
      <c r="K171" s="3226"/>
      <c r="L171" s="3227"/>
      <c r="M171" s="312"/>
      <c r="N171" s="2274"/>
      <c r="O171" s="2274"/>
      <c r="V171" s="2560"/>
      <c r="W171" s="3188"/>
      <c r="X171" s="3189"/>
    </row>
    <row r="172" spans="1:24" s="294" customFormat="1" ht="3" customHeight="1">
      <c r="J172" s="363"/>
      <c r="K172" s="363"/>
      <c r="L172" s="363"/>
      <c r="M172" s="312"/>
      <c r="N172" s="2274"/>
      <c r="O172" s="2274"/>
      <c r="V172" s="1076"/>
      <c r="W172" s="2568"/>
      <c r="X172" s="2569"/>
    </row>
    <row r="173" spans="1:24" s="294" customFormat="1" ht="16.2" customHeight="1">
      <c r="B173" s="296" t="s">
        <v>349</v>
      </c>
      <c r="J173" s="3238">
        <v>1000000</v>
      </c>
      <c r="K173" s="3239"/>
      <c r="L173" s="3240"/>
      <c r="M173" s="364" t="str">
        <f>IF(J171=0,"",IF(J173&gt;J171,"ALLOCATION CANNOT EXCEED MAXIMUM - REVISE REQUEST (Try Round Down)!",""))</f>
        <v/>
      </c>
      <c r="N173" s="2274"/>
      <c r="O173" s="2274"/>
      <c r="V173" s="2560"/>
      <c r="W173" s="3188"/>
      <c r="X173" s="3189"/>
    </row>
    <row r="174" spans="1:24" s="294" customFormat="1" ht="3" customHeight="1">
      <c r="J174" s="363"/>
      <c r="K174" s="363"/>
      <c r="L174" s="363"/>
      <c r="M174" s="312"/>
      <c r="N174" s="2274"/>
      <c r="O174" s="2274"/>
      <c r="V174" s="1076"/>
      <c r="W174" s="2568"/>
      <c r="X174" s="2569"/>
    </row>
    <row r="175" spans="1:24" s="294" customFormat="1" ht="16.2" customHeight="1">
      <c r="A175" s="423" t="s">
        <v>1792</v>
      </c>
      <c r="B175" s="423" t="s">
        <v>2620</v>
      </c>
      <c r="D175" s="312"/>
      <c r="E175" s="312"/>
      <c r="F175" s="2263"/>
      <c r="J175" s="3241">
        <f>IF(J173="",0,+MIN(J171,J173))</f>
        <v>1000000</v>
      </c>
      <c r="K175" s="3242"/>
      <c r="L175" s="3243"/>
      <c r="N175" s="2573"/>
      <c r="O175" s="2573"/>
      <c r="P175" s="2573"/>
      <c r="Q175" s="2573"/>
      <c r="R175" s="2573"/>
      <c r="S175" s="2573"/>
      <c r="T175" s="2573"/>
      <c r="V175" s="2560"/>
      <c r="W175" s="3188"/>
      <c r="X175" s="3189"/>
    </row>
    <row r="176" spans="1:24" ht="3" customHeight="1"/>
    <row r="177" spans="1:24" ht="6" customHeight="1"/>
    <row r="178" spans="1:24" ht="12" customHeight="1">
      <c r="A178" s="296" t="s">
        <v>1794</v>
      </c>
      <c r="B178" s="321" t="s">
        <v>572</v>
      </c>
      <c r="N178" s="296" t="s">
        <v>530</v>
      </c>
      <c r="O178" s="296" t="s">
        <v>79</v>
      </c>
    </row>
    <row r="179" spans="1:24" ht="352.5" customHeight="1">
      <c r="A179" s="3065" t="s">
        <v>5285</v>
      </c>
      <c r="B179" s="3065"/>
      <c r="C179" s="3065"/>
      <c r="D179" s="3065"/>
      <c r="E179" s="3065"/>
      <c r="F179" s="3065"/>
      <c r="G179" s="3065"/>
      <c r="H179" s="3065"/>
      <c r="I179" s="3065"/>
      <c r="J179" s="3065"/>
      <c r="K179" s="3065"/>
      <c r="L179" s="3065"/>
      <c r="M179" s="3065"/>
      <c r="N179" s="3247"/>
      <c r="O179" s="3247"/>
      <c r="P179" s="3247"/>
      <c r="Q179" s="3247"/>
      <c r="R179" s="3247"/>
      <c r="S179" s="3247"/>
      <c r="T179" s="3247"/>
      <c r="V179" s="966"/>
      <c r="W179" s="3046" t="s">
        <v>2693</v>
      </c>
      <c r="X179" s="3046"/>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0AwhCZWJbf86t0kxuA/j6ExGBPlaLCCNEN21mxHQ6CQt+xkaaeFQ3prx2zN+Q7CjWEv6Z4wJtMgmLXLC6zyFig==" saltValue="W2CrUlKhzEId+drEFj9efw=="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45" t="str">
        <f>CONCATENATE("PART FOUR (b) -  OTHER COSTS","  -  ",'Part I-Project Information'!$O$6," - ",'Part I-Project Information'!$F$34,"  -  ",'Part I-Project Information'!$F$38,"  -  ",'Part I-Project Information'!$J$39,",  ","County")</f>
        <v>PART FOUR (b) -  OTHER COSTS  -  2019-042 - Brennan Place  -  Columbus  -  Muscogee,  County</v>
      </c>
      <c r="B1" s="3346"/>
      <c r="C1" s="3346"/>
      <c r="D1" s="3346"/>
      <c r="E1" s="3346"/>
      <c r="F1" s="3346"/>
      <c r="G1" s="3346"/>
      <c r="H1" s="3346"/>
      <c r="I1" s="942"/>
      <c r="J1" s="942"/>
      <c r="K1" s="942"/>
      <c r="L1" s="942"/>
      <c r="M1" s="942"/>
      <c r="N1" s="942"/>
    </row>
    <row r="2" spans="1:14" ht="9" customHeight="1"/>
    <row r="3" spans="1:14" ht="57" customHeight="1">
      <c r="A3" s="3347" t="s">
        <v>3711</v>
      </c>
      <c r="B3" s="3348"/>
      <c r="C3" s="3348"/>
      <c r="D3" s="3348"/>
      <c r="E3" s="3348"/>
      <c r="F3" s="3348"/>
      <c r="G3" s="3348"/>
      <c r="H3" s="3349"/>
    </row>
    <row r="4" spans="1:14" ht="6" customHeight="1"/>
    <row r="5" spans="1:14" ht="38.25" customHeight="1">
      <c r="A5" s="3350" t="s">
        <v>3826</v>
      </c>
      <c r="B5" s="3350"/>
      <c r="C5" s="3350"/>
      <c r="D5" s="3350"/>
      <c r="F5" s="943" t="s">
        <v>3702</v>
      </c>
      <c r="G5" s="561"/>
      <c r="H5" s="943" t="s">
        <v>3703</v>
      </c>
    </row>
    <row r="6" spans="1:14" ht="6.75" customHeight="1">
      <c r="A6" s="561"/>
      <c r="B6" s="561"/>
      <c r="C6" s="561"/>
      <c r="D6" s="561"/>
    </row>
    <row r="7" spans="1:14" s="2574" customFormat="1" ht="4.5" customHeight="1">
      <c r="A7" s="944"/>
      <c r="B7" s="944"/>
      <c r="C7" s="944"/>
      <c r="D7" s="944"/>
      <c r="E7" s="944"/>
      <c r="F7" s="944"/>
      <c r="G7" s="944"/>
    </row>
    <row r="8" spans="1:14" s="2574" customFormat="1">
      <c r="A8" s="953" t="s">
        <v>102</v>
      </c>
      <c r="B8" s="945"/>
      <c r="C8" s="945"/>
      <c r="D8" s="945"/>
      <c r="E8" s="945"/>
      <c r="F8" s="945"/>
      <c r="G8" s="945"/>
      <c r="H8" s="945"/>
    </row>
    <row r="9" spans="1:14" s="2574" customFormat="1" ht="41.25" customHeight="1">
      <c r="A9" s="3342" t="str">
        <f>'Part IV-A-Uses of Funds'!$C$14</f>
        <v>&lt;&lt; Enter description here; provide detail &amp; justification in tab Part IV-b &gt;&gt;</v>
      </c>
      <c r="B9" s="3343"/>
      <c r="C9" s="3343"/>
      <c r="D9" s="3344"/>
      <c r="F9" s="3339"/>
      <c r="G9" s="945"/>
      <c r="H9" s="3339"/>
    </row>
    <row r="10" spans="1:14" s="2574" customFormat="1" ht="41.25" customHeight="1">
      <c r="A10" s="3333"/>
      <c r="B10" s="3334"/>
      <c r="C10" s="3334"/>
      <c r="D10" s="3335"/>
      <c r="F10" s="3340"/>
      <c r="G10" s="945"/>
      <c r="H10" s="3340"/>
    </row>
    <row r="11" spans="1:14" s="2574" customFormat="1" ht="4.5" customHeight="1">
      <c r="F11" s="3340"/>
      <c r="G11" s="945"/>
      <c r="H11" s="3340"/>
    </row>
    <row r="12" spans="1:14" s="2574" customFormat="1" ht="15" customHeight="1">
      <c r="A12" s="952" t="s">
        <v>3705</v>
      </c>
      <c r="B12" s="951">
        <f>'Part IV-A-Uses of Funds'!$G$14</f>
        <v>0</v>
      </c>
      <c r="C12" s="952" t="s">
        <v>1790</v>
      </c>
      <c r="D12" s="951">
        <f>'Part IV-A-Uses of Funds'!$J$14+'Part IV-A-Uses of Funds'!$M$14+'Part IV-A-Uses of Funds'!$P$14</f>
        <v>0</v>
      </c>
      <c r="F12" s="3340"/>
      <c r="G12" s="945"/>
      <c r="H12" s="3340"/>
    </row>
    <row r="13" spans="1:14" s="2574" customFormat="1" ht="6" customHeight="1">
      <c r="A13" s="945"/>
      <c r="B13" s="946"/>
      <c r="C13" s="945"/>
      <c r="D13" s="945"/>
      <c r="F13" s="3340"/>
      <c r="G13" s="947"/>
      <c r="H13" s="3340"/>
    </row>
    <row r="14" spans="1:14" s="2574" customFormat="1" ht="41.25" customHeight="1">
      <c r="A14" s="3342" t="str">
        <f>'Part IV-A-Uses of Funds'!$C$15</f>
        <v>&lt;&lt; Enter description here; provide detail &amp; justification in tab Part IV-b &gt;&gt;</v>
      </c>
      <c r="B14" s="3343"/>
      <c r="C14" s="3343"/>
      <c r="D14" s="3344"/>
      <c r="F14" s="3340"/>
      <c r="G14" s="945"/>
      <c r="H14" s="3340"/>
    </row>
    <row r="15" spans="1:14" s="2574" customFormat="1" ht="41.25" customHeight="1">
      <c r="A15" s="3333"/>
      <c r="B15" s="3334"/>
      <c r="C15" s="3334"/>
      <c r="D15" s="3335"/>
      <c r="F15" s="3340"/>
      <c r="G15" s="945"/>
      <c r="H15" s="3340"/>
    </row>
    <row r="16" spans="1:14" s="2574" customFormat="1" ht="4.5" customHeight="1">
      <c r="F16" s="3340"/>
      <c r="G16" s="945"/>
      <c r="H16" s="3340"/>
    </row>
    <row r="17" spans="1:8" s="2574" customFormat="1" ht="15" customHeight="1">
      <c r="A17" s="952" t="s">
        <v>3705</v>
      </c>
      <c r="B17" s="951">
        <f>'Part IV-A-Uses of Funds'!$G$15</f>
        <v>0</v>
      </c>
      <c r="C17" s="952" t="s">
        <v>1790</v>
      </c>
      <c r="D17" s="951">
        <f>'Part IV-A-Uses of Funds'!$J$15+'Part IV-A-Uses of Funds'!$M$15+'Part IV-A-Uses of Funds'!$P$15</f>
        <v>0</v>
      </c>
      <c r="F17" s="3340"/>
      <c r="G17" s="945"/>
      <c r="H17" s="3340"/>
    </row>
    <row r="18" spans="1:8" s="2574" customFormat="1" ht="6" customHeight="1">
      <c r="A18" s="945"/>
      <c r="B18" s="946"/>
      <c r="C18" s="945"/>
      <c r="D18" s="945"/>
      <c r="F18" s="3340"/>
      <c r="G18" s="947"/>
      <c r="H18" s="3340"/>
    </row>
    <row r="19" spans="1:8" s="2574" customFormat="1" ht="41.25" customHeight="1">
      <c r="A19" s="3342" t="str">
        <f>'Part IV-A-Uses of Funds'!$C$16</f>
        <v>&lt;&lt; Enter description here; provide detail &amp; justification in tab Part IV-b &gt;&gt;</v>
      </c>
      <c r="B19" s="3343"/>
      <c r="C19" s="3343"/>
      <c r="D19" s="3344"/>
      <c r="F19" s="3340"/>
      <c r="G19" s="945"/>
      <c r="H19" s="3340"/>
    </row>
    <row r="20" spans="1:8" s="2574" customFormat="1" ht="41.25" customHeight="1">
      <c r="A20" s="3333"/>
      <c r="B20" s="3334"/>
      <c r="C20" s="3334"/>
      <c r="D20" s="3335"/>
      <c r="F20" s="3340"/>
      <c r="G20" s="945"/>
      <c r="H20" s="3340"/>
    </row>
    <row r="21" spans="1:8" s="2574" customFormat="1" ht="4.5" customHeight="1">
      <c r="F21" s="3340"/>
      <c r="G21" s="945"/>
      <c r="H21" s="3340"/>
    </row>
    <row r="22" spans="1:8" s="2574" customFormat="1" ht="15" customHeight="1">
      <c r="A22" s="952" t="s">
        <v>3705</v>
      </c>
      <c r="B22" s="951">
        <f>'Part IV-A-Uses of Funds'!$G$16</f>
        <v>0</v>
      </c>
      <c r="C22" s="952" t="s">
        <v>1790</v>
      </c>
      <c r="D22" s="951">
        <f>'Part IV-A-Uses of Funds'!$J$16+'Part IV-A-Uses of Funds'!$M$16+'Part IV-A-Uses of Funds'!$P$16</f>
        <v>0</v>
      </c>
      <c r="F22" s="3340"/>
      <c r="G22" s="945"/>
      <c r="H22" s="3340"/>
    </row>
    <row r="23" spans="1:8" s="2574" customFormat="1" ht="6" customHeight="1">
      <c r="A23" s="945"/>
      <c r="B23" s="946"/>
      <c r="C23" s="945"/>
      <c r="D23" s="945"/>
      <c r="F23" s="3341"/>
      <c r="G23" s="947"/>
      <c r="H23" s="3341"/>
    </row>
    <row r="24" spans="1:8" s="2574" customFormat="1">
      <c r="A24" s="953" t="s">
        <v>3704</v>
      </c>
      <c r="B24" s="945"/>
      <c r="C24" s="945"/>
      <c r="D24" s="945"/>
      <c r="E24" s="945"/>
      <c r="F24" s="945"/>
      <c r="G24" s="945"/>
    </row>
    <row r="25" spans="1:8" s="2574" customFormat="1" ht="41.25" customHeight="1">
      <c r="A25" s="3342" t="str">
        <f>'Part IV-A-Uses of Funds'!$C$41</f>
        <v>&lt;&lt; Enter description here; provide detail &amp; justification in tab Part IV-b &gt;&gt;</v>
      </c>
      <c r="B25" s="3343"/>
      <c r="C25" s="3343"/>
      <c r="D25" s="3344"/>
      <c r="E25" s="945"/>
      <c r="F25" s="3336"/>
      <c r="G25" s="945"/>
      <c r="H25" s="3336"/>
    </row>
    <row r="26" spans="1:8" s="2574" customFormat="1" ht="41.25" customHeight="1">
      <c r="A26" s="3333"/>
      <c r="B26" s="3334"/>
      <c r="C26" s="3334"/>
      <c r="D26" s="3335"/>
      <c r="E26" s="945"/>
      <c r="F26" s="3337"/>
      <c r="G26" s="945"/>
      <c r="H26" s="3337"/>
    </row>
    <row r="27" spans="1:8" s="2574" customFormat="1" ht="4.5" customHeight="1">
      <c r="A27" s="945"/>
      <c r="B27" s="945"/>
      <c r="C27" s="945"/>
      <c r="D27" s="945"/>
      <c r="E27" s="945"/>
      <c r="F27" s="3337"/>
      <c r="G27" s="945"/>
      <c r="H27" s="3337"/>
    </row>
    <row r="28" spans="1:8" s="2574" customFormat="1" ht="10.199999999999999">
      <c r="A28" s="952" t="s">
        <v>3705</v>
      </c>
      <c r="B28" s="951">
        <f>'Part IV-A-Uses of Funds'!$G$41</f>
        <v>0</v>
      </c>
      <c r="C28" s="952" t="s">
        <v>1790</v>
      </c>
      <c r="D28" s="951">
        <f>'Part IV-A-Uses of Funds'!$J$41+'Part IV-A-Uses of Funds'!$M$41+'Part IV-A-Uses of Funds'!$P$41</f>
        <v>0</v>
      </c>
      <c r="E28" s="945"/>
      <c r="F28" s="3337"/>
      <c r="G28" s="945"/>
      <c r="H28" s="3337"/>
    </row>
    <row r="29" spans="1:8" s="2574" customFormat="1" ht="6" customHeight="1">
      <c r="A29" s="945"/>
      <c r="B29" s="946"/>
      <c r="C29" s="945"/>
      <c r="D29" s="945"/>
      <c r="E29" s="945"/>
      <c r="F29" s="3338"/>
      <c r="G29" s="947"/>
      <c r="H29" s="3338"/>
    </row>
    <row r="30" spans="1:8" s="2574" customFormat="1">
      <c r="A30" s="953" t="s">
        <v>722</v>
      </c>
      <c r="B30" s="945"/>
      <c r="C30" s="945"/>
      <c r="D30" s="945"/>
      <c r="E30" s="945"/>
      <c r="F30" s="945"/>
      <c r="G30" s="945"/>
    </row>
    <row r="31" spans="1:8" s="2574" customFormat="1" ht="41.25" customHeight="1">
      <c r="A31" s="3330" t="str">
        <f>'Part IV-A-Uses of Funds'!$C$62</f>
        <v>&lt;&lt; Enter description here; provide detail &amp; justification in tab Part IV-b &gt;&gt;</v>
      </c>
      <c r="B31" s="3331"/>
      <c r="C31" s="3331"/>
      <c r="D31" s="3332"/>
      <c r="E31" s="945"/>
      <c r="F31" s="3339"/>
      <c r="G31" s="945"/>
      <c r="H31" s="3339"/>
    </row>
    <row r="32" spans="1:8" s="2574" customFormat="1" ht="41.25" customHeight="1">
      <c r="A32" s="3333"/>
      <c r="B32" s="3334"/>
      <c r="C32" s="3334"/>
      <c r="D32" s="3335"/>
      <c r="E32" s="945"/>
      <c r="F32" s="3340"/>
      <c r="G32" s="945"/>
      <c r="H32" s="3340"/>
    </row>
    <row r="33" spans="1:8" s="2574" customFormat="1" ht="4.5" customHeight="1">
      <c r="A33" s="945"/>
      <c r="B33" s="945"/>
      <c r="C33" s="945"/>
      <c r="D33" s="945"/>
      <c r="E33" s="945"/>
      <c r="F33" s="3340"/>
      <c r="G33" s="945"/>
      <c r="H33" s="3340"/>
    </row>
    <row r="34" spans="1:8" s="2574" customFormat="1" ht="14.25" customHeight="1">
      <c r="A34" s="952" t="s">
        <v>3705</v>
      </c>
      <c r="B34" s="951">
        <f>'Part IV-A-Uses of Funds'!$G$62</f>
        <v>0</v>
      </c>
      <c r="C34" s="952" t="s">
        <v>1790</v>
      </c>
      <c r="D34" s="951">
        <f>'Part IV-A-Uses of Funds'!$J$62+'Part IV-A-Uses of Funds'!$M$62+'Part IV-A-Uses of Funds'!$P$62</f>
        <v>0</v>
      </c>
      <c r="E34" s="945"/>
      <c r="F34" s="3340"/>
      <c r="G34" s="945"/>
      <c r="H34" s="3340"/>
    </row>
    <row r="35" spans="1:8" s="2574" customFormat="1" ht="6" customHeight="1">
      <c r="D35" s="945"/>
      <c r="E35" s="945"/>
      <c r="F35" s="3340"/>
      <c r="G35" s="947"/>
      <c r="H35" s="3340"/>
    </row>
    <row r="36" spans="1:8" s="2574" customFormat="1" ht="41.25" customHeight="1">
      <c r="A36" s="3330" t="str">
        <f>'Part IV-A-Uses of Funds'!$C$63</f>
        <v>&lt;&lt; Enter description here; provide detail &amp; justification in tab Part IV-b &gt;&gt;</v>
      </c>
      <c r="B36" s="3331"/>
      <c r="C36" s="3331"/>
      <c r="D36" s="3332"/>
      <c r="E36" s="945"/>
      <c r="F36" s="3340"/>
      <c r="G36" s="945"/>
      <c r="H36" s="3340"/>
    </row>
    <row r="37" spans="1:8" s="2574" customFormat="1" ht="41.25" customHeight="1">
      <c r="A37" s="3333"/>
      <c r="B37" s="3334"/>
      <c r="C37" s="3334"/>
      <c r="D37" s="3335"/>
      <c r="E37" s="945"/>
      <c r="F37" s="3340"/>
      <c r="G37" s="945"/>
      <c r="H37" s="3340"/>
    </row>
    <row r="38" spans="1:8" s="2574" customFormat="1" ht="4.5" customHeight="1">
      <c r="A38" s="945"/>
      <c r="B38" s="945"/>
      <c r="C38" s="945"/>
      <c r="D38" s="945"/>
      <c r="E38" s="945"/>
      <c r="F38" s="3340"/>
      <c r="G38" s="945"/>
      <c r="H38" s="3340"/>
    </row>
    <row r="39" spans="1:8" s="2574" customFormat="1" ht="14.25" customHeight="1">
      <c r="A39" s="952" t="s">
        <v>3705</v>
      </c>
      <c r="B39" s="951">
        <f>'Part IV-A-Uses of Funds'!$G$63</f>
        <v>0</v>
      </c>
      <c r="C39" s="952" t="s">
        <v>1790</v>
      </c>
      <c r="D39" s="951">
        <f>'Part IV-A-Uses of Funds'!$J$63+'Part IV-A-Uses of Funds'!$M$63+'Part IV-A-Uses of Funds'!$P$63</f>
        <v>0</v>
      </c>
      <c r="E39" s="945"/>
      <c r="F39" s="3340"/>
      <c r="G39" s="945"/>
      <c r="H39" s="3340"/>
    </row>
    <row r="40" spans="1:8" s="2574" customFormat="1" ht="6" customHeight="1">
      <c r="D40" s="945"/>
      <c r="E40" s="945"/>
      <c r="F40" s="3341"/>
      <c r="G40" s="947"/>
      <c r="H40" s="3341"/>
    </row>
    <row r="41" spans="1:8" s="2574" customFormat="1">
      <c r="A41" s="953" t="s">
        <v>476</v>
      </c>
      <c r="B41" s="945"/>
      <c r="C41" s="945"/>
      <c r="D41" s="945"/>
      <c r="E41" s="949"/>
      <c r="F41" s="949"/>
      <c r="G41" s="945"/>
    </row>
    <row r="42" spans="1:8" s="2574" customFormat="1" ht="41.25" customHeight="1">
      <c r="A42" s="3330" t="str">
        <f>'Part IV-A-Uses of Funds'!$C$76</f>
        <v>&lt;&lt; Enter description here; provide detail &amp; justification in tab Part IV-b &gt;&gt;</v>
      </c>
      <c r="B42" s="3331"/>
      <c r="C42" s="3331"/>
      <c r="D42" s="3332"/>
      <c r="F42" s="3336"/>
      <c r="G42" s="945"/>
      <c r="H42" s="3336"/>
    </row>
    <row r="43" spans="1:8" s="2574" customFormat="1" ht="41.25" customHeight="1">
      <c r="A43" s="3333"/>
      <c r="B43" s="3334"/>
      <c r="C43" s="3334"/>
      <c r="D43" s="3335"/>
      <c r="E43" s="945"/>
      <c r="F43" s="3337"/>
      <c r="G43" s="945"/>
      <c r="H43" s="3337"/>
    </row>
    <row r="44" spans="1:8" s="2574" customFormat="1" ht="4.5" customHeight="1">
      <c r="A44" s="945"/>
      <c r="B44" s="945"/>
      <c r="C44" s="945"/>
      <c r="D44" s="945"/>
      <c r="E44" s="945"/>
      <c r="F44" s="3337"/>
      <c r="G44" s="945"/>
      <c r="H44" s="3337"/>
    </row>
    <row r="45" spans="1:8" s="2574" customFormat="1" ht="13.5" customHeight="1">
      <c r="A45" s="952" t="s">
        <v>3705</v>
      </c>
      <c r="B45" s="951">
        <f>'Part IV-A-Uses of Funds'!$G$76</f>
        <v>0</v>
      </c>
      <c r="C45" s="952" t="s">
        <v>1790</v>
      </c>
      <c r="D45" s="951">
        <f>'Part IV-A-Uses of Funds'!$J$76+'Part IV-A-Uses of Funds'!$M$76+'Part IV-A-Uses of Funds'!$P$76</f>
        <v>0</v>
      </c>
      <c r="E45" s="945"/>
      <c r="F45" s="3337"/>
      <c r="G45" s="945"/>
      <c r="H45" s="3337"/>
    </row>
    <row r="46" spans="1:8" s="2574" customFormat="1" ht="6" customHeight="1">
      <c r="A46" s="945"/>
      <c r="B46" s="946"/>
      <c r="C46" s="945"/>
      <c r="D46" s="945"/>
      <c r="E46" s="945"/>
      <c r="F46" s="3338"/>
      <c r="G46" s="947"/>
      <c r="H46" s="3338"/>
    </row>
    <row r="47" spans="1:8" s="2574" customFormat="1">
      <c r="A47" s="953" t="s">
        <v>724</v>
      </c>
      <c r="B47" s="945"/>
      <c r="C47" s="945"/>
      <c r="D47" s="945"/>
      <c r="E47" s="945"/>
      <c r="F47" s="945"/>
      <c r="G47" s="945"/>
    </row>
    <row r="48" spans="1:8" s="2574" customFormat="1" ht="41.25" customHeight="1">
      <c r="A48" s="3330" t="str">
        <f>'Part IV-A-Uses of Funds'!$C$90</f>
        <v>&lt;&lt; Enter description here; provide detail &amp; justification in tab Part IV-b &gt;&gt;</v>
      </c>
      <c r="B48" s="3331"/>
      <c r="C48" s="3331"/>
      <c r="D48" s="3332"/>
      <c r="F48" s="3336"/>
      <c r="G48" s="945"/>
    </row>
    <row r="49" spans="1:7" s="2574" customFormat="1" ht="41.25" customHeight="1">
      <c r="A49" s="3333"/>
      <c r="B49" s="3334"/>
      <c r="C49" s="3334"/>
      <c r="D49" s="3335"/>
      <c r="E49" s="945"/>
      <c r="F49" s="3337"/>
      <c r="G49" s="945"/>
    </row>
    <row r="50" spans="1:7" s="2574" customFormat="1" ht="3" customHeight="1">
      <c r="A50" s="945"/>
      <c r="B50" s="945"/>
      <c r="C50" s="945"/>
      <c r="D50" s="945"/>
      <c r="E50" s="945"/>
      <c r="F50" s="3337"/>
      <c r="G50" s="945"/>
    </row>
    <row r="51" spans="1:7" s="2574" customFormat="1" ht="13.5" customHeight="1">
      <c r="A51" s="952" t="s">
        <v>3705</v>
      </c>
      <c r="B51" s="951">
        <f>'Part IV-A-Uses of Funds'!$G$90</f>
        <v>0</v>
      </c>
      <c r="C51" s="948"/>
      <c r="D51" s="948"/>
      <c r="E51" s="945"/>
      <c r="F51" s="3337"/>
      <c r="G51" s="945"/>
    </row>
    <row r="52" spans="1:7" s="2574" customFormat="1" ht="3.75" customHeight="1">
      <c r="A52" s="945"/>
      <c r="B52" s="945"/>
      <c r="C52" s="945"/>
      <c r="D52" s="945"/>
      <c r="E52" s="945"/>
      <c r="F52" s="3338"/>
      <c r="G52" s="947"/>
    </row>
    <row r="53" spans="1:7" s="2574" customFormat="1">
      <c r="A53" s="953" t="s">
        <v>3706</v>
      </c>
      <c r="B53" s="945"/>
      <c r="C53" s="945"/>
      <c r="D53" s="945"/>
      <c r="E53" s="945"/>
      <c r="F53" s="945"/>
      <c r="G53" s="945"/>
    </row>
    <row r="54" spans="1:7" s="2574" customFormat="1" ht="41.25" customHeight="1">
      <c r="A54" s="3330" t="str">
        <f>'Part IV-A-Uses of Funds'!$C$103</f>
        <v>&lt;&lt; Enter description here; provide detail &amp; justification in tab Part IV-b &gt;&gt;</v>
      </c>
      <c r="B54" s="3331"/>
      <c r="C54" s="3331"/>
      <c r="D54" s="3332"/>
      <c r="F54" s="3339"/>
      <c r="G54" s="945"/>
    </row>
    <row r="55" spans="1:7" s="2574" customFormat="1" ht="41.25" customHeight="1">
      <c r="A55" s="3333"/>
      <c r="B55" s="3334"/>
      <c r="C55" s="3334"/>
      <c r="D55" s="3335"/>
      <c r="E55" s="945"/>
      <c r="F55" s="3340"/>
      <c r="G55" s="945"/>
    </row>
    <row r="56" spans="1:7" s="2574" customFormat="1" ht="3" customHeight="1">
      <c r="A56" s="945"/>
      <c r="B56" s="945"/>
      <c r="C56" s="945"/>
      <c r="D56" s="945"/>
      <c r="E56" s="945"/>
      <c r="F56" s="3340"/>
      <c r="G56" s="945"/>
    </row>
    <row r="57" spans="1:7" s="2574" customFormat="1" ht="10.199999999999999">
      <c r="A57" s="952" t="s">
        <v>3705</v>
      </c>
      <c r="B57" s="951">
        <f>'Part IV-A-Uses of Funds'!$G$103</f>
        <v>0</v>
      </c>
      <c r="C57" s="948"/>
      <c r="D57" s="948"/>
      <c r="E57" s="945"/>
      <c r="F57" s="3340"/>
      <c r="G57" s="945"/>
    </row>
    <row r="58" spans="1:7" s="2574" customFormat="1" ht="3.75" customHeight="1">
      <c r="A58" s="944"/>
      <c r="B58" s="944"/>
      <c r="C58" s="944"/>
      <c r="D58" s="944"/>
      <c r="E58" s="944"/>
      <c r="F58" s="3340"/>
      <c r="G58" s="947"/>
    </row>
    <row r="59" spans="1:7" s="2574" customFormat="1" ht="41.25" customHeight="1">
      <c r="A59" s="3330" t="str">
        <f>'Part IV-A-Uses of Funds'!$C$104</f>
        <v>&lt;&lt; Enter description here; provide detail &amp; justification in tab Part IV-b &gt;&gt;</v>
      </c>
      <c r="B59" s="3331"/>
      <c r="C59" s="3331"/>
      <c r="D59" s="3332"/>
      <c r="F59" s="3340"/>
      <c r="G59" s="945"/>
    </row>
    <row r="60" spans="1:7" s="2574" customFormat="1" ht="41.25" customHeight="1">
      <c r="A60" s="3333"/>
      <c r="B60" s="3334"/>
      <c r="C60" s="3334"/>
      <c r="D60" s="3335"/>
      <c r="E60" s="945"/>
      <c r="F60" s="3340"/>
      <c r="G60" s="945"/>
    </row>
    <row r="61" spans="1:7" s="2574" customFormat="1" ht="3" customHeight="1">
      <c r="A61" s="945"/>
      <c r="B61" s="945"/>
      <c r="C61" s="945"/>
      <c r="D61" s="945"/>
      <c r="E61" s="945"/>
      <c r="F61" s="3340"/>
      <c r="G61" s="945"/>
    </row>
    <row r="62" spans="1:7" s="2574" customFormat="1" ht="10.199999999999999">
      <c r="A62" s="952" t="s">
        <v>3705</v>
      </c>
      <c r="B62" s="951">
        <f>'Part IV-A-Uses of Funds'!$G$104</f>
        <v>0</v>
      </c>
      <c r="C62" s="948"/>
      <c r="D62" s="948"/>
      <c r="E62" s="945"/>
      <c r="F62" s="3340"/>
      <c r="G62" s="945"/>
    </row>
    <row r="63" spans="1:7" s="2574" customFormat="1" ht="3.75" customHeight="1">
      <c r="A63" s="944"/>
      <c r="B63" s="944"/>
      <c r="C63" s="944"/>
      <c r="D63" s="944"/>
      <c r="E63" s="944"/>
      <c r="F63" s="3341"/>
      <c r="G63" s="947"/>
    </row>
    <row r="64" spans="1:7" s="2574" customFormat="1">
      <c r="A64" s="953" t="s">
        <v>3707</v>
      </c>
      <c r="B64" s="945"/>
      <c r="C64" s="945"/>
      <c r="D64" s="945"/>
      <c r="E64" s="945"/>
      <c r="F64" s="945"/>
      <c r="G64" s="945"/>
    </row>
    <row r="65" spans="1:8" s="2574" customFormat="1" ht="41.25" customHeight="1">
      <c r="A65" s="3330" t="str">
        <f>'Part IV-A-Uses of Funds'!$C$110</f>
        <v>&lt;&lt; Enter description here; provide detail &amp; justification in tab Part IV-b &gt;&gt;</v>
      </c>
      <c r="B65" s="3331"/>
      <c r="C65" s="3331"/>
      <c r="D65" s="3332"/>
      <c r="F65" s="3336"/>
      <c r="G65" s="945"/>
    </row>
    <row r="66" spans="1:8" s="2574" customFormat="1" ht="41.25" customHeight="1">
      <c r="A66" s="3333"/>
      <c r="B66" s="3334"/>
      <c r="C66" s="3334"/>
      <c r="D66" s="3335"/>
      <c r="E66" s="945"/>
      <c r="F66" s="3337"/>
      <c r="G66" s="945"/>
    </row>
    <row r="67" spans="1:8" s="2574" customFormat="1" ht="3" customHeight="1">
      <c r="A67" s="945"/>
      <c r="B67" s="945"/>
      <c r="C67" s="945"/>
      <c r="D67" s="945"/>
      <c r="E67" s="945"/>
      <c r="F67" s="3337"/>
      <c r="G67" s="945"/>
    </row>
    <row r="68" spans="1:8" s="2574" customFormat="1" ht="10.199999999999999">
      <c r="A68" s="952" t="s">
        <v>3705</v>
      </c>
      <c r="B68" s="951">
        <f>'Part IV-A-Uses of Funds'!$G$110</f>
        <v>0</v>
      </c>
      <c r="C68" s="948"/>
      <c r="D68" s="948"/>
      <c r="E68" s="945"/>
      <c r="F68" s="3337"/>
      <c r="G68" s="945"/>
    </row>
    <row r="69" spans="1:8" s="2574" customFormat="1" ht="3.75" customHeight="1">
      <c r="A69" s="945"/>
      <c r="B69" s="946"/>
      <c r="C69" s="945"/>
      <c r="D69" s="945"/>
      <c r="E69" s="945"/>
      <c r="F69" s="3338"/>
      <c r="G69" s="947"/>
    </row>
    <row r="70" spans="1:8" s="2574" customFormat="1">
      <c r="A70" s="953" t="s">
        <v>1309</v>
      </c>
      <c r="B70" s="945"/>
      <c r="C70" s="945"/>
      <c r="D70" s="945"/>
      <c r="E70" s="945"/>
      <c r="F70" s="945"/>
      <c r="G70" s="945"/>
    </row>
    <row r="71" spans="1:8" s="2574" customFormat="1" ht="41.25" customHeight="1">
      <c r="A71" s="3330" t="str">
        <f>'Part IV-A-Uses of Funds'!$C$125</f>
        <v>&lt;&lt; Enter description here; provide detail &amp; justification in tab Part IV-b &gt;&gt;</v>
      </c>
      <c r="B71" s="3331"/>
      <c r="C71" s="3331"/>
      <c r="D71" s="3332"/>
      <c r="F71" s="3336"/>
      <c r="G71" s="945"/>
      <c r="H71" s="3336"/>
    </row>
    <row r="72" spans="1:8" s="2574" customFormat="1" ht="41.25" customHeight="1">
      <c r="A72" s="3333"/>
      <c r="B72" s="3334"/>
      <c r="C72" s="3334"/>
      <c r="D72" s="3335"/>
      <c r="E72" s="945"/>
      <c r="F72" s="3337"/>
      <c r="G72" s="945"/>
      <c r="H72" s="3337"/>
    </row>
    <row r="73" spans="1:8" s="2574" customFormat="1" ht="4.5" customHeight="1">
      <c r="A73" s="945"/>
      <c r="B73" s="945"/>
      <c r="C73" s="945"/>
      <c r="D73" s="945"/>
      <c r="E73" s="945"/>
      <c r="F73" s="3337"/>
      <c r="G73" s="945"/>
      <c r="H73" s="3337"/>
    </row>
    <row r="74" spans="1:8" s="2574" customFormat="1" ht="12.75" customHeight="1">
      <c r="A74" s="952" t="s">
        <v>3705</v>
      </c>
      <c r="B74" s="951">
        <f>'Part IV-A-Uses of Funds'!$G$125</f>
        <v>0</v>
      </c>
      <c r="C74" s="952" t="s">
        <v>1790</v>
      </c>
      <c r="D74" s="951">
        <f>'Part IV-A-Uses of Funds'!$J$125+'Part IV-A-Uses of Funds'!$M$125+'Part IV-A-Uses of Funds'!$P$125</f>
        <v>0</v>
      </c>
      <c r="E74" s="945"/>
      <c r="F74" s="3337"/>
      <c r="G74" s="945"/>
      <c r="H74" s="3337"/>
    </row>
    <row r="75" spans="1:8" s="2574" customFormat="1" ht="6" customHeight="1">
      <c r="A75" s="945"/>
      <c r="B75" s="946"/>
      <c r="C75" s="945"/>
      <c r="D75" s="945"/>
      <c r="E75" s="945"/>
      <c r="F75" s="3338"/>
      <c r="G75" s="947"/>
      <c r="H75" s="3338"/>
    </row>
    <row r="76" spans="1:8" s="2574" customFormat="1">
      <c r="A76" s="953" t="s">
        <v>3708</v>
      </c>
      <c r="B76" s="946"/>
      <c r="C76" s="945"/>
      <c r="D76" s="945"/>
      <c r="E76" s="945"/>
      <c r="F76" s="945"/>
      <c r="G76" s="947"/>
    </row>
    <row r="77" spans="1:8" s="2574" customFormat="1" ht="41.25" customHeight="1">
      <c r="A77" s="3330" t="str">
        <f>'Part IV-A-Uses of Funds'!$C$129</f>
        <v>&lt;&lt; Enter description here; provide detail &amp; justification in tab Part IV-b &gt;&gt;</v>
      </c>
      <c r="B77" s="3331"/>
      <c r="C77" s="3331"/>
      <c r="D77" s="3332"/>
      <c r="F77" s="3336"/>
      <c r="G77" s="945"/>
      <c r="H77" s="3336"/>
    </row>
    <row r="78" spans="1:8" s="2574" customFormat="1" ht="41.25" customHeight="1">
      <c r="A78" s="3333"/>
      <c r="B78" s="3334"/>
      <c r="C78" s="3334"/>
      <c r="D78" s="3335"/>
      <c r="E78" s="945"/>
      <c r="F78" s="3337"/>
      <c r="G78" s="945"/>
      <c r="H78" s="3337"/>
    </row>
    <row r="79" spans="1:8" s="2574" customFormat="1" ht="4.5" customHeight="1">
      <c r="A79" s="945"/>
      <c r="B79" s="945"/>
      <c r="C79" s="945"/>
      <c r="D79" s="945"/>
      <c r="E79" s="945"/>
      <c r="F79" s="3337"/>
      <c r="G79" s="945"/>
      <c r="H79" s="3337"/>
    </row>
    <row r="80" spans="1:8" s="2574" customFormat="1" ht="12.75" customHeight="1">
      <c r="A80" s="952" t="s">
        <v>3705</v>
      </c>
      <c r="B80" s="951">
        <f>'Part IV-A-Uses of Funds'!$G$129</f>
        <v>0</v>
      </c>
      <c r="C80" s="952" t="s">
        <v>1790</v>
      </c>
      <c r="D80" s="951">
        <f>'Part IV-A-Uses of Funds'!$J$129+'Part IV-A-Uses of Funds'!$M$129+'Part IV-A-Uses of Funds'!$P$129</f>
        <v>0</v>
      </c>
      <c r="E80" s="950"/>
      <c r="F80" s="3337"/>
      <c r="G80" s="945"/>
      <c r="H80" s="3337"/>
    </row>
    <row r="81" spans="4:8" s="2574" customFormat="1" ht="6" customHeight="1">
      <c r="D81" s="2261"/>
      <c r="E81" s="2575"/>
      <c r="F81" s="3338"/>
      <c r="G81" s="947"/>
      <c r="H81" s="3338"/>
    </row>
    <row r="82" spans="4:8" s="2574" customFormat="1" ht="10.199999999999999"/>
    <row r="83" spans="4:8" s="2574" customFormat="1" ht="10.199999999999999"/>
    <row r="84" spans="4:8" s="2574" customFormat="1" ht="10.199999999999999"/>
    <row r="85" spans="4:8" s="2574" customFormat="1" ht="10.199999999999999"/>
    <row r="86" spans="4:8" s="2574" customFormat="1" ht="10.199999999999999"/>
    <row r="87" spans="4:8" s="2574" customFormat="1" ht="10.199999999999999"/>
    <row r="88" spans="4:8" s="2574" customFormat="1" ht="10.199999999999999"/>
    <row r="89" spans="4:8" s="2574" customFormat="1" ht="10.199999999999999"/>
    <row r="90" spans="4:8" s="2574" customFormat="1" ht="10.199999999999999"/>
    <row r="91" spans="4:8" s="2574" customFormat="1" ht="10.199999999999999"/>
    <row r="92" spans="4:8" s="2574" customFormat="1" ht="10.199999999999999"/>
  </sheetData>
  <sheetProtection algorithmName="SHA-512" hashValue="zdNWDbsHA7MESl4sz8mCSplRTrtT2T3bCf6Fm4qmndG01b8idOzFGccX33qdh/PtWI4whxptTlaAOQui0RnkTQ==" saltValue="dlrdCYAiyECRMF/RH3Pur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0" zoomScaleNormal="100" workbookViewId="0">
      <selection activeCell="A17"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74" t="str">
        <f>CONCATENATE("PART FIVE - UTILITY ALLOWANCES","  -  ",'Part I-Project Information'!$O$6," ",'Part I-Project Information'!$F$34,", ",'Part I-Project Information'!F38,", ",'Part I-Project Information'!J39," County")</f>
        <v>PART FIVE - UTILITY ALLOWANCES  -  2019-042 Brennan Place, Columbus, Muscogee County</v>
      </c>
      <c r="B1" s="3375"/>
      <c r="C1" s="3375"/>
      <c r="D1" s="3375"/>
      <c r="E1" s="3375"/>
      <c r="F1" s="3375"/>
      <c r="G1" s="3375"/>
      <c r="H1" s="3375"/>
      <c r="I1" s="3375"/>
      <c r="J1" s="3375"/>
      <c r="K1" s="3375"/>
      <c r="L1" s="3375"/>
      <c r="M1" s="3375"/>
      <c r="N1" s="9"/>
      <c r="O1" s="9"/>
      <c r="P1" s="9"/>
      <c r="Q1" s="9"/>
      <c r="R1" s="15"/>
      <c r="S1" s="15"/>
      <c r="T1" s="15"/>
    </row>
    <row r="2" spans="1:20" s="7" customFormat="1" ht="7.5" customHeight="1"/>
    <row r="3" spans="1:20" s="7" customFormat="1" ht="12.75" customHeight="1">
      <c r="B3" s="3378" t="str">
        <f>'Part I-Project Information'!$B$6</f>
        <v>April 2019 Final</v>
      </c>
      <c r="C3" s="3378"/>
      <c r="D3" s="3378"/>
      <c r="E3" s="3378"/>
      <c r="F3" s="3" t="s">
        <v>4604</v>
      </c>
      <c r="I3" s="2290" t="str">
        <f>VLOOKUP('Part I-Project Information'!$J$39,'DCA Underwriting Assumptions'!$G$158:$H$317,2)</f>
        <v>Local PHA</v>
      </c>
    </row>
    <row r="4" spans="1:20" s="7" customFormat="1" ht="6" customHeight="1"/>
    <row r="5" spans="1:20">
      <c r="A5" s="252" t="s">
        <v>3800</v>
      </c>
    </row>
    <row r="6" spans="1:20" ht="6" customHeight="1">
      <c r="A6" s="7"/>
    </row>
    <row r="7" spans="1:20" s="7" customFormat="1">
      <c r="A7" s="12" t="s">
        <v>616</v>
      </c>
      <c r="B7" s="12" t="s">
        <v>2227</v>
      </c>
      <c r="F7" s="1" t="s">
        <v>2519</v>
      </c>
      <c r="G7" s="1"/>
      <c r="H7" s="1"/>
      <c r="I7" s="3376" t="s">
        <v>5179</v>
      </c>
      <c r="J7" s="3355"/>
      <c r="K7" s="3355"/>
      <c r="L7" s="3355"/>
      <c r="M7" s="3356"/>
    </row>
    <row r="8" spans="1:20" s="7" customFormat="1" ht="13.2" customHeight="1">
      <c r="A8" s="12"/>
      <c r="F8" s="1" t="s">
        <v>636</v>
      </c>
      <c r="G8" s="1"/>
      <c r="H8" s="32"/>
      <c r="I8" s="3377">
        <v>43466</v>
      </c>
      <c r="J8" s="3368"/>
      <c r="K8" s="5" t="s">
        <v>540</v>
      </c>
      <c r="L8" s="3369" t="s">
        <v>5237</v>
      </c>
      <c r="M8" s="3370"/>
    </row>
    <row r="9" spans="1:20" s="7" customFormat="1" ht="4.5" customHeight="1">
      <c r="A9" s="12"/>
    </row>
    <row r="10" spans="1:20" s="12" customFormat="1">
      <c r="B10" s="246"/>
      <c r="C10" s="246"/>
      <c r="D10" s="246"/>
      <c r="E10" s="246"/>
      <c r="F10" s="3363" t="s">
        <v>609</v>
      </c>
      <c r="G10" s="3363"/>
      <c r="I10" s="3364" t="s">
        <v>200</v>
      </c>
      <c r="J10" s="3364"/>
      <c r="K10" s="3364"/>
      <c r="L10" s="3364"/>
      <c r="M10" s="3364"/>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365" t="s">
        <v>5178</v>
      </c>
      <c r="E12" s="3366"/>
      <c r="F12" s="2576" t="s">
        <v>441</v>
      </c>
      <c r="G12" s="2576"/>
      <c r="H12" s="1036"/>
      <c r="I12" s="2577"/>
      <c r="J12" s="2577">
        <v>8</v>
      </c>
      <c r="K12" s="2577">
        <v>9</v>
      </c>
      <c r="L12" s="2577">
        <v>10</v>
      </c>
      <c r="M12" s="2577"/>
      <c r="O12" s="3351" t="s">
        <v>3825</v>
      </c>
      <c r="P12" s="3351"/>
    </row>
    <row r="13" spans="1:20" s="7" customFormat="1" ht="12" customHeight="1">
      <c r="B13" s="2237" t="s">
        <v>1597</v>
      </c>
      <c r="C13" s="2238"/>
      <c r="D13" s="3352" t="s">
        <v>1596</v>
      </c>
      <c r="E13" s="3353"/>
      <c r="F13" s="2578" t="s">
        <v>441</v>
      </c>
      <c r="G13" s="2578"/>
      <c r="H13" s="1035"/>
      <c r="I13" s="2579"/>
      <c r="J13" s="2579">
        <v>4</v>
      </c>
      <c r="K13" s="2579">
        <v>6</v>
      </c>
      <c r="L13" s="2580">
        <v>8</v>
      </c>
      <c r="M13" s="2580"/>
      <c r="O13" s="3351"/>
      <c r="P13" s="3351"/>
    </row>
    <row r="14" spans="1:20" s="7" customFormat="1" ht="12" customHeight="1">
      <c r="B14" s="2239" t="s">
        <v>1598</v>
      </c>
      <c r="C14" s="2240"/>
      <c r="D14" s="3352" t="s">
        <v>1596</v>
      </c>
      <c r="E14" s="3353"/>
      <c r="F14" s="2578" t="s">
        <v>441</v>
      </c>
      <c r="G14" s="2578"/>
      <c r="H14" s="249"/>
      <c r="I14" s="2579"/>
      <c r="J14" s="2579">
        <v>10</v>
      </c>
      <c r="K14" s="2579">
        <v>13</v>
      </c>
      <c r="L14" s="2580">
        <v>16</v>
      </c>
      <c r="M14" s="2580"/>
      <c r="O14" s="3351"/>
      <c r="P14" s="3351"/>
    </row>
    <row r="15" spans="1:20" s="7" customFormat="1" ht="12" customHeight="1">
      <c r="B15" s="2241" t="s">
        <v>467</v>
      </c>
      <c r="C15" s="2242"/>
      <c r="D15" s="2241" t="s">
        <v>1596</v>
      </c>
      <c r="E15" s="250"/>
      <c r="F15" s="2578" t="s">
        <v>441</v>
      </c>
      <c r="G15" s="2578"/>
      <c r="H15" s="1034"/>
      <c r="I15" s="2579"/>
      <c r="J15" s="2579">
        <v>10</v>
      </c>
      <c r="K15" s="2579">
        <v>15</v>
      </c>
      <c r="L15" s="2580">
        <v>22</v>
      </c>
      <c r="M15" s="2580"/>
      <c r="O15" s="3351"/>
      <c r="P15" s="3351"/>
    </row>
    <row r="16" spans="1:20" s="7" customFormat="1" ht="12" customHeight="1">
      <c r="B16" s="2243" t="s">
        <v>3797</v>
      </c>
      <c r="C16" s="2238"/>
      <c r="D16" s="2237" t="s">
        <v>1596</v>
      </c>
      <c r="E16" s="1033"/>
      <c r="F16" s="2578"/>
      <c r="G16" s="2578" t="s">
        <v>441</v>
      </c>
      <c r="H16" s="1035"/>
      <c r="I16" s="2579"/>
      <c r="J16" s="2579"/>
      <c r="K16" s="2579"/>
      <c r="L16" s="2580"/>
      <c r="M16" s="2580"/>
      <c r="O16" s="3351"/>
      <c r="P16" s="3351"/>
    </row>
    <row r="17" spans="1:19" s="7" customFormat="1" ht="12" customHeight="1">
      <c r="B17" s="2243" t="s">
        <v>3798</v>
      </c>
      <c r="C17" s="2238"/>
      <c r="D17" s="2237" t="s">
        <v>1596</v>
      </c>
      <c r="E17" s="1033"/>
      <c r="F17" s="2578"/>
      <c r="G17" s="2578" t="s">
        <v>441</v>
      </c>
      <c r="H17" s="1035"/>
      <c r="I17" s="2579"/>
      <c r="J17" s="2579"/>
      <c r="K17" s="2579"/>
      <c r="L17" s="2580"/>
      <c r="M17" s="2580"/>
      <c r="O17" s="3351"/>
      <c r="P17" s="3351"/>
    </row>
    <row r="18" spans="1:19" s="7" customFormat="1" ht="12" customHeight="1">
      <c r="B18" s="2244" t="s">
        <v>3799</v>
      </c>
      <c r="C18" s="2240"/>
      <c r="D18" s="2239" t="s">
        <v>1596</v>
      </c>
      <c r="E18" s="1033"/>
      <c r="F18" s="2578" t="s">
        <v>441</v>
      </c>
      <c r="G18" s="2578"/>
      <c r="H18" s="249"/>
      <c r="I18" s="2579"/>
      <c r="J18" s="2579">
        <v>17</v>
      </c>
      <c r="K18" s="2579">
        <v>23</v>
      </c>
      <c r="L18" s="2580">
        <v>30</v>
      </c>
      <c r="M18" s="2580"/>
      <c r="O18" s="3351"/>
      <c r="P18" s="3351"/>
    </row>
    <row r="19" spans="1:19" s="7" customFormat="1" ht="12" customHeight="1">
      <c r="B19" s="2241" t="s">
        <v>1370</v>
      </c>
      <c r="C19" s="2242"/>
      <c r="D19" s="2247" t="s">
        <v>3468</v>
      </c>
      <c r="E19" s="2581" t="s">
        <v>2989</v>
      </c>
      <c r="F19" s="2578"/>
      <c r="G19" s="2578" t="s">
        <v>441</v>
      </c>
      <c r="H19" s="1034"/>
      <c r="I19" s="2579"/>
      <c r="J19" s="2579"/>
      <c r="K19" s="2579"/>
      <c r="L19" s="2580"/>
      <c r="M19" s="2580"/>
      <c r="O19" s="3351"/>
      <c r="P19" s="3351"/>
    </row>
    <row r="20" spans="1:19" s="7" customFormat="1" ht="12" customHeight="1">
      <c r="B20" s="2245" t="s">
        <v>1851</v>
      </c>
      <c r="C20" s="2246"/>
      <c r="D20" s="251"/>
      <c r="E20" s="223"/>
      <c r="F20" s="2578"/>
      <c r="G20" s="2578" t="s">
        <v>441</v>
      </c>
      <c r="H20" s="1035"/>
      <c r="I20" s="2579"/>
      <c r="J20" s="2579"/>
      <c r="K20" s="2579"/>
      <c r="L20" s="2580"/>
      <c r="M20" s="2580"/>
      <c r="O20" s="3351"/>
      <c r="P20" s="3351"/>
    </row>
    <row r="21" spans="1:19" s="7" customFormat="1" ht="12" customHeight="1">
      <c r="B21" s="2245" t="s">
        <v>741</v>
      </c>
      <c r="C21" s="3371" t="s">
        <v>5182</v>
      </c>
      <c r="D21" s="3372"/>
      <c r="E21" s="3373"/>
      <c r="F21" s="2582" t="s">
        <v>441</v>
      </c>
      <c r="G21" s="2582"/>
      <c r="H21" s="1037"/>
      <c r="I21" s="2583"/>
      <c r="J21" s="2583">
        <v>14</v>
      </c>
      <c r="K21" s="2583">
        <v>14</v>
      </c>
      <c r="L21" s="2584">
        <v>14</v>
      </c>
      <c r="M21" s="2584"/>
      <c r="O21" s="3351"/>
      <c r="P21" s="3351"/>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63</v>
      </c>
      <c r="K22" s="150">
        <f>IF(SUM(K12:K21)=0,0,IF(OR($D12="&lt;&lt;Select Fuel &gt;&gt;",$D13="&lt;&lt;Select Fuel &gt;&gt;",$D14="&lt;&lt;Select Fuel &gt;&gt;"),"Select Fuel",IF($E19="&lt;Select&gt;","Submeter?",SUM(K12:K21))))</f>
        <v>80</v>
      </c>
      <c r="L22" s="150">
        <f>IF(SUM(L12:L21)=0,0,IF(OR($D12="&lt;&lt;Select Fuel &gt;&gt;",$D13="&lt;&lt;Select Fuel &gt;&gt;",$D14="&lt;&lt;Select Fuel &gt;&gt;"),"Select Fuel",IF($E19="&lt;Select&gt;","Submeter?",SUM(L12:L21))))</f>
        <v>100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54"/>
      <c r="J24" s="3355"/>
      <c r="K24" s="3355"/>
      <c r="L24" s="3355"/>
      <c r="M24" s="3356"/>
    </row>
    <row r="25" spans="1:19" s="7" customFormat="1" ht="13.2" customHeight="1">
      <c r="A25" s="12"/>
      <c r="B25" s="12"/>
      <c r="F25" s="1" t="s">
        <v>636</v>
      </c>
      <c r="G25" s="1"/>
      <c r="H25" s="32"/>
      <c r="I25" s="3367"/>
      <c r="J25" s="3368"/>
      <c r="K25" s="5" t="s">
        <v>540</v>
      </c>
      <c r="L25" s="3369"/>
      <c r="M25" s="3370"/>
    </row>
    <row r="26" spans="1:19" s="7" customFormat="1" ht="4.5" customHeight="1">
      <c r="A26" s="12"/>
    </row>
    <row r="27" spans="1:19" s="12" customFormat="1">
      <c r="B27" s="246"/>
      <c r="C27" s="246"/>
      <c r="D27" s="246"/>
      <c r="E27" s="246"/>
      <c r="F27" s="3363" t="s">
        <v>609</v>
      </c>
      <c r="G27" s="3363"/>
      <c r="I27" s="3364" t="s">
        <v>200</v>
      </c>
      <c r="J27" s="3364"/>
      <c r="K27" s="3364"/>
      <c r="L27" s="3364"/>
      <c r="M27" s="3364"/>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365" t="s">
        <v>1820</v>
      </c>
      <c r="E29" s="3366"/>
      <c r="F29" s="2576"/>
      <c r="G29" s="2576"/>
      <c r="H29" s="1036"/>
      <c r="I29" s="2577"/>
      <c r="J29" s="2577"/>
      <c r="K29" s="2577"/>
      <c r="L29" s="2577"/>
      <c r="M29" s="2577"/>
      <c r="O29" s="3351" t="s">
        <v>3825</v>
      </c>
      <c r="P29" s="3351"/>
    </row>
    <row r="30" spans="1:19" s="7" customFormat="1" ht="12" customHeight="1">
      <c r="B30" s="2237" t="s">
        <v>1597</v>
      </c>
      <c r="C30" s="2238"/>
      <c r="D30" s="3352" t="s">
        <v>1820</v>
      </c>
      <c r="E30" s="3353"/>
      <c r="F30" s="2578"/>
      <c r="G30" s="2578"/>
      <c r="H30" s="1035"/>
      <c r="I30" s="2579"/>
      <c r="J30" s="2579"/>
      <c r="K30" s="2579"/>
      <c r="L30" s="2580"/>
      <c r="M30" s="2580"/>
      <c r="O30" s="3351"/>
      <c r="P30" s="3351"/>
    </row>
    <row r="31" spans="1:19" s="7" customFormat="1" ht="12" customHeight="1">
      <c r="B31" s="2239" t="s">
        <v>1598</v>
      </c>
      <c r="C31" s="2240"/>
      <c r="D31" s="3352" t="s">
        <v>1820</v>
      </c>
      <c r="E31" s="3353"/>
      <c r="F31" s="2578"/>
      <c r="G31" s="2578"/>
      <c r="H31" s="249"/>
      <c r="I31" s="2579"/>
      <c r="J31" s="2579"/>
      <c r="K31" s="2579"/>
      <c r="L31" s="2580"/>
      <c r="M31" s="2580"/>
      <c r="O31" s="3351"/>
      <c r="P31" s="3351"/>
    </row>
    <row r="32" spans="1:19" s="7" customFormat="1" ht="12" customHeight="1">
      <c r="B32" s="2241" t="s">
        <v>467</v>
      </c>
      <c r="C32" s="2242"/>
      <c r="D32" s="2241" t="s">
        <v>1596</v>
      </c>
      <c r="E32" s="250"/>
      <c r="F32" s="2578"/>
      <c r="G32" s="2578"/>
      <c r="H32" s="1034"/>
      <c r="I32" s="2579"/>
      <c r="J32" s="2579"/>
      <c r="K32" s="2579"/>
      <c r="L32" s="2580"/>
      <c r="M32" s="2580"/>
      <c r="O32" s="3351"/>
      <c r="P32" s="3351"/>
    </row>
    <row r="33" spans="1:19" s="7" customFormat="1" ht="12" customHeight="1">
      <c r="B33" s="2243" t="s">
        <v>3797</v>
      </c>
      <c r="C33" s="2238"/>
      <c r="D33" s="2237" t="s">
        <v>1596</v>
      </c>
      <c r="E33" s="1033"/>
      <c r="F33" s="2578"/>
      <c r="G33" s="2578"/>
      <c r="H33" s="1035"/>
      <c r="I33" s="2579"/>
      <c r="J33" s="2579"/>
      <c r="K33" s="2579"/>
      <c r="L33" s="2580"/>
      <c r="M33" s="2580"/>
      <c r="O33" s="3351"/>
      <c r="P33" s="3351"/>
    </row>
    <row r="34" spans="1:19" s="7" customFormat="1" ht="12" customHeight="1">
      <c r="B34" s="2243" t="s">
        <v>3798</v>
      </c>
      <c r="C34" s="2238"/>
      <c r="D34" s="2237" t="s">
        <v>1596</v>
      </c>
      <c r="E34" s="1033"/>
      <c r="F34" s="2578"/>
      <c r="G34" s="2578"/>
      <c r="H34" s="1035"/>
      <c r="I34" s="2579"/>
      <c r="J34" s="2579"/>
      <c r="K34" s="2579"/>
      <c r="L34" s="2580"/>
      <c r="M34" s="2580"/>
      <c r="O34" s="3351"/>
      <c r="P34" s="3351"/>
    </row>
    <row r="35" spans="1:19" s="7" customFormat="1" ht="12" customHeight="1">
      <c r="B35" s="2244" t="s">
        <v>3799</v>
      </c>
      <c r="C35" s="2240"/>
      <c r="D35" s="2239" t="s">
        <v>1596</v>
      </c>
      <c r="E35" s="1033"/>
      <c r="F35" s="2578"/>
      <c r="G35" s="2578"/>
      <c r="H35" s="249"/>
      <c r="I35" s="2579"/>
      <c r="J35" s="2579"/>
      <c r="K35" s="2579"/>
      <c r="L35" s="2580"/>
      <c r="M35" s="2580"/>
      <c r="O35" s="3351"/>
      <c r="P35" s="3351"/>
    </row>
    <row r="36" spans="1:19" s="7" customFormat="1" ht="12" customHeight="1">
      <c r="B36" s="2241" t="s">
        <v>1370</v>
      </c>
      <c r="C36" s="2242"/>
      <c r="D36" s="2247" t="s">
        <v>3468</v>
      </c>
      <c r="E36" s="2581" t="s">
        <v>201</v>
      </c>
      <c r="F36" s="2578"/>
      <c r="G36" s="2578"/>
      <c r="H36" s="1034"/>
      <c r="I36" s="2579"/>
      <c r="J36" s="2579"/>
      <c r="K36" s="2579"/>
      <c r="L36" s="2580"/>
      <c r="M36" s="2580"/>
      <c r="O36" s="3351"/>
      <c r="P36" s="3351"/>
    </row>
    <row r="37" spans="1:19" s="7" customFormat="1" ht="12" customHeight="1">
      <c r="B37" s="2245" t="s">
        <v>1851</v>
      </c>
      <c r="C37" s="2246"/>
      <c r="D37" s="251"/>
      <c r="E37" s="223"/>
      <c r="F37" s="2578"/>
      <c r="G37" s="2578"/>
      <c r="H37" s="1035"/>
      <c r="I37" s="2579"/>
      <c r="J37" s="2579"/>
      <c r="K37" s="2579"/>
      <c r="L37" s="2580"/>
      <c r="M37" s="2580"/>
      <c r="O37" s="3351"/>
      <c r="P37" s="3351"/>
    </row>
    <row r="38" spans="1:19" s="7" customFormat="1" ht="12" customHeight="1">
      <c r="B38" s="2245" t="s">
        <v>741</v>
      </c>
      <c r="C38" s="3371"/>
      <c r="D38" s="3372"/>
      <c r="E38" s="3373"/>
      <c r="F38" s="2582"/>
      <c r="G38" s="2582"/>
      <c r="H38" s="1037"/>
      <c r="I38" s="2583"/>
      <c r="J38" s="2583"/>
      <c r="K38" s="2583"/>
      <c r="L38" s="2584"/>
      <c r="M38" s="2584"/>
      <c r="O38" s="3351"/>
      <c r="P38" s="3351"/>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57" t="s">
        <v>5181</v>
      </c>
      <c r="C43" s="3358"/>
      <c r="D43" s="3358"/>
      <c r="E43" s="3358"/>
      <c r="F43" s="3358"/>
      <c r="G43" s="3358"/>
      <c r="H43" s="3358"/>
      <c r="I43" s="3358"/>
      <c r="J43" s="3358"/>
      <c r="K43" s="3358"/>
      <c r="L43" s="3358"/>
      <c r="M43" s="3359"/>
      <c r="N43" s="26"/>
      <c r="O43" s="2765" t="s">
        <v>2693</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1845</v>
      </c>
      <c r="M45" s="26"/>
      <c r="N45" s="26"/>
      <c r="O45" s="2765"/>
      <c r="P45" s="2765"/>
      <c r="Q45" s="2765"/>
      <c r="R45" s="2765"/>
      <c r="S45" s="2765"/>
    </row>
    <row r="46" spans="1:19" s="7" customFormat="1" ht="24.75" customHeight="1">
      <c r="B46" s="3360"/>
      <c r="C46" s="3361"/>
      <c r="D46" s="3361"/>
      <c r="E46" s="3361"/>
      <c r="F46" s="3361"/>
      <c r="G46" s="3361"/>
      <c r="H46" s="3361"/>
      <c r="I46" s="3361"/>
      <c r="J46" s="3361"/>
      <c r="K46" s="3361"/>
      <c r="L46" s="3361"/>
      <c r="M46" s="3362"/>
      <c r="N46" s="26"/>
      <c r="O46" s="2765"/>
      <c r="P46" s="2765"/>
      <c r="Q46" s="2765"/>
      <c r="R46" s="2765"/>
      <c r="S46" s="2765"/>
    </row>
  </sheetData>
  <sheetProtection algorithmName="SHA-512" hashValue="arCCKQvRfraRpj8yp7zPPk6YSedPa+AItJqJnyu8QrfQexoPgPnoDn4awoLiEihVy6qXh4jOsKA+v+87tgKZ5g==" saltValue="9UEtVLA3bRsE73VNdr9/d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2020-01-27T15:30:46Z</dcterms:modified>
</cp:coreProperties>
</file>